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V225" i="1" l="1"/>
  <c r="N123" i="1" l="1"/>
  <c r="M123" i="1" l="1"/>
  <c r="K123" i="1"/>
  <c r="R122" i="1" l="1"/>
  <c r="S122" i="1"/>
  <c r="N117" i="1"/>
  <c r="M117" i="1"/>
  <c r="K117" i="1"/>
  <c r="N116" i="1" l="1"/>
  <c r="M116" i="1"/>
  <c r="K116" i="1"/>
  <c r="N131" i="1" l="1"/>
  <c r="M131" i="1"/>
  <c r="K131" i="1"/>
  <c r="N130" i="1" l="1"/>
  <c r="M130" i="1"/>
  <c r="K130" i="1"/>
  <c r="N144" i="1"/>
  <c r="M144" i="1"/>
  <c r="K144" i="1"/>
  <c r="T134" i="1"/>
  <c r="N133" i="1"/>
  <c r="M133" i="1"/>
  <c r="K133" i="1"/>
  <c r="N126" i="1"/>
  <c r="M126" i="1"/>
  <c r="K126" i="1"/>
  <c r="N125" i="1" l="1"/>
  <c r="M125" i="1"/>
  <c r="K125" i="1"/>
  <c r="N137" i="1" l="1"/>
  <c r="M137" i="1"/>
  <c r="K137" i="1"/>
  <c r="N118" i="1" l="1"/>
  <c r="M118" i="1"/>
  <c r="K118" i="1"/>
  <c r="N112" i="1"/>
  <c r="M112" i="1"/>
  <c r="K112" i="1"/>
  <c r="N136" i="1"/>
  <c r="M136" i="1"/>
  <c r="K136" i="1"/>
  <c r="N115" i="1" l="1"/>
  <c r="M115" i="1"/>
  <c r="K115" i="1"/>
  <c r="N111" i="1"/>
  <c r="M111" i="1"/>
  <c r="K111" i="1"/>
  <c r="N124" i="1"/>
  <c r="M124" i="1"/>
  <c r="K124" i="1"/>
  <c r="N141" i="1" l="1"/>
  <c r="M141" i="1"/>
  <c r="K141" i="1"/>
  <c r="N138" i="1" l="1"/>
  <c r="M138" i="1"/>
  <c r="V122" i="1"/>
  <c r="U122" i="1"/>
  <c r="T122" i="1"/>
  <c r="K122" i="1"/>
  <c r="R45" i="1"/>
  <c r="S45" i="1"/>
  <c r="T45" i="1"/>
  <c r="U45" i="1"/>
  <c r="V45" i="1"/>
  <c r="N142" i="1" l="1"/>
  <c r="M142" i="1"/>
  <c r="K142" i="1"/>
  <c r="N127" i="1"/>
  <c r="M127" i="1"/>
  <c r="K127" i="1"/>
  <c r="N114" i="1"/>
  <c r="M114" i="1"/>
  <c r="K114" i="1"/>
  <c r="N113" i="1"/>
  <c r="M113" i="1"/>
  <c r="K113" i="1"/>
  <c r="N139" i="1"/>
  <c r="M139" i="1"/>
  <c r="K139" i="1"/>
  <c r="G144" i="1"/>
  <c r="F144" i="1"/>
  <c r="G142" i="1"/>
  <c r="F142" i="1"/>
  <c r="G141" i="1"/>
  <c r="F141" i="1"/>
  <c r="G139" i="1"/>
  <c r="F139" i="1"/>
  <c r="G138" i="1"/>
  <c r="F138" i="1"/>
  <c r="G137" i="1"/>
  <c r="F137" i="1"/>
  <c r="G136" i="1"/>
  <c r="F136" i="1"/>
  <c r="G135" i="1"/>
  <c r="F135" i="1"/>
  <c r="G133" i="1"/>
  <c r="F133" i="1"/>
  <c r="G131" i="1"/>
  <c r="F131" i="1"/>
  <c r="G130" i="1"/>
  <c r="F130" i="1"/>
  <c r="D144" i="1"/>
  <c r="D142" i="1"/>
  <c r="D141" i="1"/>
  <c r="D139" i="1"/>
  <c r="D137" i="1"/>
  <c r="D136" i="1"/>
  <c r="D133" i="1"/>
  <c r="D131" i="1"/>
  <c r="D130" i="1"/>
  <c r="G127" i="1"/>
  <c r="F127" i="1"/>
  <c r="G126" i="1"/>
  <c r="F126" i="1"/>
  <c r="G125" i="1"/>
  <c r="F125" i="1"/>
  <c r="G124" i="1"/>
  <c r="F124" i="1"/>
  <c r="G123" i="1"/>
  <c r="F123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D127" i="1"/>
  <c r="D126" i="1"/>
  <c r="D125" i="1"/>
  <c r="D124" i="1"/>
  <c r="D123" i="1"/>
  <c r="D118" i="1"/>
  <c r="D117" i="1"/>
  <c r="D116" i="1"/>
  <c r="D115" i="1"/>
  <c r="D114" i="1"/>
  <c r="D113" i="1"/>
  <c r="D112" i="1"/>
  <c r="D111" i="1"/>
  <c r="I104" i="1" a="1"/>
  <c r="J104" i="1" s="1"/>
  <c r="F104" i="1" a="1"/>
  <c r="F104" i="1" s="1"/>
  <c r="D104" i="1" a="1"/>
  <c r="D104" i="1" s="1"/>
  <c r="G104" i="1" l="1"/>
  <c r="I104" i="1"/>
  <c r="N135" i="1" l="1"/>
  <c r="M135" i="1"/>
  <c r="O221" i="1" l="1"/>
  <c r="K221" i="1"/>
  <c r="L219" i="1" s="1"/>
  <c r="H221" i="1"/>
  <c r="D221" i="1"/>
  <c r="V219" i="1"/>
  <c r="U219" i="1"/>
  <c r="T219" i="1"/>
  <c r="S219" i="1"/>
  <c r="R219" i="1"/>
  <c r="R133" i="1" l="1"/>
  <c r="V133" i="1"/>
  <c r="U133" i="1"/>
  <c r="T133" i="1"/>
  <c r="S133" i="1"/>
  <c r="V80" i="1"/>
  <c r="U80" i="1"/>
  <c r="T80" i="1"/>
  <c r="S80" i="1"/>
  <c r="R80" i="1"/>
  <c r="R165" i="1" l="1"/>
  <c r="V23" i="1" l="1"/>
  <c r="U23" i="1"/>
  <c r="T23" i="1"/>
  <c r="S23" i="1"/>
  <c r="R23" i="1"/>
  <c r="O215" i="1"/>
  <c r="K215" i="1"/>
  <c r="L214" i="1" s="1"/>
  <c r="H215" i="1"/>
  <c r="D215" i="1"/>
  <c r="V214" i="1"/>
  <c r="U214" i="1"/>
  <c r="T214" i="1"/>
  <c r="S214" i="1"/>
  <c r="R214" i="1"/>
  <c r="E214" i="1" l="1"/>
  <c r="E219" i="1"/>
  <c r="R31" i="1"/>
  <c r="K145" i="1" l="1"/>
  <c r="L132" i="1" l="1"/>
  <c r="L122" i="1"/>
  <c r="R114" i="1"/>
  <c r="S114" i="1"/>
  <c r="T114" i="1"/>
  <c r="U114" i="1"/>
  <c r="V114" i="1"/>
  <c r="R52" i="1" l="1"/>
  <c r="R207" i="1" l="1"/>
  <c r="V199" i="1" l="1"/>
  <c r="U199" i="1"/>
  <c r="T199" i="1"/>
  <c r="S199" i="1"/>
  <c r="R199" i="1"/>
  <c r="R141" i="1"/>
  <c r="S141" i="1"/>
  <c r="T141" i="1"/>
  <c r="U141" i="1"/>
  <c r="V141" i="1"/>
  <c r="R6" i="1" l="1"/>
  <c r="V183" i="1" l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R92" i="1" l="1"/>
  <c r="V33" i="1" l="1"/>
  <c r="U33" i="1"/>
  <c r="T33" i="1"/>
  <c r="S33" i="1"/>
  <c r="R33" i="1"/>
  <c r="V74" i="1" l="1"/>
  <c r="V49" i="1" l="1"/>
  <c r="U49" i="1"/>
  <c r="T49" i="1"/>
  <c r="S49" i="1"/>
  <c r="R49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D10" i="4"/>
  <c r="E12" i="4" s="1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41" i="1"/>
  <c r="U241" i="1"/>
  <c r="S241" i="1"/>
  <c r="O241" i="1"/>
  <c r="K241" i="1"/>
  <c r="H241" i="1"/>
  <c r="D241" i="1"/>
  <c r="E239" i="1" s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O226" i="1"/>
  <c r="K226" i="1"/>
  <c r="L225" i="1" s="1"/>
  <c r="H226" i="1"/>
  <c r="D226" i="1"/>
  <c r="E225" i="1" s="1"/>
  <c r="U225" i="1"/>
  <c r="T225" i="1"/>
  <c r="S225" i="1"/>
  <c r="R225" i="1"/>
  <c r="V224" i="1"/>
  <c r="U224" i="1"/>
  <c r="T224" i="1"/>
  <c r="S224" i="1"/>
  <c r="R224" i="1"/>
  <c r="L220" i="1"/>
  <c r="V220" i="1"/>
  <c r="U220" i="1"/>
  <c r="T220" i="1"/>
  <c r="S220" i="1"/>
  <c r="R220" i="1"/>
  <c r="V215" i="1"/>
  <c r="U215" i="1"/>
  <c r="S215" i="1"/>
  <c r="V213" i="1"/>
  <c r="U213" i="1"/>
  <c r="T213" i="1"/>
  <c r="S213" i="1"/>
  <c r="R213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8" i="1"/>
  <c r="U198" i="1"/>
  <c r="T198" i="1"/>
  <c r="S198" i="1"/>
  <c r="R198" i="1"/>
  <c r="V195" i="1"/>
  <c r="U195" i="1"/>
  <c r="T195" i="1"/>
  <c r="S195" i="1"/>
  <c r="R195" i="1"/>
  <c r="V194" i="1"/>
  <c r="U194" i="1"/>
  <c r="T194" i="1"/>
  <c r="S194" i="1"/>
  <c r="R194" i="1"/>
  <c r="V190" i="1"/>
  <c r="U190" i="1"/>
  <c r="S190" i="1"/>
  <c r="O190" i="1"/>
  <c r="K190" i="1"/>
  <c r="H190" i="1"/>
  <c r="D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4" i="1"/>
  <c r="U184" i="1"/>
  <c r="S184" i="1"/>
  <c r="O184" i="1"/>
  <c r="K184" i="1"/>
  <c r="L162" i="1" s="1"/>
  <c r="H184" i="1"/>
  <c r="D184" i="1"/>
  <c r="V153" i="1"/>
  <c r="U153" i="1"/>
  <c r="S153" i="1"/>
  <c r="O153" i="1"/>
  <c r="K153" i="1"/>
  <c r="B6" i="3" s="1"/>
  <c r="H153" i="1"/>
  <c r="D153" i="1"/>
  <c r="E151" i="1" s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5" i="1"/>
  <c r="U145" i="1"/>
  <c r="S145" i="1"/>
  <c r="O145" i="1"/>
  <c r="H145" i="1"/>
  <c r="V144" i="1"/>
  <c r="U144" i="1"/>
  <c r="T144" i="1"/>
  <c r="R144" i="1"/>
  <c r="V143" i="1"/>
  <c r="U143" i="1"/>
  <c r="T143" i="1"/>
  <c r="S143" i="1"/>
  <c r="R143" i="1"/>
  <c r="V142" i="1"/>
  <c r="U142" i="1"/>
  <c r="T142" i="1"/>
  <c r="S142" i="1"/>
  <c r="V140" i="1"/>
  <c r="U140" i="1"/>
  <c r="T140" i="1"/>
  <c r="S140" i="1"/>
  <c r="R140" i="1"/>
  <c r="V139" i="1"/>
  <c r="U139" i="1"/>
  <c r="T139" i="1"/>
  <c r="S139" i="1"/>
  <c r="V138" i="1"/>
  <c r="U138" i="1"/>
  <c r="T138" i="1"/>
  <c r="R138" i="1"/>
  <c r="S138" i="1"/>
  <c r="V137" i="1"/>
  <c r="U137" i="1"/>
  <c r="T137" i="1"/>
  <c r="S137" i="1"/>
  <c r="V136" i="1"/>
  <c r="U136" i="1"/>
  <c r="T136" i="1"/>
  <c r="S136" i="1"/>
  <c r="R136" i="1"/>
  <c r="V135" i="1"/>
  <c r="U135" i="1"/>
  <c r="T135" i="1"/>
  <c r="R135" i="1"/>
  <c r="V134" i="1"/>
  <c r="U134" i="1"/>
  <c r="S134" i="1"/>
  <c r="R134" i="1"/>
  <c r="V132" i="1"/>
  <c r="U132" i="1"/>
  <c r="T132" i="1"/>
  <c r="S132" i="1"/>
  <c r="R132" i="1"/>
  <c r="V131" i="1"/>
  <c r="U131" i="1"/>
  <c r="T131" i="1"/>
  <c r="S131" i="1"/>
  <c r="V130" i="1"/>
  <c r="U130" i="1"/>
  <c r="T130" i="1"/>
  <c r="S130" i="1"/>
  <c r="R130" i="1"/>
  <c r="V127" i="1"/>
  <c r="U127" i="1"/>
  <c r="T127" i="1"/>
  <c r="S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V123" i="1"/>
  <c r="U123" i="1"/>
  <c r="T123" i="1"/>
  <c r="S123" i="1"/>
  <c r="R123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V116" i="1"/>
  <c r="U116" i="1"/>
  <c r="T116" i="1"/>
  <c r="S116" i="1"/>
  <c r="V115" i="1"/>
  <c r="U115" i="1"/>
  <c r="T115" i="1"/>
  <c r="S115" i="1"/>
  <c r="R115" i="1"/>
  <c r="V113" i="1"/>
  <c r="U113" i="1"/>
  <c r="T113" i="1"/>
  <c r="S113" i="1"/>
  <c r="V112" i="1"/>
  <c r="U112" i="1"/>
  <c r="T112" i="1"/>
  <c r="S112" i="1"/>
  <c r="V111" i="1"/>
  <c r="U111" i="1"/>
  <c r="T111" i="1"/>
  <c r="R111" i="1"/>
  <c r="S111" i="1"/>
  <c r="V107" i="1"/>
  <c r="U107" i="1"/>
  <c r="S107" i="1"/>
  <c r="O107" i="1"/>
  <c r="K107" i="1"/>
  <c r="H107" i="1"/>
  <c r="D107" i="1"/>
  <c r="E133" i="1" s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7" i="1"/>
  <c r="U67" i="1"/>
  <c r="S67" i="1"/>
  <c r="O67" i="1"/>
  <c r="K67" i="1"/>
  <c r="E45" i="1" s="1"/>
  <c r="H67" i="1"/>
  <c r="D67" i="1"/>
  <c r="B14" i="2" s="1"/>
  <c r="B4" i="2" s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101" i="1" l="1"/>
  <c r="L76" i="1"/>
  <c r="L34" i="1"/>
  <c r="L45" i="1"/>
  <c r="C12" i="4"/>
  <c r="L95" i="1"/>
  <c r="L78" i="1"/>
  <c r="L23" i="1"/>
  <c r="L15" i="1"/>
  <c r="L80" i="1"/>
  <c r="L133" i="1"/>
  <c r="F12" i="4"/>
  <c r="B15" i="2"/>
  <c r="B5" i="2" s="1"/>
  <c r="E80" i="1"/>
  <c r="L35" i="1"/>
  <c r="L43" i="1"/>
  <c r="L85" i="1"/>
  <c r="L87" i="1"/>
  <c r="L59" i="1"/>
  <c r="B8" i="3"/>
  <c r="B20" i="2"/>
  <c r="B10" i="2" s="1"/>
  <c r="E199" i="1"/>
  <c r="L203" i="1"/>
  <c r="L199" i="1"/>
  <c r="E183" i="1"/>
  <c r="E171" i="1"/>
  <c r="E159" i="1"/>
  <c r="E181" i="1"/>
  <c r="E169" i="1"/>
  <c r="E157" i="1"/>
  <c r="E176" i="1"/>
  <c r="E164" i="1"/>
  <c r="E174" i="1"/>
  <c r="E179" i="1"/>
  <c r="E167" i="1"/>
  <c r="E158" i="1"/>
  <c r="E166" i="1"/>
  <c r="E172" i="1"/>
  <c r="E160" i="1"/>
  <c r="E178" i="1"/>
  <c r="E177" i="1"/>
  <c r="E165" i="1"/>
  <c r="E162" i="1"/>
  <c r="E182" i="1"/>
  <c r="E170" i="1"/>
  <c r="E175" i="1"/>
  <c r="E163" i="1"/>
  <c r="E173" i="1"/>
  <c r="E161" i="1"/>
  <c r="E180" i="1"/>
  <c r="E168" i="1"/>
  <c r="E156" i="1"/>
  <c r="L176" i="1"/>
  <c r="L164" i="1"/>
  <c r="L174" i="1"/>
  <c r="L181" i="1"/>
  <c r="L169" i="1"/>
  <c r="L157" i="1"/>
  <c r="L179" i="1"/>
  <c r="L172" i="1"/>
  <c r="L160" i="1"/>
  <c r="L166" i="1"/>
  <c r="L167" i="1"/>
  <c r="L177" i="1"/>
  <c r="L165" i="1"/>
  <c r="L163" i="1"/>
  <c r="L182" i="1"/>
  <c r="L170" i="1"/>
  <c r="L158" i="1"/>
  <c r="L178" i="1"/>
  <c r="L171" i="1"/>
  <c r="L175" i="1"/>
  <c r="L159" i="1"/>
  <c r="L180" i="1"/>
  <c r="L168" i="1"/>
  <c r="L156" i="1"/>
  <c r="L173" i="1"/>
  <c r="L161" i="1"/>
  <c r="B2" i="3"/>
  <c r="L188" i="1"/>
  <c r="L33" i="1"/>
  <c r="L12" i="1"/>
  <c r="L103" i="1"/>
  <c r="L71" i="1"/>
  <c r="E14" i="1"/>
  <c r="E33" i="1"/>
  <c r="E49" i="1"/>
  <c r="L49" i="1"/>
  <c r="R221" i="1"/>
  <c r="B5" i="3"/>
  <c r="L21" i="1"/>
  <c r="L7" i="1"/>
  <c r="D4" i="5"/>
  <c r="D3" i="5" s="1"/>
  <c r="B4" i="3"/>
  <c r="L201" i="1"/>
  <c r="R241" i="1"/>
  <c r="E237" i="1"/>
  <c r="E235" i="1"/>
  <c r="E233" i="1"/>
  <c r="E8" i="1"/>
  <c r="L210" i="1"/>
  <c r="E195" i="1"/>
  <c r="T241" i="1"/>
  <c r="J12" i="4"/>
  <c r="E12" i="1"/>
  <c r="E10" i="1"/>
  <c r="E6" i="1"/>
  <c r="E18" i="1"/>
  <c r="E200" i="1"/>
  <c r="E224" i="1"/>
  <c r="E231" i="1"/>
  <c r="E85" i="1"/>
  <c r="E22" i="1"/>
  <c r="E48" i="1"/>
  <c r="E20" i="1"/>
  <c r="E16" i="1"/>
  <c r="E73" i="1"/>
  <c r="E105" i="1"/>
  <c r="E101" i="1"/>
  <c r="E76" i="1"/>
  <c r="E99" i="1"/>
  <c r="S144" i="1"/>
  <c r="E229" i="1"/>
  <c r="E240" i="1"/>
  <c r="E97" i="1"/>
  <c r="E95" i="1"/>
  <c r="E78" i="1"/>
  <c r="E70" i="1"/>
  <c r="E72" i="1"/>
  <c r="E149" i="1"/>
  <c r="T190" i="1"/>
  <c r="E91" i="1"/>
  <c r="E83" i="1"/>
  <c r="E103" i="1"/>
  <c r="E89" i="1"/>
  <c r="E71" i="1"/>
  <c r="E81" i="1"/>
  <c r="E87" i="1"/>
  <c r="L24" i="1"/>
  <c r="E94" i="1"/>
  <c r="E96" i="1"/>
  <c r="E98" i="1"/>
  <c r="E100" i="1"/>
  <c r="E102" i="1"/>
  <c r="E104" i="1"/>
  <c r="E106" i="1"/>
  <c r="E230" i="1"/>
  <c r="E232" i="1"/>
  <c r="E234" i="1"/>
  <c r="E236" i="1"/>
  <c r="E238" i="1"/>
  <c r="L19" i="1"/>
  <c r="E75" i="1"/>
  <c r="E77" i="1"/>
  <c r="E79" i="1"/>
  <c r="E82" i="1"/>
  <c r="E84" i="1"/>
  <c r="E86" i="1"/>
  <c r="E88" i="1"/>
  <c r="E90" i="1"/>
  <c r="E92" i="1"/>
  <c r="T145" i="1"/>
  <c r="L11" i="1"/>
  <c r="L148" i="1"/>
  <c r="L152" i="1"/>
  <c r="L240" i="1"/>
  <c r="T67" i="1"/>
  <c r="L187" i="1"/>
  <c r="L189" i="1"/>
  <c r="E203" i="1"/>
  <c r="E205" i="1"/>
  <c r="E207" i="1"/>
  <c r="E209" i="1"/>
  <c r="T215" i="1"/>
  <c r="L6" i="1"/>
  <c r="L10" i="1"/>
  <c r="L14" i="1"/>
  <c r="L18" i="1"/>
  <c r="L22" i="1"/>
  <c r="E194" i="1"/>
  <c r="E198" i="1"/>
  <c r="E201" i="1"/>
  <c r="E213" i="1"/>
  <c r="H216" i="1"/>
  <c r="H242" i="1" s="1"/>
  <c r="R226" i="1"/>
  <c r="D145" i="1"/>
  <c r="T107" i="1"/>
  <c r="L151" i="1"/>
  <c r="T153" i="1"/>
  <c r="T184" i="1"/>
  <c r="E204" i="1"/>
  <c r="E206" i="1"/>
  <c r="E208" i="1"/>
  <c r="E210" i="1"/>
  <c r="C4" i="5"/>
  <c r="C3" i="5" s="1"/>
  <c r="D12" i="4"/>
  <c r="G12" i="4"/>
  <c r="H4" i="5"/>
  <c r="H3" i="5" s="1"/>
  <c r="I12" i="4"/>
  <c r="E93" i="1"/>
  <c r="L65" i="1"/>
  <c r="L81" i="1"/>
  <c r="L105" i="1"/>
  <c r="L61" i="1"/>
  <c r="L57" i="1"/>
  <c r="L55" i="1"/>
  <c r="L63" i="1"/>
  <c r="L53" i="1"/>
  <c r="L51" i="1"/>
  <c r="E56" i="1"/>
  <c r="E58" i="1"/>
  <c r="E60" i="1"/>
  <c r="E62" i="1"/>
  <c r="E64" i="1"/>
  <c r="E66" i="1"/>
  <c r="E54" i="1"/>
  <c r="E52" i="1"/>
  <c r="E50" i="1"/>
  <c r="L198" i="1"/>
  <c r="L204" i="1"/>
  <c r="L194" i="1"/>
  <c r="L202" i="1"/>
  <c r="L206" i="1"/>
  <c r="L232" i="1"/>
  <c r="L236" i="1"/>
  <c r="L230" i="1"/>
  <c r="L234" i="1"/>
  <c r="L238" i="1"/>
  <c r="L229" i="1"/>
  <c r="L231" i="1"/>
  <c r="L233" i="1"/>
  <c r="L235" i="1"/>
  <c r="L237" i="1"/>
  <c r="L239" i="1"/>
  <c r="L89" i="1"/>
  <c r="L97" i="1"/>
  <c r="L208" i="1"/>
  <c r="L73" i="1"/>
  <c r="E74" i="1"/>
  <c r="L48" i="1"/>
  <c r="L83" i="1"/>
  <c r="L91" i="1"/>
  <c r="L99" i="1"/>
  <c r="R153" i="1"/>
  <c r="L149" i="1"/>
  <c r="L150" i="1"/>
  <c r="L28" i="1"/>
  <c r="E29" i="1"/>
  <c r="L30" i="1"/>
  <c r="E31" i="1"/>
  <c r="L32" i="1"/>
  <c r="E34" i="1"/>
  <c r="E36" i="1"/>
  <c r="L37" i="1"/>
  <c r="E38" i="1"/>
  <c r="L39" i="1"/>
  <c r="E40" i="1"/>
  <c r="L41" i="1"/>
  <c r="E42" i="1"/>
  <c r="E44" i="1"/>
  <c r="L46" i="1"/>
  <c r="E47" i="1"/>
  <c r="L8" i="1"/>
  <c r="L9" i="1"/>
  <c r="L13" i="1"/>
  <c r="L16" i="1"/>
  <c r="L17" i="1"/>
  <c r="L20" i="1"/>
  <c r="R184" i="1"/>
  <c r="B7" i="3"/>
  <c r="C15" i="2"/>
  <c r="C5" i="2" s="1"/>
  <c r="R113" i="1"/>
  <c r="R116" i="1"/>
  <c r="R117" i="1"/>
  <c r="R124" i="1"/>
  <c r="E7" i="1"/>
  <c r="E9" i="1"/>
  <c r="E11" i="1"/>
  <c r="E13" i="1"/>
  <c r="E15" i="1"/>
  <c r="E17" i="1"/>
  <c r="E19" i="1"/>
  <c r="E21" i="1"/>
  <c r="E24" i="1"/>
  <c r="B3" i="3"/>
  <c r="C13" i="2"/>
  <c r="C3" i="2" s="1"/>
  <c r="O216" i="1"/>
  <c r="O242" i="1" s="1"/>
  <c r="E28" i="1"/>
  <c r="L29" i="1"/>
  <c r="E30" i="1"/>
  <c r="L31" i="1"/>
  <c r="E32" i="1"/>
  <c r="E35" i="1"/>
  <c r="L36" i="1"/>
  <c r="E37" i="1"/>
  <c r="L38" i="1"/>
  <c r="E39" i="1"/>
  <c r="L40" i="1"/>
  <c r="E41" i="1"/>
  <c r="L42" i="1"/>
  <c r="E43" i="1"/>
  <c r="L44" i="1"/>
  <c r="E46" i="1"/>
  <c r="L47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E63" i="1"/>
  <c r="L64" i="1"/>
  <c r="E65" i="1"/>
  <c r="L66" i="1"/>
  <c r="R67" i="1"/>
  <c r="L70" i="1"/>
  <c r="L72" i="1"/>
  <c r="L74" i="1"/>
  <c r="L75" i="1"/>
  <c r="L77" i="1"/>
  <c r="L79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R107" i="1"/>
  <c r="R112" i="1"/>
  <c r="R127" i="1"/>
  <c r="R131" i="1"/>
  <c r="S135" i="1"/>
  <c r="B19" i="2"/>
  <c r="B9" i="2" s="1"/>
  <c r="E189" i="1"/>
  <c r="E187" i="1"/>
  <c r="B13" i="2"/>
  <c r="B3" i="2" s="1"/>
  <c r="R25" i="1"/>
  <c r="T25" i="1"/>
  <c r="C14" i="2"/>
  <c r="C4" i="2" s="1"/>
  <c r="L93" i="1"/>
  <c r="R137" i="1"/>
  <c r="R139" i="1"/>
  <c r="R142" i="1"/>
  <c r="B17" i="2"/>
  <c r="B7" i="2" s="1"/>
  <c r="E152" i="1"/>
  <c r="E150" i="1"/>
  <c r="E148" i="1"/>
  <c r="B18" i="2"/>
  <c r="B8" i="2" s="1"/>
  <c r="E188" i="1"/>
  <c r="R190" i="1"/>
  <c r="L195" i="1"/>
  <c r="L200" i="1"/>
  <c r="L205" i="1"/>
  <c r="L207" i="1"/>
  <c r="L209" i="1"/>
  <c r="L213" i="1"/>
  <c r="R215" i="1"/>
  <c r="E220" i="1"/>
  <c r="L224" i="1"/>
  <c r="C17" i="2"/>
  <c r="C7" i="2" s="1"/>
  <c r="C18" i="2"/>
  <c r="C8" i="2" s="1"/>
  <c r="C19" i="2"/>
  <c r="C9" i="2" s="1"/>
  <c r="C20" i="2"/>
  <c r="C10" i="2" s="1"/>
  <c r="E114" i="1" l="1"/>
  <c r="E122" i="1"/>
  <c r="L114" i="1"/>
  <c r="B9" i="3"/>
  <c r="E127" i="1"/>
  <c r="E141" i="1"/>
  <c r="L124" i="1"/>
  <c r="L141" i="1"/>
  <c r="E130" i="1"/>
  <c r="E135" i="1"/>
  <c r="E136" i="1"/>
  <c r="E126" i="1"/>
  <c r="E111" i="1"/>
  <c r="E116" i="1"/>
  <c r="E131" i="1"/>
  <c r="D216" i="1"/>
  <c r="E67" i="1" s="1"/>
  <c r="E124" i="1"/>
  <c r="E142" i="1"/>
  <c r="E132" i="1"/>
  <c r="E113" i="1"/>
  <c r="E115" i="1"/>
  <c r="E144" i="1"/>
  <c r="E139" i="1"/>
  <c r="E118" i="1"/>
  <c r="E134" i="1"/>
  <c r="E119" i="1"/>
  <c r="E138" i="1"/>
  <c r="E137" i="1"/>
  <c r="E121" i="1"/>
  <c r="E140" i="1"/>
  <c r="E123" i="1"/>
  <c r="B16" i="2"/>
  <c r="B6" i="2" s="1"/>
  <c r="E125" i="1"/>
  <c r="E120" i="1"/>
  <c r="E112" i="1"/>
  <c r="L139" i="1"/>
  <c r="K216" i="1"/>
  <c r="L145" i="1" s="1"/>
  <c r="L131" i="1"/>
  <c r="L113" i="1"/>
  <c r="C16" i="2"/>
  <c r="C6" i="2" s="1"/>
  <c r="L143" i="1"/>
  <c r="L135" i="1"/>
  <c r="L144" i="1"/>
  <c r="L140" i="1"/>
  <c r="L138" i="1"/>
  <c r="R145" i="1"/>
  <c r="L136" i="1"/>
  <c r="L134" i="1"/>
  <c r="L130" i="1"/>
  <c r="L126" i="1"/>
  <c r="L121" i="1"/>
  <c r="L119" i="1"/>
  <c r="L111" i="1"/>
  <c r="L125" i="1"/>
  <c r="L123" i="1"/>
  <c r="L120" i="1"/>
  <c r="L118" i="1"/>
  <c r="L115" i="1"/>
  <c r="L112" i="1"/>
  <c r="L142" i="1"/>
  <c r="L137" i="1"/>
  <c r="L127" i="1"/>
  <c r="L116" i="1"/>
  <c r="L117" i="1"/>
  <c r="E190" i="1" l="1"/>
  <c r="E107" i="1"/>
  <c r="E184" i="1"/>
  <c r="E153" i="1"/>
  <c r="E215" i="1"/>
  <c r="D242" i="1"/>
  <c r="E25" i="1"/>
  <c r="E145" i="1"/>
  <c r="K242" i="1"/>
  <c r="R216" i="1"/>
  <c r="L190" i="1"/>
  <c r="L25" i="1"/>
  <c r="L184" i="1"/>
  <c r="L153" i="1"/>
  <c r="L67" i="1"/>
  <c r="L107" i="1"/>
  <c r="L215" i="1"/>
</calcChain>
</file>

<file path=xl/sharedStrings.xml><?xml version="1.0" encoding="utf-8"?>
<sst xmlns="http://schemas.openxmlformats.org/spreadsheetml/2006/main" count="497" uniqueCount="315">
  <si>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</si>
  <si>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</si>
  <si>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</si>
  <si>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</si>
  <si>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</si>
  <si>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</si>
  <si>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</si>
  <si>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</si>
  <si>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</si>
  <si>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</si>
  <si>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</si>
  <si>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</si>
  <si>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</si>
  <si>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</si>
  <si>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</si>
  <si>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</si>
  <si>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</si>
  <si>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</si>
  <si>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</si>
  <si>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</si>
  <si>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</si>
  <si>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</si>
  <si>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</si>
  <si>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</si>
  <si>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</si>
  <si>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</si>
  <si>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</si>
  <si>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</si>
  <si>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</si>
  <si>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</si>
  <si>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</si>
  <si>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</si>
  <si>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</si>
  <si>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</si>
  <si>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</si>
  <si>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</si>
  <si>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</si>
  <si>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</si>
  <si>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</si>
  <si>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</si>
  <si>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</si>
  <si>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</si>
  <si>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</si>
  <si>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</si>
  <si>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</si>
  <si>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</si>
  <si>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</si>
  <si>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</si>
  <si>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</si>
  <si>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</si>
  <si>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</si>
  <si>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</si>
  <si>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</si>
  <si>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</si>
  <si>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</si>
  <si>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</si>
  <si>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</si>
  <si>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</si>
  <si>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</si>
  <si>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</si>
  <si>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</si>
  <si>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</si>
  <si>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</si>
  <si>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</si>
  <si>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</si>
  <si>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</si>
  <si>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</si>
  <si>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</si>
  <si>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</si>
  <si>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</si>
  <si>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</si>
  <si>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</si>
  <si>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</si>
  <si>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</si>
  <si>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</si>
  <si>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</si>
  <si>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</si>
  <si>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</si>
  <si>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</si>
  <si>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</si>
  <si>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</si>
  <si>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</si>
  <si>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</si>
  <si>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</si>
  <si>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</si>
  <si>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</si>
  <si>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</si>
  <si>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</si>
  <si>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</si>
  <si>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</si>
  <si>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</si>
  <si>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</si>
  <si>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</si>
  <si>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</si>
  <si>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</si>
  <si>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</si>
  <si>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</si>
  <si>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</si>
  <si>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</si>
  <si>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</si>
  <si>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</si>
  <si>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</si>
  <si>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</si>
  <si>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</si>
  <si>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</si>
  <si>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</si>
  <si>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</si>
  <si>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</si>
  <si>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</si>
  <si>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</si>
  <si>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</si>
  <si>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</si>
  <si>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</si>
  <si>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</si>
  <si>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</si>
  <si>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</si>
  <si>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</si>
  <si>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</si>
  <si>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</si>
  <si>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</si>
  <si>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</si>
  <si>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</si>
  <si>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</si>
  <si>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</si>
  <si>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</si>
  <si>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</si>
  <si>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</si>
  <si>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</si>
  <si>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</si>
  <si>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</si>
  <si>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</si>
  <si>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</si>
  <si>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</si>
  <si>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</si>
  <si>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</si>
  <si>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</si>
  <si>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</si>
  <si>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</si>
  <si>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</si>
  <si>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</si>
  <si>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</si>
  <si>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</si>
  <si>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</si>
  <si>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</si>
  <si>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</si>
  <si>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</si>
  <si>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</si>
  <si>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</si>
  <si>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</si>
  <si>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</si>
  <si>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</si>
  <si>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</si>
  <si>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</si>
  <si>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</si>
  <si>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</si>
  <si>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</si>
  <si>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</si>
  <si>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</si>
  <si>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</si>
  <si>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</si>
  <si>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</si>
  <si>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</si>
  <si>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</si>
  <si>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</si>
  <si>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</si>
  <si>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</si>
  <si>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</si>
  <si>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</si>
  <si>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</si>
  <si>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</si>
  <si>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</si>
  <si>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</si>
  <si>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</si>
  <si>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</si>
  <si>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</si>
  <si>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</si>
  <si>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</si>
  <si>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</si>
  <si>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</si>
  <si>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</si>
  <si>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</si>
  <si>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</si>
  <si>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</si>
  <si>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</si>
  <si>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</si>
  <si>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</si>
  <si>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</si>
  <si>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</si>
  <si>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</si>
  <si>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</si>
  <si>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</si>
  <si>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</si>
  <si>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</si>
  <si>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</si>
  <si>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</si>
  <si>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</si>
  <si>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</si>
  <si>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</si>
  <si>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</si>
  <si>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</si>
  <si>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</si>
  <si>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</si>
  <si>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</si>
  <si>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</si>
  <si>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</si>
  <si>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</si>
  <si>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</si>
  <si>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</si>
  <si>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</si>
  <si>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</si>
  <si>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</si>
  <si>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</si>
  <si>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</si>
  <si>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</si>
  <si>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</si>
  <si>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</si>
  <si>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</si>
  <si>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</si>
  <si>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</si>
  <si>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</si>
  <si>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</si>
  <si>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</si>
  <si>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</si>
  <si>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</si>
  <si>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</si>
  <si>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</si>
  <si>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</si>
  <si>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</si>
  <si>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</si>
  <si>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</si>
  <si>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</si>
  <si>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</si>
  <si>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</si>
  <si>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</si>
  <si>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</si>
  <si>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</si>
  <si>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</si>
  <si>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</si>
  <si>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</si>
  <si>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</si>
  <si>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</si>
  <si>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</si>
  <si>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</si>
  <si>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</si>
  <si>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</si>
  <si>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</si>
  <si>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</si>
  <si>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</si>
  <si>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</si>
  <si>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</si>
  <si>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</si>
  <si>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</si>
  <si>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</si>
  <si>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</si>
  <si>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</si>
  <si>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</si>
  <si>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</si>
  <si>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</si>
  <si>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</si>
  <si>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</si>
  <si>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</si>
  <si>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</si>
  <si>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</si>
  <si>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</si>
  <si>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</si>
  <si>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</si>
  <si>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</si>
  <si>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</si>
  <si>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</si>
  <si>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</si>
  <si>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</si>
  <si>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</si>
  <si>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</si>
  <si>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</si>
  <si>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</si>
  <si>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</si>
  <si>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</si>
  <si>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</si>
  <si>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</si>
  <si>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</si>
  <si>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</si>
  <si>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</si>
  <si>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</si>
  <si>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</si>
  <si>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</si>
  <si>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</si>
  <si>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</si>
  <si>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</si>
  <si>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</si>
  <si>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</si>
  <si>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</si>
  <si>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</si>
  <si>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</si>
  <si>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</si>
  <si>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</si>
  <si>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</si>
  <si>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</si>
  <si>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</si>
  <si>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</si>
  <si>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</si>
  <si>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</si>
  <si>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</si>
  <si>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</si>
  <si>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</si>
  <si>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NFEM RATE NG₦/US$ as at 28th February, 2025 = N1,492.4910</t>
  </si>
  <si>
    <t>NAV, Unit Price and Yield as at Week Ended February 28, 2025</t>
  </si>
  <si>
    <t>0.12%</t>
  </si>
  <si>
    <t>Week Ended February 28, 2025</t>
  </si>
  <si>
    <t>WEEKLY VALUATION REPORT OF COLLECTIVE INVESTMENT SCHEMES AS AT WEEK ENDED FRIDAY, MARCH 7, 2025</t>
  </si>
  <si>
    <t>NAV, Unit Price and Yield as at Week Ended March 7, 2025</t>
  </si>
  <si>
    <t>FSL Money Market Fund</t>
  </si>
  <si>
    <t>FSL Asset Management Limited</t>
  </si>
  <si>
    <t>FSL Eurobond Fund</t>
  </si>
  <si>
    <t>0.13%</t>
  </si>
  <si>
    <t>Week Ended March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</si>
</sst>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2"/>
      <color theme="0"/>
      <name val="Arial Narrow"/>
      <family val="2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4" fillId="8" borderId="1" xfId="0" applyFont="1" applyFill="1" applyBorder="1"/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164" fontId="18" fillId="2" borderId="1" xfId="10" applyFont="1" applyFill="1" applyBorder="1"/>
    <xf numFmtId="10" fontId="18" fillId="8" borderId="1" xfId="2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/>
    </xf>
    <xf numFmtId="4" fontId="18" fillId="2" borderId="1" xfId="0" applyNumberFormat="1" applyFont="1" applyFill="1" applyBorder="1"/>
    <xf numFmtId="164" fontId="16" fillId="10" borderId="1" xfId="1" applyFont="1" applyFill="1" applyBorder="1" applyAlignment="1">
      <alignment horizontal="center"/>
    </xf>
    <xf numFmtId="164" fontId="18" fillId="2" borderId="1" xfId="1" applyFont="1" applyFill="1" applyBorder="1"/>
    <xf numFmtId="0" fontId="16" fillId="0" borderId="1" xfId="0" applyFont="1" applyBorder="1"/>
    <xf numFmtId="0" fontId="16" fillId="2" borderId="1" xfId="0" applyFont="1" applyFill="1" applyBorder="1"/>
    <xf numFmtId="0" fontId="15" fillId="2" borderId="1" xfId="0" applyFont="1" applyFill="1" applyBorder="1" applyAlignment="1">
      <alignment horizontal="right"/>
    </xf>
    <xf numFmtId="164" fontId="15" fillId="2" borderId="1" xfId="1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0" fontId="18" fillId="2" borderId="1" xfId="2" applyNumberFormat="1" applyFont="1" applyFill="1" applyBorder="1" applyAlignment="1">
      <alignment horizontal="center" vertical="top" wrapText="1"/>
    </xf>
    <xf numFmtId="4" fontId="18" fillId="2" borderId="1" xfId="1" applyNumberFormat="1" applyFont="1" applyFill="1" applyBorder="1" applyAlignment="1">
      <alignment vertical="top" wrapText="1"/>
    </xf>
    <xf numFmtId="164" fontId="15" fillId="10" borderId="1" xfId="1" applyFont="1" applyFill="1" applyBorder="1" applyAlignment="1">
      <alignment horizontal="center"/>
    </xf>
    <xf numFmtId="164" fontId="18" fillId="2" borderId="1" xfId="10" applyFont="1" applyFill="1" applyBorder="1" applyAlignment="1">
      <alignment horizontal="right"/>
    </xf>
    <xf numFmtId="4" fontId="18" fillId="2" borderId="1" xfId="1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 wrapText="1"/>
    </xf>
    <xf numFmtId="164" fontId="18" fillId="2" borderId="1" xfId="10" applyFont="1" applyFill="1" applyBorder="1" applyAlignment="1">
      <alignment horizontal="right" wrapText="1"/>
    </xf>
    <xf numFmtId="164" fontId="15" fillId="2" borderId="1" xfId="1" applyFont="1" applyFill="1" applyBorder="1" applyAlignment="1">
      <alignment horizontal="right"/>
    </xf>
    <xf numFmtId="164" fontId="14" fillId="3" borderId="1" xfId="1" applyFont="1" applyFill="1" applyBorder="1" applyAlignment="1">
      <alignment horizontal="center" vertical="top"/>
    </xf>
    <xf numFmtId="10" fontId="18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/>
    </xf>
    <xf numFmtId="10" fontId="18" fillId="10" borderId="1" xfId="2" applyNumberFormat="1" applyFont="1" applyFill="1" applyBorder="1" applyAlignment="1">
      <alignment horizontal="center" vertical="top" wrapText="1"/>
    </xf>
    <xf numFmtId="10" fontId="18" fillId="10" borderId="1" xfId="2" applyNumberFormat="1" applyFont="1" applyFill="1" applyBorder="1" applyAlignment="1">
      <alignment horizontal="center" wrapText="1"/>
    </xf>
    <xf numFmtId="10" fontId="18" fillId="8" borderId="1" xfId="2" applyNumberFormat="1" applyFont="1" applyFill="1" applyBorder="1" applyAlignment="1">
      <alignment horizontal="center" wrapText="1"/>
    </xf>
    <xf numFmtId="10" fontId="18" fillId="10" borderId="1" xfId="1" applyNumberFormat="1" applyFont="1" applyFill="1" applyBorder="1" applyAlignment="1">
      <alignment horizontal="center"/>
    </xf>
    <xf numFmtId="10" fontId="18" fillId="3" borderId="1" xfId="2" applyNumberFormat="1" applyFont="1" applyFill="1" applyBorder="1" applyAlignment="1">
      <alignment horizontal="center" vertical="top" wrapText="1"/>
    </xf>
    <xf numFmtId="10" fontId="16" fillId="3" borderId="1" xfId="2" applyNumberFormat="1" applyFont="1" applyFill="1" applyBorder="1" applyAlignment="1">
      <alignment horizontal="center" vertical="top" wrapText="1"/>
    </xf>
    <xf numFmtId="10" fontId="16" fillId="3" borderId="1" xfId="1" applyNumberFormat="1" applyFont="1" applyFill="1" applyBorder="1" applyAlignment="1">
      <alignment horizontal="center" vertical="top" wrapText="1"/>
    </xf>
    <xf numFmtId="10" fontId="20" fillId="11" borderId="0" xfId="0" applyNumberFormat="1" applyFont="1" applyFill="1" applyAlignment="1">
      <alignment horizontal="right" vertical="center" wrapText="1"/>
    </xf>
    <xf numFmtId="2" fontId="18" fillId="2" borderId="1" xfId="0" applyNumberFormat="1" applyFont="1" applyFill="1" applyBorder="1"/>
    <xf numFmtId="164" fontId="18" fillId="2" borderId="1" xfId="10" applyFont="1" applyFill="1" applyBorder="1" applyAlignment="1">
      <alignment wrapText="1"/>
    </xf>
    <xf numFmtId="164" fontId="18" fillId="12" borderId="1" xfId="1" applyFont="1" applyFill="1" applyBorder="1" applyAlignment="1">
      <alignment horizontal="center"/>
    </xf>
    <xf numFmtId="10" fontId="18" fillId="12" borderId="1" xfId="2" applyNumberFormat="1" applyFont="1" applyFill="1" applyBorder="1" applyAlignment="1">
      <alignment horizontal="center"/>
    </xf>
    <xf numFmtId="10" fontId="18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2" fillId="0" borderId="0" xfId="1" applyFont="1"/>
    <xf numFmtId="4" fontId="23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4" fillId="11" borderId="0" xfId="0" applyNumberFormat="1" applyFont="1" applyFill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4" fontId="26" fillId="0" borderId="1" xfId="0" applyNumberFormat="1" applyFont="1" applyFill="1" applyBorder="1" applyAlignment="1" applyProtection="1"/>
    <xf numFmtId="0" fontId="27" fillId="2" borderId="1" xfId="0" applyFont="1" applyFill="1" applyBorder="1"/>
    <xf numFmtId="4" fontId="18" fillId="2" borderId="1" xfId="1" applyNumberFormat="1" applyFont="1" applyFill="1" applyBorder="1" applyAlignment="1">
      <alignment horizontal="right" vertical="top" wrapText="1"/>
    </xf>
    <xf numFmtId="164" fontId="15" fillId="2" borderId="1" xfId="1" applyFont="1" applyFill="1" applyBorder="1"/>
    <xf numFmtId="43" fontId="18" fillId="2" borderId="1" xfId="0" applyNumberFormat="1" applyFont="1" applyFill="1" applyBorder="1"/>
    <xf numFmtId="4" fontId="18" fillId="2" borderId="1" xfId="10" applyNumberFormat="1" applyFont="1" applyFill="1" applyBorder="1" applyAlignment="1">
      <alignment horizontal="right"/>
    </xf>
    <xf numFmtId="4" fontId="18" fillId="2" borderId="1" xfId="0" applyNumberFormat="1" applyFont="1" applyFill="1" applyBorder="1" applyAlignment="1">
      <alignment horizontal="right" wrapText="1"/>
    </xf>
    <xf numFmtId="4" fontId="18" fillId="2" borderId="1" xfId="10" applyNumberFormat="1" applyFont="1" applyFill="1" applyBorder="1" applyAlignment="1">
      <alignment horizontal="right" wrapText="1"/>
    </xf>
    <xf numFmtId="4" fontId="18" fillId="10" borderId="1" xfId="1" applyNumberFormat="1" applyFont="1" applyFill="1" applyBorder="1" applyAlignment="1">
      <alignment horizontal="center"/>
    </xf>
    <xf numFmtId="4" fontId="18" fillId="10" borderId="1" xfId="1" applyNumberFormat="1" applyFont="1" applyFill="1" applyBorder="1" applyAlignment="1">
      <alignment horizontal="center" vertical="top" wrapText="1"/>
    </xf>
    <xf numFmtId="43" fontId="18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5" fillId="10" borderId="1" xfId="1" applyNumberFormat="1" applyFont="1" applyFill="1" applyBorder="1" applyAlignment="1">
      <alignment horizontal="right" vertical="top" wrapText="1"/>
    </xf>
    <xf numFmtId="0" fontId="18" fillId="15" borderId="1" xfId="0" applyFont="1" applyFill="1" applyBorder="1" applyAlignment="1">
      <alignment horizontal="right" vertical="center"/>
    </xf>
    <xf numFmtId="0" fontId="15" fillId="15" borderId="1" xfId="0" applyFont="1" applyFill="1" applyBorder="1" applyAlignment="1">
      <alignment horizontal="right" vertical="center"/>
    </xf>
    <xf numFmtId="164" fontId="15" fillId="15" borderId="1" xfId="1" applyFont="1" applyFill="1" applyBorder="1" applyAlignment="1">
      <alignment horizontal="right" vertical="center" wrapText="1"/>
    </xf>
    <xf numFmtId="10" fontId="18" fillId="15" borderId="1" xfId="1" applyNumberFormat="1" applyFont="1" applyFill="1" applyBorder="1" applyAlignment="1">
      <alignment horizontal="right" vertical="center" wrapText="1"/>
    </xf>
    <xf numFmtId="4" fontId="18" fillId="15" borderId="1" xfId="1" applyNumberFormat="1" applyFont="1" applyFill="1" applyBorder="1" applyAlignment="1">
      <alignment horizontal="right" vertical="center" wrapText="1"/>
    </xf>
    <xf numFmtId="164" fontId="15" fillId="15" borderId="1" xfId="1" applyFont="1" applyFill="1" applyBorder="1" applyAlignment="1">
      <alignment horizontal="right" vertical="top" wrapText="1"/>
    </xf>
    <xf numFmtId="4" fontId="18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8" fillId="15" borderId="1" xfId="1" applyNumberFormat="1" applyFont="1" applyFill="1" applyBorder="1" applyAlignment="1">
      <alignment horizontal="right" vertical="top" wrapText="1"/>
    </xf>
    <xf numFmtId="164" fontId="18" fillId="2" borderId="1" xfId="10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64" fontId="18" fillId="10" borderId="1" xfId="1" applyFont="1" applyFill="1" applyBorder="1" applyAlignment="1">
      <alignment horizontal="center" vertical="top" wrapText="1"/>
    </xf>
    <xf numFmtId="164" fontId="18" fillId="2" borderId="1" xfId="1" applyFont="1" applyFill="1" applyBorder="1" applyAlignment="1">
      <alignment horizontal="right" vertical="top" wrapText="1"/>
    </xf>
    <xf numFmtId="0" fontId="18" fillId="16" borderId="1" xfId="0" applyFont="1" applyFill="1" applyBorder="1" applyAlignment="1">
      <alignment horizontal="right" vertical="top" wrapText="1"/>
    </xf>
    <xf numFmtId="0" fontId="25" fillId="16" borderId="1" xfId="0" applyFont="1" applyFill="1" applyBorder="1" applyAlignment="1">
      <alignment horizontal="right" vertical="top" wrapText="1"/>
    </xf>
    <xf numFmtId="164" fontId="25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7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8" fillId="15" borderId="1" xfId="2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6" fillId="15" borderId="1" xfId="2" applyNumberFormat="1" applyFont="1" applyFill="1" applyBorder="1" applyAlignment="1">
      <alignment horizontal="center" vertical="top" wrapText="1"/>
    </xf>
    <xf numFmtId="166" fontId="16" fillId="15" borderId="1" xfId="2" applyNumberFormat="1" applyFont="1" applyFill="1" applyBorder="1" applyAlignment="1">
      <alignment horizontal="center" vertical="top" wrapText="1"/>
    </xf>
    <xf numFmtId="10" fontId="16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8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41" fillId="8" borderId="1" xfId="0" applyFont="1" applyFill="1" applyBorder="1"/>
    <xf numFmtId="0" fontId="42" fillId="0" borderId="0" xfId="0" applyFont="1"/>
    <xf numFmtId="0" fontId="30" fillId="6" borderId="1" xfId="0" applyFont="1" applyFill="1" applyBorder="1" applyAlignment="1">
      <alignment horizontal="left" vertical="center"/>
    </xf>
    <xf numFmtId="4" fontId="22" fillId="0" borderId="0" xfId="0" applyNumberFormat="1" applyFont="1"/>
    <xf numFmtId="0" fontId="18" fillId="15" borderId="1" xfId="0" applyFont="1" applyFill="1" applyBorder="1" applyAlignment="1">
      <alignment horizontal="right"/>
    </xf>
    <xf numFmtId="0" fontId="15" fillId="15" borderId="1" xfId="0" applyFont="1" applyFill="1" applyBorder="1" applyAlignment="1">
      <alignment horizontal="right"/>
    </xf>
    <xf numFmtId="43" fontId="8" fillId="0" borderId="0" xfId="0" applyNumberFormat="1" applyFont="1"/>
    <xf numFmtId="0" fontId="43" fillId="0" borderId="0" xfId="0" applyFont="1" applyAlignment="1">
      <alignment horizontal="right"/>
    </xf>
    <xf numFmtId="4" fontId="44" fillId="2" borderId="0" xfId="0" applyNumberFormat="1" applyFont="1" applyFill="1"/>
    <xf numFmtId="4" fontId="18" fillId="2" borderId="1" xfId="0" applyNumberFormat="1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18" fillId="2" borderId="1" xfId="1" applyFont="1" applyFill="1" applyBorder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center" wrapText="1"/>
    </xf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6" fillId="7" borderId="1" xfId="0" applyFont="1" applyFill="1" applyBorder="1"/>
    <xf numFmtId="0" fontId="6" fillId="0" borderId="1" xfId="0" applyFont="1" applyBorder="1"/>
    <xf numFmtId="0" fontId="10" fillId="0" borderId="0" xfId="0" applyFont="1" applyBorder="1"/>
    <xf numFmtId="0" fontId="48" fillId="0" borderId="0" xfId="0" applyFont="1" applyBorder="1" applyAlignment="1">
      <alignment horizontal="right"/>
    </xf>
    <xf numFmtId="16" fontId="48" fillId="2" borderId="0" xfId="0" applyNumberFormat="1" applyFont="1" applyFill="1" applyBorder="1" applyAlignment="1">
      <alignment horizontal="center" wrapText="1"/>
    </xf>
    <xf numFmtId="0" fontId="49" fillId="0" borderId="0" xfId="0" applyFont="1" applyBorder="1"/>
    <xf numFmtId="0" fontId="48" fillId="0" borderId="0" xfId="0" applyFont="1" applyBorder="1" applyAlignment="1">
      <alignment horizontal="right" wrapText="1"/>
    </xf>
    <xf numFmtId="4" fontId="50" fillId="2" borderId="0" xfId="0" applyNumberFormat="1" applyFont="1" applyFill="1" applyBorder="1"/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 wrapText="1"/>
    </xf>
    <xf numFmtId="164" fontId="52" fillId="0" borderId="0" xfId="1" applyFont="1" applyBorder="1"/>
    <xf numFmtId="4" fontId="52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4" fontId="52" fillId="2" borderId="0" xfId="0" applyNumberFormat="1" applyFont="1" applyFill="1" applyBorder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 applyAlignment="1">
      <alignment horizontal="right"/>
    </xf>
    <xf numFmtId="0" fontId="53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164" fontId="10" fillId="0" borderId="0" xfId="1" applyFont="1" applyBorder="1"/>
    <xf numFmtId="0" fontId="18" fillId="2" borderId="1" xfId="0" applyFont="1" applyFill="1" applyBorder="1" applyAlignment="1">
      <alignment horizontal="left" wrapText="1"/>
    </xf>
    <xf numFmtId="49" fontId="18" fillId="0" borderId="1" xfId="0" applyNumberFormat="1" applyFont="1" applyBorder="1" applyAlignment="1">
      <alignment wrapText="1"/>
    </xf>
    <xf numFmtId="4" fontId="18" fillId="0" borderId="1" xfId="0" applyNumberFormat="1" applyFont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25" fillId="14" borderId="1" xfId="0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54" fillId="0" borderId="0" xfId="0" applyFont="1"/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28,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38.249076563469998</c:v>
                </c:pt>
                <c:pt idx="1">
                  <c:v>2134.730862264129</c:v>
                </c:pt>
                <c:pt idx="2">
                  <c:v>192.4253325536952</c:v>
                </c:pt>
                <c:pt idx="3">
                  <c:v>1793.3268118238843</c:v>
                </c:pt>
                <c:pt idx="4">
                  <c:v>101.12809996418001</c:v>
                </c:pt>
                <c:pt idx="5" formatCode="_-* #,##0.00_-;\-* #,##0.00_-;_-* &quot;-&quot;??_-;_-@_-">
                  <c:v>57.79891425153302</c:v>
                </c:pt>
                <c:pt idx="6">
                  <c:v>6.7104709531500006</c:v>
                </c:pt>
                <c:pt idx="7">
                  <c:v>54.472879817508158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7,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37.42128971476</c:v>
                </c:pt>
                <c:pt idx="1">
                  <c:v>2212.6900033948405</c:v>
                </c:pt>
                <c:pt idx="2">
                  <c:v>192.65167516949469</c:v>
                </c:pt>
                <c:pt idx="3">
                  <c:v>1809.7410566076073</c:v>
                </c:pt>
                <c:pt idx="4">
                  <c:v>101.18038492677501</c:v>
                </c:pt>
                <c:pt idx="5" formatCode="_-* #,##0.00_-;\-* #,##0.00_-;_-* &quot;-&quot;??_-;_-@_-">
                  <c:v>57.327361079561818</c:v>
                </c:pt>
                <c:pt idx="6">
                  <c:v>6.6635386120999991</c:v>
                </c:pt>
                <c:pt idx="7">
                  <c:v>55.019083815621016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7TH MARCH,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7-Mar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6663538612.0999994</c:v>
                </c:pt>
                <c:pt idx="1">
                  <c:v>37421289714.760002</c:v>
                </c:pt>
                <c:pt idx="2" formatCode="_-* #,##0.00_-;\-* #,##0.00_-;_-* &quot;-&quot;??_-;_-@_-">
                  <c:v>55019083815.621017</c:v>
                </c:pt>
                <c:pt idx="3">
                  <c:v>57327361079.561821</c:v>
                </c:pt>
                <c:pt idx="4">
                  <c:v>101180384926.77501</c:v>
                </c:pt>
                <c:pt idx="5">
                  <c:v>192651675169.49469</c:v>
                </c:pt>
                <c:pt idx="6">
                  <c:v>2212690003394.8403</c:v>
                </c:pt>
                <c:pt idx="7">
                  <c:v>1809741056607.6074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45674</c:v>
                </c:pt>
                <c:pt idx="1">
                  <c:v>45681</c:v>
                </c:pt>
                <c:pt idx="2">
                  <c:v>45688</c:v>
                </c:pt>
                <c:pt idx="3">
                  <c:v>45695</c:v>
                </c:pt>
                <c:pt idx="4">
                  <c:v>45702</c:v>
                </c:pt>
                <c:pt idx="5">
                  <c:v>45709</c:v>
                </c:pt>
                <c:pt idx="6">
                  <c:v>45716</c:v>
                </c:pt>
                <c:pt idx="7">
                  <c:v>45723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4019.7056298340649</c:v>
                </c:pt>
                <c:pt idx="1">
                  <c:v>4119.3897630881565</c:v>
                </c:pt>
                <c:pt idx="2">
                  <c:v>4111.8204981719919</c:v>
                </c:pt>
                <c:pt idx="3">
                  <c:v>4191.3962694654292</c:v>
                </c:pt>
                <c:pt idx="4">
                  <c:v>4269.5517023318498</c:v>
                </c:pt>
                <c:pt idx="5">
                  <c:v>4304.4471471275037</c:v>
                </c:pt>
                <c:pt idx="6">
                  <c:v>4378.8424481915499</c:v>
                </c:pt>
                <c:pt idx="7">
                  <c:v>4472.6943933207594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45674</c:v>
                </c:pt>
                <c:pt idx="1">
                  <c:v>45681</c:v>
                </c:pt>
                <c:pt idx="2">
                  <c:v>45688</c:v>
                </c:pt>
                <c:pt idx="3">
                  <c:v>45695</c:v>
                </c:pt>
                <c:pt idx="4">
                  <c:v>45702</c:v>
                </c:pt>
                <c:pt idx="5">
                  <c:v>45709</c:v>
                </c:pt>
                <c:pt idx="6">
                  <c:v>45716</c:v>
                </c:pt>
                <c:pt idx="7">
                  <c:v>45723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13.126291240540001</c:v>
                </c:pt>
                <c:pt idx="1">
                  <c:v>12.926648581233682</c:v>
                </c:pt>
                <c:pt idx="2">
                  <c:v>13.139930136069998</c:v>
                </c:pt>
                <c:pt idx="3">
                  <c:v>13.518762702094183</c:v>
                </c:pt>
                <c:pt idx="4">
                  <c:v>13.762029268867213</c:v>
                </c:pt>
                <c:pt idx="5">
                  <c:v>13.757028670379999</c:v>
                </c:pt>
                <c:pt idx="6">
                  <c:v>13.569005930702859</c:v>
                </c:pt>
                <c:pt idx="7">
                  <c:v>13.40889556580691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tisaac\AppData\Local\Microsoft\Windows\INetCache\Content.Outlook\9V9AGVMZ\UCAF%20VALUATION%20AS%2028th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Excel.Sheet.12">
    <oleItems>
      <mc:AlternateContent xmlns:mc="http://schemas.openxmlformats.org/markup-compatibility/2006">
        <mc:Choice Requires="x14">
          <x14:oleItem name="!Sheet1!R5C3" advise="1">
            <x14:values>
              <value>
                <val>103022452.33</val>
              </value>
            </x14:values>
          </x14:oleItem>
        </mc:Choice>
        <mc:Fallback>
          <oleItem name="!Sheet1!R5C3" advise="1"/>
        </mc:Fallback>
      </mc:AlternateContent>
      <mc:AlternateContent xmlns:mc="http://schemas.openxmlformats.org/markup-compatibility/2006">
        <mc:Choice Requires="x14">
          <x14:oleItem name="!Sheet1!R5C4:R5C5" advise="1">
            <x14:values cols="2">
              <value>
                <val>112.39004698440147</val>
              </value>
              <value>
                <val>112.39004698440147</val>
              </value>
            </x14:values>
          </x14:oleItem>
        </mc:Choice>
        <mc:Fallback>
          <oleItem name="!Sheet1!R5C4:R5C5" advise="1"/>
        </mc:Fallback>
      </mc:AlternateContent>
      <mc:AlternateContent xmlns:mc="http://schemas.openxmlformats.org/markup-compatibility/2006">
        <mc:Choice Requires="x14">
          <x14:oleItem name="!Sheet1!R5C7:R5C8" advise="1">
            <x14:values cols="2">
              <value>
                <val>6.6247435746258536E-3</val>
              </value>
              <value>
                <val>1.7994436624247712E-2</val>
              </value>
            </x14:values>
          </x14:oleItem>
        </mc:Choice>
        <mc:Fallback>
          <oleItem name="!Sheet1!R5C7:R5C8" advise="1"/>
        </mc:Fallback>
      </mc:AlternateContent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9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3" t="s">
        <v>308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spans="1:25" ht="15" customHeight="1">
      <c r="A2" s="148"/>
      <c r="B2" s="23"/>
      <c r="C2" s="126"/>
      <c r="D2" s="184" t="s">
        <v>305</v>
      </c>
      <c r="E2" s="184"/>
      <c r="F2" s="184"/>
      <c r="G2" s="184"/>
      <c r="H2" s="184"/>
      <c r="I2" s="184"/>
      <c r="J2" s="184"/>
      <c r="K2" s="184" t="s">
        <v>309</v>
      </c>
      <c r="L2" s="184"/>
      <c r="M2" s="184"/>
      <c r="N2" s="184"/>
      <c r="O2" s="184"/>
      <c r="P2" s="184"/>
      <c r="Q2" s="184"/>
      <c r="R2" s="184" t="s">
        <v>0</v>
      </c>
      <c r="S2" s="184"/>
      <c r="T2" s="184"/>
      <c r="U2" s="184" t="s">
        <v>1</v>
      </c>
      <c r="V2" s="184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290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49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</row>
    <row r="5" spans="1:25" ht="15" customHeight="1">
      <c r="A5" s="181" t="s">
        <v>17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</row>
    <row r="6" spans="1:25">
      <c r="A6" s="137">
        <v>1</v>
      </c>
      <c r="B6" s="135" t="s">
        <v>18</v>
      </c>
      <c r="C6" s="136" t="s">
        <v>19</v>
      </c>
      <c r="D6" s="29">
        <v>1621434026.5899999</v>
      </c>
      <c r="E6" s="30">
        <f t="shared" ref="E6:E24" si="0">(D6/$D$25)</f>
        <v>4.2391455487805416E-2</v>
      </c>
      <c r="F6" s="31">
        <v>427.18130000000002</v>
      </c>
      <c r="G6" s="31">
        <v>429.49650000000003</v>
      </c>
      <c r="H6" s="32">
        <v>1816</v>
      </c>
      <c r="I6" s="50">
        <v>-6.1000000000000004E-3</v>
      </c>
      <c r="J6" s="50">
        <v>7.46E-2</v>
      </c>
      <c r="K6" s="29">
        <v>1624148297.1700001</v>
      </c>
      <c r="L6" s="30">
        <f>(K6/$K$25)</f>
        <v>4.3401718902525976E-2</v>
      </c>
      <c r="M6" s="31">
        <v>421.28960000000001</v>
      </c>
      <c r="N6" s="31">
        <v>423.74470000000002</v>
      </c>
      <c r="O6" s="32">
        <v>1816</v>
      </c>
      <c r="P6" s="50">
        <v>-1.38E-2</v>
      </c>
      <c r="Q6" s="50">
        <v>5.9799999999999999E-2</v>
      </c>
      <c r="R6" s="56">
        <f>((K6-D6)/D6)</f>
        <v>1.6739938446391686E-3</v>
      </c>
      <c r="S6" s="56">
        <f>((N6-G6)/G6)</f>
        <v>-1.3391960120746043E-2</v>
      </c>
      <c r="T6" s="56">
        <f>((O6-H6)/H6)</f>
        <v>0</v>
      </c>
      <c r="U6" s="57">
        <f>P6-I6</f>
        <v>-7.6999999999999994E-3</v>
      </c>
      <c r="V6" s="58">
        <f>Q6-J6</f>
        <v>-1.4800000000000001E-2</v>
      </c>
    </row>
    <row r="7" spans="1:25">
      <c r="A7" s="137">
        <v>2</v>
      </c>
      <c r="B7" s="135" t="s">
        <v>20</v>
      </c>
      <c r="C7" s="136" t="s">
        <v>21</v>
      </c>
      <c r="D7" s="33">
        <v>669208758.86000001</v>
      </c>
      <c r="E7" s="30">
        <f t="shared" si="0"/>
        <v>1.7496076218978099E-2</v>
      </c>
      <c r="F7" s="33">
        <v>279.92439999999999</v>
      </c>
      <c r="G7" s="33">
        <v>283.27609999999999</v>
      </c>
      <c r="H7" s="32">
        <v>465</v>
      </c>
      <c r="I7" s="50">
        <v>1.9580000000000001E-3</v>
      </c>
      <c r="J7" s="50">
        <v>8.6999999999999994E-2</v>
      </c>
      <c r="K7" s="33">
        <v>656690102.21000004</v>
      </c>
      <c r="L7" s="30">
        <f t="shared" ref="L7:L24" si="1">(K7/$K$25)</f>
        <v>1.7548569469827309E-2</v>
      </c>
      <c r="M7" s="33">
        <v>274.67500000000001</v>
      </c>
      <c r="N7" s="33">
        <v>277.98180000000002</v>
      </c>
      <c r="O7" s="32">
        <v>465</v>
      </c>
      <c r="P7" s="50">
        <v>-1.9469999999999999E-3</v>
      </c>
      <c r="Q7" s="50">
        <v>6.6699999999999995E-2</v>
      </c>
      <c r="R7" s="56">
        <f t="shared" ref="R7:R25" si="2">((K7-D7)/D7)</f>
        <v>-1.8706653916672523E-2</v>
      </c>
      <c r="S7" s="56">
        <f t="shared" ref="S7:S25" si="3">((N7-G7)/G7)</f>
        <v>-1.8689539992960805E-2</v>
      </c>
      <c r="T7" s="56">
        <f t="shared" ref="T7:T25" si="4">((O7-H7)/H7)</f>
        <v>0</v>
      </c>
      <c r="U7" s="57">
        <f t="shared" ref="U7:U25" si="5">P7-I7</f>
        <v>-3.9050000000000001E-3</v>
      </c>
      <c r="V7" s="58">
        <f t="shared" ref="V7:V25" si="6">Q7-J7</f>
        <v>-2.0299999999999999E-2</v>
      </c>
    </row>
    <row r="8" spans="1:25">
      <c r="A8" s="137">
        <v>3</v>
      </c>
      <c r="B8" s="135" t="s">
        <v>22</v>
      </c>
      <c r="C8" s="136" t="s">
        <v>23</v>
      </c>
      <c r="D8" s="33">
        <v>4029680788.3800001</v>
      </c>
      <c r="E8" s="30">
        <f t="shared" si="0"/>
        <v>0.10535367518463359</v>
      </c>
      <c r="F8" s="33">
        <v>36.961399999999998</v>
      </c>
      <c r="G8" s="33">
        <v>38.075800000000001</v>
      </c>
      <c r="H8" s="34">
        <v>6638</v>
      </c>
      <c r="I8" s="51">
        <v>0.26279999999999998</v>
      </c>
      <c r="J8" s="51">
        <v>-0.48820000000000002</v>
      </c>
      <c r="K8" s="33">
        <v>3998013473.02</v>
      </c>
      <c r="L8" s="30">
        <f t="shared" si="1"/>
        <v>0.10683793913824065</v>
      </c>
      <c r="M8" s="33">
        <v>36.542200000000001</v>
      </c>
      <c r="N8" s="33">
        <v>37.643900000000002</v>
      </c>
      <c r="O8" s="34">
        <v>6653</v>
      </c>
      <c r="P8" s="51">
        <v>-0.59150000000000003</v>
      </c>
      <c r="Q8" s="51">
        <v>0.1696</v>
      </c>
      <c r="R8" s="56">
        <f t="shared" si="2"/>
        <v>-7.858517094286005E-3</v>
      </c>
      <c r="S8" s="56">
        <f t="shared" si="3"/>
        <v>-1.1343162848843591E-2</v>
      </c>
      <c r="T8" s="56">
        <f t="shared" si="4"/>
        <v>2.2597167821633022E-3</v>
      </c>
      <c r="U8" s="57">
        <f t="shared" si="5"/>
        <v>-0.85430000000000006</v>
      </c>
      <c r="V8" s="58">
        <f t="shared" si="6"/>
        <v>0.65780000000000005</v>
      </c>
      <c r="X8" s="59"/>
      <c r="Y8" s="59"/>
    </row>
    <row r="9" spans="1:25">
      <c r="A9" s="137">
        <v>4</v>
      </c>
      <c r="B9" s="135" t="s">
        <v>24</v>
      </c>
      <c r="C9" s="136" t="s">
        <v>25</v>
      </c>
      <c r="D9" s="33">
        <v>594587216.54999995</v>
      </c>
      <c r="E9" s="30">
        <f t="shared" si="0"/>
        <v>1.5545139124165519E-2</v>
      </c>
      <c r="F9" s="33">
        <v>228.0163</v>
      </c>
      <c r="G9" s="33">
        <v>228.0163</v>
      </c>
      <c r="H9" s="32">
        <v>1923</v>
      </c>
      <c r="I9" s="50">
        <v>-8.6E-3</v>
      </c>
      <c r="J9" s="50">
        <v>4.1300000000000003E-2</v>
      </c>
      <c r="K9" s="33">
        <v>582162989</v>
      </c>
      <c r="L9" s="30">
        <f t="shared" si="1"/>
        <v>1.5556999596686232E-2</v>
      </c>
      <c r="M9" s="33">
        <v>224.32579999999999</v>
      </c>
      <c r="N9" s="33">
        <v>224.32579999999999</v>
      </c>
      <c r="O9" s="32">
        <v>1920</v>
      </c>
      <c r="P9" s="50">
        <v>-1.6199999999999999E-2</v>
      </c>
      <c r="Q9" s="50">
        <v>2.4500000000000001E-2</v>
      </c>
      <c r="R9" s="56">
        <f t="shared" si="2"/>
        <v>-2.0895551071699128E-2</v>
      </c>
      <c r="S9" s="56">
        <f t="shared" si="3"/>
        <v>-1.6185246405629836E-2</v>
      </c>
      <c r="T9" s="56">
        <f t="shared" si="4"/>
        <v>-1.5600624024960999E-3</v>
      </c>
      <c r="U9" s="57">
        <f t="shared" si="5"/>
        <v>-7.5999999999999991E-3</v>
      </c>
      <c r="V9" s="58">
        <f t="shared" si="6"/>
        <v>-1.6800000000000002E-2</v>
      </c>
    </row>
    <row r="10" spans="1:25">
      <c r="A10" s="137">
        <v>5</v>
      </c>
      <c r="B10" s="135" t="s">
        <v>26</v>
      </c>
      <c r="C10" s="136" t="s">
        <v>27</v>
      </c>
      <c r="D10" s="33">
        <v>1024571925.59</v>
      </c>
      <c r="E10" s="30">
        <f t="shared" si="0"/>
        <v>2.6786840824505637E-2</v>
      </c>
      <c r="F10" s="33">
        <v>1.3543000000000001</v>
      </c>
      <c r="G10" s="33">
        <v>1.3726</v>
      </c>
      <c r="H10" s="32">
        <v>501</v>
      </c>
      <c r="I10" s="50">
        <v>-9.2999999999999992E-3</v>
      </c>
      <c r="J10" s="50">
        <v>9.3700000000000006E-2</v>
      </c>
      <c r="K10" s="33">
        <v>1002531522.1</v>
      </c>
      <c r="L10" s="30">
        <f t="shared" si="1"/>
        <v>2.6790405401355626E-2</v>
      </c>
      <c r="M10" s="33">
        <v>1.3277000000000001</v>
      </c>
      <c r="N10" s="33">
        <v>1.3455999999999999</v>
      </c>
      <c r="O10" s="32">
        <v>501</v>
      </c>
      <c r="P10" s="50">
        <v>-1.9699999999999999E-2</v>
      </c>
      <c r="Q10" s="50">
        <v>7.22E-2</v>
      </c>
      <c r="R10" s="56">
        <f t="shared" si="2"/>
        <v>-2.1511816730004619E-2</v>
      </c>
      <c r="S10" s="56">
        <f t="shared" si="3"/>
        <v>-1.9670697945504977E-2</v>
      </c>
      <c r="T10" s="56">
        <f t="shared" si="4"/>
        <v>0</v>
      </c>
      <c r="U10" s="57">
        <f t="shared" si="5"/>
        <v>-1.04E-2</v>
      </c>
      <c r="V10" s="58">
        <f t="shared" si="6"/>
        <v>-2.1500000000000005E-2</v>
      </c>
    </row>
    <row r="11" spans="1:25">
      <c r="A11" s="137">
        <v>6</v>
      </c>
      <c r="B11" s="135" t="s">
        <v>28</v>
      </c>
      <c r="C11" s="136" t="s">
        <v>29</v>
      </c>
      <c r="D11" s="35">
        <v>102587107.93000001</v>
      </c>
      <c r="E11" s="30">
        <f t="shared" si="0"/>
        <v>2.6820806447383988E-3</v>
      </c>
      <c r="F11" s="33">
        <v>182.5703</v>
      </c>
      <c r="G11" s="33">
        <v>183.51439999999999</v>
      </c>
      <c r="H11" s="34">
        <v>70</v>
      </c>
      <c r="I11" s="51">
        <v>-4.1619999999999999E-3</v>
      </c>
      <c r="J11" s="51">
        <v>6.2199999999999998E-2</v>
      </c>
      <c r="K11" s="35">
        <v>102683655.54000001</v>
      </c>
      <c r="L11" s="30">
        <f t="shared" si="1"/>
        <v>2.7439902879536167E-3</v>
      </c>
      <c r="M11" s="33">
        <v>181.27420000000001</v>
      </c>
      <c r="N11" s="33">
        <v>182.18539999999999</v>
      </c>
      <c r="O11" s="34">
        <v>68</v>
      </c>
      <c r="P11" s="51">
        <v>2.3359999999999999E-2</v>
      </c>
      <c r="Q11" s="51">
        <v>5.4699999999999999E-2</v>
      </c>
      <c r="R11" s="56">
        <f t="shared" si="2"/>
        <v>9.4112810028603561E-4</v>
      </c>
      <c r="S11" s="56">
        <f t="shared" si="3"/>
        <v>-7.2419385072779452E-3</v>
      </c>
      <c r="T11" s="56">
        <f t="shared" si="4"/>
        <v>-2.8571428571428571E-2</v>
      </c>
      <c r="U11" s="57">
        <f t="shared" si="5"/>
        <v>2.7521999999999998E-2</v>
      </c>
      <c r="V11" s="58">
        <f t="shared" si="6"/>
        <v>-7.4999999999999997E-3</v>
      </c>
    </row>
    <row r="12" spans="1:25">
      <c r="A12" s="137">
        <v>7</v>
      </c>
      <c r="B12" s="135" t="s">
        <v>30</v>
      </c>
      <c r="C12" s="136" t="s">
        <v>31</v>
      </c>
      <c r="D12" s="33">
        <v>1525361347.79</v>
      </c>
      <c r="E12" s="30">
        <f t="shared" si="0"/>
        <v>3.9879690827537652E-2</v>
      </c>
      <c r="F12" s="33">
        <v>360.84</v>
      </c>
      <c r="G12" s="33">
        <v>365.17</v>
      </c>
      <c r="H12" s="34">
        <v>1664</v>
      </c>
      <c r="I12" s="51">
        <v>-7.6E-3</v>
      </c>
      <c r="J12" s="51">
        <v>0.1143</v>
      </c>
      <c r="K12" s="33">
        <v>1503929848.0799999</v>
      </c>
      <c r="L12" s="30">
        <f t="shared" si="1"/>
        <v>4.0189150602332337E-2</v>
      </c>
      <c r="M12" s="33">
        <v>353.28</v>
      </c>
      <c r="N12" s="33">
        <v>357.24</v>
      </c>
      <c r="O12" s="34">
        <v>1671</v>
      </c>
      <c r="P12" s="51">
        <v>-2.1299999999999999E-2</v>
      </c>
      <c r="Q12" s="51">
        <v>9.0999999999999998E-2</v>
      </c>
      <c r="R12" s="56">
        <f t="shared" si="2"/>
        <v>-1.4050113267292887E-2</v>
      </c>
      <c r="S12" s="56">
        <f t="shared" si="3"/>
        <v>-2.1715913136347471E-2</v>
      </c>
      <c r="T12" s="56">
        <f t="shared" si="4"/>
        <v>4.206730769230769E-3</v>
      </c>
      <c r="U12" s="57">
        <f t="shared" si="5"/>
        <v>-1.37E-2</v>
      </c>
      <c r="V12" s="58">
        <f t="shared" si="6"/>
        <v>-2.3300000000000001E-2</v>
      </c>
    </row>
    <row r="13" spans="1:25">
      <c r="A13" s="137">
        <v>8</v>
      </c>
      <c r="B13" s="135" t="s">
        <v>32</v>
      </c>
      <c r="C13" s="136" t="s">
        <v>33</v>
      </c>
      <c r="D13" s="29">
        <v>442202424.14999998</v>
      </c>
      <c r="E13" s="30">
        <f t="shared" si="0"/>
        <v>1.1561126800439619E-2</v>
      </c>
      <c r="F13" s="33">
        <v>221.57</v>
      </c>
      <c r="G13" s="33">
        <v>231.37</v>
      </c>
      <c r="H13" s="32">
        <v>2468</v>
      </c>
      <c r="I13" s="50">
        <v>-6.0499999999999998E-3</v>
      </c>
      <c r="J13" s="50">
        <v>0.76249999999999996</v>
      </c>
      <c r="K13" s="29">
        <v>436596565.86000001</v>
      </c>
      <c r="L13" s="30">
        <f t="shared" si="1"/>
        <v>1.1667063566967178E-2</v>
      </c>
      <c r="M13" s="33">
        <v>218.76</v>
      </c>
      <c r="N13" s="33">
        <v>228.33</v>
      </c>
      <c r="O13" s="32">
        <v>2468</v>
      </c>
      <c r="P13" s="50">
        <v>-5.0067E-2</v>
      </c>
      <c r="Q13" s="50">
        <v>0.74019000000000001</v>
      </c>
      <c r="R13" s="56">
        <f t="shared" si="2"/>
        <v>-1.2677131521328776E-2</v>
      </c>
      <c r="S13" s="56">
        <f t="shared" si="3"/>
        <v>-1.3139127803950348E-2</v>
      </c>
      <c r="T13" s="56">
        <f t="shared" si="4"/>
        <v>0</v>
      </c>
      <c r="U13" s="57">
        <f t="shared" si="5"/>
        <v>-4.4017000000000001E-2</v>
      </c>
      <c r="V13" s="58">
        <f t="shared" si="6"/>
        <v>-2.2309999999999941E-2</v>
      </c>
    </row>
    <row r="14" spans="1:25">
      <c r="A14" s="137">
        <v>9</v>
      </c>
      <c r="B14" s="135" t="s">
        <v>34</v>
      </c>
      <c r="C14" s="136" t="s">
        <v>35</v>
      </c>
      <c r="D14" s="35">
        <v>66538303.920000002</v>
      </c>
      <c r="E14" s="30">
        <f t="shared" si="0"/>
        <v>1.7396054989611903E-3</v>
      </c>
      <c r="F14" s="33">
        <v>236.15</v>
      </c>
      <c r="G14" s="33">
        <v>243.73</v>
      </c>
      <c r="H14" s="32">
        <v>18</v>
      </c>
      <c r="I14" s="50">
        <v>-2.5999999999999999E-3</v>
      </c>
      <c r="J14" s="50">
        <v>7.1900000000000006E-2</v>
      </c>
      <c r="K14" s="35">
        <v>65244534.890000001</v>
      </c>
      <c r="L14" s="30">
        <f t="shared" si="1"/>
        <v>1.7435137962192077E-3</v>
      </c>
      <c r="M14" s="33">
        <v>229.54</v>
      </c>
      <c r="N14" s="33">
        <v>236.87</v>
      </c>
      <c r="O14" s="32">
        <v>18</v>
      </c>
      <c r="P14" s="50">
        <v>-2.81E-2</v>
      </c>
      <c r="Q14" s="50">
        <v>3.9100000000000003E-2</v>
      </c>
      <c r="R14" s="56">
        <f t="shared" si="2"/>
        <v>-1.9443973678011376E-2</v>
      </c>
      <c r="S14" s="56">
        <f t="shared" si="3"/>
        <v>-2.8145899150699486E-2</v>
      </c>
      <c r="T14" s="56">
        <f t="shared" si="4"/>
        <v>0</v>
      </c>
      <c r="U14" s="57">
        <f t="shared" si="5"/>
        <v>-2.5500000000000002E-2</v>
      </c>
      <c r="V14" s="58">
        <f t="shared" si="6"/>
        <v>-3.2800000000000003E-2</v>
      </c>
    </row>
    <row r="15" spans="1:25" ht="14.25" customHeight="1">
      <c r="A15" s="137">
        <v>10</v>
      </c>
      <c r="B15" s="135" t="s">
        <v>36</v>
      </c>
      <c r="C15" s="136" t="s">
        <v>37</v>
      </c>
      <c r="D15" s="29">
        <v>750708793.75999999</v>
      </c>
      <c r="E15" s="30">
        <f t="shared" si="0"/>
        <v>1.9626847527005886E-2</v>
      </c>
      <c r="F15" s="33">
        <v>2.5464699999999998</v>
      </c>
      <c r="G15" s="33">
        <v>2.5685129999999998</v>
      </c>
      <c r="H15" s="32">
        <v>475</v>
      </c>
      <c r="I15" s="50">
        <v>-3.0263879101088964E-3</v>
      </c>
      <c r="J15" s="50">
        <v>0.21569204078739013</v>
      </c>
      <c r="K15" s="29">
        <v>746989531.10000002</v>
      </c>
      <c r="L15" s="30">
        <f t="shared" si="1"/>
        <v>1.996161908886231E-2</v>
      </c>
      <c r="M15" s="33">
        <v>2.5324740000000001</v>
      </c>
      <c r="N15" s="33">
        <v>2.5558329999999998</v>
      </c>
      <c r="O15" s="32">
        <v>478</v>
      </c>
      <c r="P15" s="50">
        <v>-5.4962359658663473E-3</v>
      </c>
      <c r="Q15" s="50">
        <v>0.209010310469397</v>
      </c>
      <c r="R15" s="56">
        <f t="shared" si="2"/>
        <v>-4.9543347445973928E-3</v>
      </c>
      <c r="S15" s="56">
        <f t="shared" si="3"/>
        <v>-4.9367085157832665E-3</v>
      </c>
      <c r="T15" s="56">
        <f t="shared" si="4"/>
        <v>6.3157894736842104E-3</v>
      </c>
      <c r="U15" s="57">
        <f t="shared" si="5"/>
        <v>-2.4698480557574509E-3</v>
      </c>
      <c r="V15" s="58">
        <f t="shared" si="6"/>
        <v>-6.6817303179931287E-3</v>
      </c>
    </row>
    <row r="16" spans="1:25" ht="14.25" customHeight="1">
      <c r="A16" s="137">
        <v>11</v>
      </c>
      <c r="B16" s="135" t="s">
        <v>38</v>
      </c>
      <c r="C16" s="136" t="s">
        <v>39</v>
      </c>
      <c r="D16" s="29">
        <v>18558579.690000001</v>
      </c>
      <c r="E16" s="30">
        <f t="shared" si="0"/>
        <v>4.8520333972518643E-4</v>
      </c>
      <c r="F16" s="33">
        <v>16.57</v>
      </c>
      <c r="G16" s="33">
        <v>16.66</v>
      </c>
      <c r="H16" s="32">
        <v>28</v>
      </c>
      <c r="I16" s="50">
        <v>2.0000000000000002E-5</v>
      </c>
      <c r="J16" s="50">
        <v>6.0000000000000001E-3</v>
      </c>
      <c r="K16" s="29">
        <v>18199533.079999998</v>
      </c>
      <c r="L16" s="30">
        <f t="shared" si="1"/>
        <v>4.8634168460585134E-4</v>
      </c>
      <c r="M16" s="33">
        <v>15.33</v>
      </c>
      <c r="N16" s="33">
        <v>16.25</v>
      </c>
      <c r="O16" s="32">
        <v>28</v>
      </c>
      <c r="P16" s="50">
        <v>2.0000000000000001E-4</v>
      </c>
      <c r="Q16" s="50">
        <v>5.5999999999999999E-3</v>
      </c>
      <c r="R16" s="56">
        <f t="shared" ref="R16" si="7">((K16-D16)/D16)</f>
        <v>-1.934666423818358E-2</v>
      </c>
      <c r="S16" s="56">
        <f t="shared" ref="S16" si="8">((N16-G16)/G16)</f>
        <v>-2.4609843937575038E-2</v>
      </c>
      <c r="T16" s="56">
        <f t="shared" ref="T16" si="9">((O16-H16)/H16)</f>
        <v>0</v>
      </c>
      <c r="U16" s="57">
        <f t="shared" ref="U16" si="10">P16-I16</f>
        <v>1.8000000000000001E-4</v>
      </c>
      <c r="V16" s="58">
        <f t="shared" ref="V16" si="11">Q16-J16</f>
        <v>-4.0000000000000018E-4</v>
      </c>
    </row>
    <row r="17" spans="1:22">
      <c r="A17" s="137">
        <v>12</v>
      </c>
      <c r="B17" s="135" t="s">
        <v>40</v>
      </c>
      <c r="C17" s="136" t="s">
        <v>41</v>
      </c>
      <c r="D17" s="129">
        <v>1907660889.5999999</v>
      </c>
      <c r="E17" s="30">
        <f t="shared" si="0"/>
        <v>4.9874691391162171E-2</v>
      </c>
      <c r="F17" s="33">
        <v>3.89</v>
      </c>
      <c r="G17" s="33">
        <v>3.97</v>
      </c>
      <c r="H17" s="32">
        <v>3650</v>
      </c>
      <c r="I17" s="50">
        <v>-1.8499999999999999E-2</v>
      </c>
      <c r="J17" s="50">
        <v>6.8199999999999997E-2</v>
      </c>
      <c r="K17" s="129">
        <v>1893482480.26</v>
      </c>
      <c r="L17" s="30">
        <f t="shared" si="1"/>
        <v>5.0599070601063695E-2</v>
      </c>
      <c r="M17" s="33">
        <v>3.86</v>
      </c>
      <c r="N17" s="33">
        <v>3.94</v>
      </c>
      <c r="O17" s="32">
        <v>3650</v>
      </c>
      <c r="P17" s="50">
        <v>-1.8200000000000001E-2</v>
      </c>
      <c r="Q17" s="50">
        <v>0.06</v>
      </c>
      <c r="R17" s="56">
        <f t="shared" si="2"/>
        <v>-7.4323531070413966E-3</v>
      </c>
      <c r="S17" s="56">
        <f t="shared" si="3"/>
        <v>-7.5566750629723544E-3</v>
      </c>
      <c r="T17" s="56">
        <f t="shared" si="4"/>
        <v>0</v>
      </c>
      <c r="U17" s="57">
        <f t="shared" si="5"/>
        <v>2.9999999999999818E-4</v>
      </c>
      <c r="V17" s="58">
        <f t="shared" si="6"/>
        <v>-8.199999999999999E-3</v>
      </c>
    </row>
    <row r="18" spans="1:22">
      <c r="A18" s="137">
        <v>13</v>
      </c>
      <c r="B18" s="135" t="s">
        <v>42</v>
      </c>
      <c r="C18" s="136" t="s">
        <v>43</v>
      </c>
      <c r="D18" s="33">
        <v>1038860234.36</v>
      </c>
      <c r="E18" s="30">
        <f t="shared" si="0"/>
        <v>2.7160400399108442E-2</v>
      </c>
      <c r="F18" s="33">
        <v>26.504636000000001</v>
      </c>
      <c r="G18" s="33">
        <v>26.615020999999999</v>
      </c>
      <c r="H18" s="32">
        <v>431</v>
      </c>
      <c r="I18" s="50">
        <v>-1.0726219041473306E-2</v>
      </c>
      <c r="J18" s="50">
        <v>9.1067180034443806E-2</v>
      </c>
      <c r="K18" s="33">
        <v>978516284.88999999</v>
      </c>
      <c r="L18" s="30">
        <f t="shared" si="1"/>
        <v>2.6148652073422415E-2</v>
      </c>
      <c r="M18" s="33">
        <v>25.744983000000001</v>
      </c>
      <c r="N18" s="33">
        <v>25.867820999999999</v>
      </c>
      <c r="O18" s="32">
        <v>431</v>
      </c>
      <c r="P18" s="50">
        <v>-2.8661136866773074E-2</v>
      </c>
      <c r="Q18" s="50">
        <v>5.9795954256632422E-2</v>
      </c>
      <c r="R18" s="56">
        <f t="shared" si="2"/>
        <v>-5.8086687192503338E-2</v>
      </c>
      <c r="S18" s="56">
        <f t="shared" si="3"/>
        <v>-2.8074371987157155E-2</v>
      </c>
      <c r="T18" s="56">
        <f t="shared" si="4"/>
        <v>0</v>
      </c>
      <c r="U18" s="57">
        <f t="shared" si="5"/>
        <v>-1.7934917825299768E-2</v>
      </c>
      <c r="V18" s="58">
        <f t="shared" si="6"/>
        <v>-3.1271225777811384E-2</v>
      </c>
    </row>
    <row r="19" spans="1:22">
      <c r="A19" s="137">
        <v>14</v>
      </c>
      <c r="B19" s="135" t="s">
        <v>44</v>
      </c>
      <c r="C19" s="136" t="s">
        <v>45</v>
      </c>
      <c r="D19" s="33">
        <v>135727488.47</v>
      </c>
      <c r="E19" s="30">
        <f t="shared" si="0"/>
        <v>3.5485167398688865E-3</v>
      </c>
      <c r="F19" s="33">
        <v>1.4589510000000001</v>
      </c>
      <c r="G19" s="33">
        <v>1.514667</v>
      </c>
      <c r="H19" s="32">
        <v>23</v>
      </c>
      <c r="I19" s="50">
        <v>0.35630000000000001</v>
      </c>
      <c r="J19" s="50">
        <v>4.6600000000000003E-2</v>
      </c>
      <c r="K19" s="33">
        <v>135141615.33000001</v>
      </c>
      <c r="L19" s="30">
        <f t="shared" si="1"/>
        <v>3.6113564326644889E-3</v>
      </c>
      <c r="M19" s="33">
        <v>1.4521729999999999</v>
      </c>
      <c r="N19" s="33">
        <v>1.5084379999999999</v>
      </c>
      <c r="O19" s="32">
        <v>23</v>
      </c>
      <c r="P19" s="50">
        <v>1.6000000000000001E-3</v>
      </c>
      <c r="Q19" s="50">
        <v>4.3700000000000003E-2</v>
      </c>
      <c r="R19" s="56">
        <f t="shared" si="2"/>
        <v>-4.3165400509822434E-3</v>
      </c>
      <c r="S19" s="56">
        <f t="shared" si="3"/>
        <v>-4.1124550808857921E-3</v>
      </c>
      <c r="T19" s="56">
        <f t="shared" si="4"/>
        <v>0</v>
      </c>
      <c r="U19" s="57">
        <f t="shared" si="5"/>
        <v>-0.35470000000000002</v>
      </c>
      <c r="V19" s="58">
        <f t="shared" si="6"/>
        <v>-2.8999999999999998E-3</v>
      </c>
    </row>
    <row r="20" spans="1:22">
      <c r="A20" s="137">
        <v>15</v>
      </c>
      <c r="B20" s="135" t="s">
        <v>46</v>
      </c>
      <c r="C20" s="136" t="s">
        <v>47</v>
      </c>
      <c r="D20" s="29">
        <v>2559203196.5999999</v>
      </c>
      <c r="E20" s="30">
        <f t="shared" si="0"/>
        <v>6.690888843690887E-2</v>
      </c>
      <c r="F20" s="33">
        <v>34.01</v>
      </c>
      <c r="G20" s="33">
        <v>34.17</v>
      </c>
      <c r="H20" s="32">
        <v>8944</v>
      </c>
      <c r="I20" s="50">
        <v>-1.4800000000000001E-2</v>
      </c>
      <c r="J20" s="50">
        <v>8.0399999999999999E-2</v>
      </c>
      <c r="K20" s="29">
        <v>2515296928.6100001</v>
      </c>
      <c r="L20" s="30">
        <f t="shared" si="1"/>
        <v>6.7215666477093566E-2</v>
      </c>
      <c r="M20" s="33">
        <v>33.25</v>
      </c>
      <c r="N20" s="33">
        <v>33.42</v>
      </c>
      <c r="O20" s="32">
        <v>8944</v>
      </c>
      <c r="P20" s="50">
        <v>-1.8499999999999999E-2</v>
      </c>
      <c r="Q20" s="50">
        <v>6.0400000000000002E-2</v>
      </c>
      <c r="R20" s="56">
        <f t="shared" si="2"/>
        <v>-1.715622583166938E-2</v>
      </c>
      <c r="S20" s="56">
        <f t="shared" si="3"/>
        <v>-2.1949078138718173E-2</v>
      </c>
      <c r="T20" s="56">
        <f t="shared" si="4"/>
        <v>0</v>
      </c>
      <c r="U20" s="57">
        <f t="shared" si="5"/>
        <v>-3.6999999999999984E-3</v>
      </c>
      <c r="V20" s="58">
        <f t="shared" si="6"/>
        <v>-1.9999999999999997E-2</v>
      </c>
    </row>
    <row r="21" spans="1:22" ht="12.75" customHeight="1">
      <c r="A21" s="137">
        <v>16</v>
      </c>
      <c r="B21" s="135" t="s">
        <v>48</v>
      </c>
      <c r="C21" s="136" t="s">
        <v>49</v>
      </c>
      <c r="D21" s="33">
        <v>905099290.22000003</v>
      </c>
      <c r="E21" s="30">
        <f t="shared" si="0"/>
        <v>2.3663297824147219E-2</v>
      </c>
      <c r="F21" s="33">
        <v>8881.11</v>
      </c>
      <c r="G21" s="33">
        <v>9001.09</v>
      </c>
      <c r="H21" s="32">
        <v>22</v>
      </c>
      <c r="I21" s="50">
        <v>-9.5999999999999992E-3</v>
      </c>
      <c r="J21" s="50">
        <v>0.10979999999999999</v>
      </c>
      <c r="K21" s="33">
        <v>872522623.86000001</v>
      </c>
      <c r="L21" s="30">
        <f t="shared" si="1"/>
        <v>2.3316209315892518E-2</v>
      </c>
      <c r="M21" s="33">
        <v>8630.36</v>
      </c>
      <c r="N21" s="33">
        <v>8746.76</v>
      </c>
      <c r="O21" s="32">
        <v>22</v>
      </c>
      <c r="P21" s="50">
        <v>-2.8299999999999999E-2</v>
      </c>
      <c r="Q21" s="50">
        <v>7.8399999999999997E-2</v>
      </c>
      <c r="R21" s="56">
        <f t="shared" si="2"/>
        <v>-3.5992367591053676E-2</v>
      </c>
      <c r="S21" s="56">
        <f t="shared" si="3"/>
        <v>-2.8255466837905179E-2</v>
      </c>
      <c r="T21" s="56">
        <f t="shared" si="4"/>
        <v>0</v>
      </c>
      <c r="U21" s="57">
        <f t="shared" si="5"/>
        <v>-1.8700000000000001E-2</v>
      </c>
      <c r="V21" s="58">
        <f t="shared" si="6"/>
        <v>-3.1399999999999997E-2</v>
      </c>
    </row>
    <row r="22" spans="1:22">
      <c r="A22" s="137">
        <v>17</v>
      </c>
      <c r="B22" s="135" t="s">
        <v>50</v>
      </c>
      <c r="C22" s="136" t="s">
        <v>49</v>
      </c>
      <c r="D22" s="33">
        <v>14569154518.870001</v>
      </c>
      <c r="E22" s="30">
        <f t="shared" si="0"/>
        <v>0.38090212438708532</v>
      </c>
      <c r="F22" s="33">
        <v>27820.77</v>
      </c>
      <c r="G22" s="33">
        <v>28215.4</v>
      </c>
      <c r="H22" s="32">
        <v>17579</v>
      </c>
      <c r="I22" s="50">
        <v>-1.3100000000000001E-2</v>
      </c>
      <c r="J22" s="50">
        <v>9.7799999999999998E-2</v>
      </c>
      <c r="K22" s="33">
        <v>14128311177.690001</v>
      </c>
      <c r="L22" s="30">
        <f t="shared" si="1"/>
        <v>0.37754741446330747</v>
      </c>
      <c r="M22" s="33">
        <v>27014.49</v>
      </c>
      <c r="N22" s="33">
        <v>27402.29</v>
      </c>
      <c r="O22" s="32">
        <v>17594</v>
      </c>
      <c r="P22" s="50">
        <v>-2.8799999999999999E-2</v>
      </c>
      <c r="Q22" s="50">
        <v>6.6199999999999995E-2</v>
      </c>
      <c r="R22" s="56">
        <f t="shared" si="2"/>
        <v>-3.0258677029543414E-2</v>
      </c>
      <c r="S22" s="56">
        <f t="shared" si="3"/>
        <v>-2.8817950480943051E-2</v>
      </c>
      <c r="T22" s="56">
        <f t="shared" si="4"/>
        <v>8.532908584106036E-4</v>
      </c>
      <c r="U22" s="57">
        <f t="shared" si="5"/>
        <v>-1.5699999999999999E-2</v>
      </c>
      <c r="V22" s="58">
        <f t="shared" si="6"/>
        <v>-3.1600000000000003E-2</v>
      </c>
    </row>
    <row r="23" spans="1:22">
      <c r="A23" s="137">
        <v>18</v>
      </c>
      <c r="B23" s="136" t="s">
        <v>51</v>
      </c>
      <c r="C23" s="136" t="s">
        <v>52</v>
      </c>
      <c r="D23" s="33">
        <v>4211501310.0599999</v>
      </c>
      <c r="E23" s="30">
        <f t="shared" ref="E23" si="12">(D23/$D$25)</f>
        <v>0.1101072676374681</v>
      </c>
      <c r="F23" s="33">
        <v>1.6474</v>
      </c>
      <c r="G23" s="31">
        <v>1.6638999999999999</v>
      </c>
      <c r="H23" s="32">
        <v>4728</v>
      </c>
      <c r="I23" s="50">
        <v>-8.3999999999999995E-3</v>
      </c>
      <c r="J23" s="50">
        <v>0.10440000000000001</v>
      </c>
      <c r="K23" s="33">
        <v>4110005427.4499998</v>
      </c>
      <c r="L23" s="30">
        <f t="shared" ref="L23" si="13">(K23/$K$25)</f>
        <v>0.10983067282763637</v>
      </c>
      <c r="M23" s="33">
        <v>1.6129</v>
      </c>
      <c r="N23" s="31">
        <v>1.6289</v>
      </c>
      <c r="O23" s="32">
        <v>4738</v>
      </c>
      <c r="P23" s="50">
        <v>-2.0899999999999998E-2</v>
      </c>
      <c r="Q23" s="50">
        <v>8.1199999999999994E-2</v>
      </c>
      <c r="R23" s="56">
        <f t="shared" ref="R23" si="14">((K23-D23)/D23)</f>
        <v>-2.4099691567840011E-2</v>
      </c>
      <c r="S23" s="56">
        <f t="shared" ref="S23" si="15">((N23-G23)/G23)</f>
        <v>-2.1034917963819896E-2</v>
      </c>
      <c r="T23" s="56">
        <f t="shared" ref="T23" si="16">((O23-H23)/H23)</f>
        <v>2.1150592216582064E-3</v>
      </c>
      <c r="U23" s="57">
        <f t="shared" ref="U23" si="17">P23-I23</f>
        <v>-1.2499999999999999E-2</v>
      </c>
      <c r="V23" s="58">
        <f t="shared" ref="V23" si="18">Q23-J23</f>
        <v>-2.3200000000000012E-2</v>
      </c>
    </row>
    <row r="24" spans="1:22">
      <c r="A24" s="137">
        <v>19</v>
      </c>
      <c r="B24" s="136" t="s">
        <v>298</v>
      </c>
      <c r="C24" s="136" t="s">
        <v>299</v>
      </c>
      <c r="D24" s="33">
        <v>2076430362.0799999</v>
      </c>
      <c r="E24" s="30">
        <f t="shared" si="0"/>
        <v>5.4287071705754759E-2</v>
      </c>
      <c r="F24" s="33">
        <v>128.01</v>
      </c>
      <c r="G24" s="31">
        <v>132.56</v>
      </c>
      <c r="H24" s="32">
        <v>34</v>
      </c>
      <c r="I24" s="50">
        <v>-1.32E-2</v>
      </c>
      <c r="J24" s="50">
        <v>6.4000000000000001E-2</v>
      </c>
      <c r="K24" s="33">
        <v>2050823124.6199999</v>
      </c>
      <c r="L24" s="30">
        <f t="shared" si="1"/>
        <v>5.480364627334311E-2</v>
      </c>
      <c r="M24" s="33">
        <v>126.32</v>
      </c>
      <c r="N24" s="31">
        <v>130.80000000000001</v>
      </c>
      <c r="O24" s="32">
        <v>34</v>
      </c>
      <c r="P24" s="50">
        <v>-1.3100000000000001E-2</v>
      </c>
      <c r="Q24" s="50">
        <v>4.9799999999999997E-2</v>
      </c>
      <c r="R24" s="56">
        <f t="shared" si="2"/>
        <v>-1.2332336266913753E-2</v>
      </c>
      <c r="S24" s="56">
        <f t="shared" si="3"/>
        <v>-1.3277006638503251E-2</v>
      </c>
      <c r="T24" s="56">
        <f t="shared" si="4"/>
        <v>0</v>
      </c>
      <c r="U24" s="57">
        <f t="shared" si="5"/>
        <v>9.9999999999999395E-5</v>
      </c>
      <c r="V24" s="58">
        <f t="shared" si="6"/>
        <v>-1.4200000000000004E-2</v>
      </c>
    </row>
    <row r="25" spans="1:22">
      <c r="A25" s="36"/>
      <c r="B25" s="37"/>
      <c r="C25" s="38" t="s">
        <v>53</v>
      </c>
      <c r="D25" s="39">
        <f>SUM(D6:D24)</f>
        <v>38249076563.470001</v>
      </c>
      <c r="E25" s="40">
        <f>(D25/$D$216)</f>
        <v>8.7349743718837768E-3</v>
      </c>
      <c r="F25" s="41"/>
      <c r="G25" s="42"/>
      <c r="H25" s="43">
        <f>SUM(H6:H24)</f>
        <v>51477</v>
      </c>
      <c r="I25" s="52"/>
      <c r="J25" s="32">
        <v>0</v>
      </c>
      <c r="K25" s="39">
        <f>SUM(K6:K24)</f>
        <v>37421289714.760002</v>
      </c>
      <c r="L25" s="40">
        <f>(K25/$K$216)</f>
        <v>8.3666100171392432E-3</v>
      </c>
      <c r="M25" s="41"/>
      <c r="N25" s="42"/>
      <c r="O25" s="43">
        <f>SUM(O6:O24)</f>
        <v>51522</v>
      </c>
      <c r="P25" s="52"/>
      <c r="Q25" s="43"/>
      <c r="R25" s="56">
        <f t="shared" si="2"/>
        <v>-2.1642008725004921E-2</v>
      </c>
      <c r="S25" s="56" t="e">
        <f t="shared" si="3"/>
        <v>#DIV/0!</v>
      </c>
      <c r="T25" s="56">
        <f t="shared" si="4"/>
        <v>8.7417681683081767E-4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</row>
    <row r="27" spans="1:22" ht="15" customHeight="1">
      <c r="A27" s="181" t="s">
        <v>54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</row>
    <row r="28" spans="1:22">
      <c r="A28" s="138">
        <v>20</v>
      </c>
      <c r="B28" s="135" t="s">
        <v>55</v>
      </c>
      <c r="C28" s="136" t="s">
        <v>19</v>
      </c>
      <c r="D28" s="44">
        <v>2339618249.9400001</v>
      </c>
      <c r="E28" s="30">
        <f>(D28/$K$67)</f>
        <v>1.0573637727609466E-3</v>
      </c>
      <c r="F28" s="31">
        <v>100</v>
      </c>
      <c r="G28" s="31">
        <v>100</v>
      </c>
      <c r="H28" s="32">
        <v>1166</v>
      </c>
      <c r="I28" s="50">
        <v>0.2001</v>
      </c>
      <c r="J28" s="50">
        <v>0.2001</v>
      </c>
      <c r="K28" s="44">
        <v>2339618249.9400001</v>
      </c>
      <c r="L28" s="30">
        <f t="shared" ref="L28:L66" si="19">(K28/$K$67)</f>
        <v>1.0573637727609466E-3</v>
      </c>
      <c r="M28" s="31">
        <v>100</v>
      </c>
      <c r="N28" s="31">
        <v>100</v>
      </c>
      <c r="O28" s="32">
        <v>1166</v>
      </c>
      <c r="P28" s="50">
        <v>0.1938</v>
      </c>
      <c r="Q28" s="50">
        <v>0.1938</v>
      </c>
      <c r="R28" s="56">
        <f>((K28-D28)/D28)</f>
        <v>0</v>
      </c>
      <c r="S28" s="56">
        <f>((N28-G28)/G28)</f>
        <v>0</v>
      </c>
      <c r="T28" s="56">
        <f>((O28-H28)/H28)</f>
        <v>0</v>
      </c>
      <c r="U28" s="57">
        <f>P28-I28</f>
        <v>-6.3E-3</v>
      </c>
      <c r="V28" s="58">
        <f>Q28-J28</f>
        <v>-6.3E-3</v>
      </c>
    </row>
    <row r="29" spans="1:22">
      <c r="A29" s="138">
        <v>21</v>
      </c>
      <c r="B29" s="135" t="s">
        <v>56</v>
      </c>
      <c r="C29" s="136" t="s">
        <v>57</v>
      </c>
      <c r="D29" s="44">
        <v>14692415853.66</v>
      </c>
      <c r="E29" s="30">
        <f t="shared" ref="E29:E66" si="20">(D29/$K$67)</f>
        <v>6.6400697029941041E-3</v>
      </c>
      <c r="F29" s="31">
        <v>100</v>
      </c>
      <c r="G29" s="31">
        <v>100</v>
      </c>
      <c r="H29" s="32">
        <v>2337</v>
      </c>
      <c r="I29" s="50">
        <v>0.23692299999999999</v>
      </c>
      <c r="J29" s="50">
        <v>0.23692299999999999</v>
      </c>
      <c r="K29" s="44">
        <v>15116674200.780001</v>
      </c>
      <c r="L29" s="30">
        <f t="shared" si="19"/>
        <v>6.8318084221409697E-3</v>
      </c>
      <c r="M29" s="31">
        <v>100</v>
      </c>
      <c r="N29" s="31">
        <v>100</v>
      </c>
      <c r="O29" s="32">
        <v>2394</v>
      </c>
      <c r="P29" s="50">
        <v>0.22189</v>
      </c>
      <c r="Q29" s="50">
        <v>0.22189</v>
      </c>
      <c r="R29" s="56">
        <f t="shared" ref="R29:R67" si="21">((K29-D29)/D29)</f>
        <v>2.8876010000378163E-2</v>
      </c>
      <c r="S29" s="56">
        <f t="shared" ref="S29:S67" si="22">((N29-G29)/G29)</f>
        <v>0</v>
      </c>
      <c r="T29" s="56">
        <f t="shared" ref="T29:T67" si="23">((O29-H29)/H29)</f>
        <v>2.4390243902439025E-2</v>
      </c>
      <c r="U29" s="57">
        <f t="shared" ref="U29:U67" si="24">P29-I29</f>
        <v>-1.5032999999999991E-2</v>
      </c>
      <c r="V29" s="58">
        <f t="shared" ref="V29:V67" si="25">Q29-J29</f>
        <v>-1.5032999999999991E-2</v>
      </c>
    </row>
    <row r="30" spans="1:22">
      <c r="A30" s="138">
        <v>22</v>
      </c>
      <c r="B30" s="135" t="s">
        <v>58</v>
      </c>
      <c r="C30" s="136" t="s">
        <v>21</v>
      </c>
      <c r="D30" s="44">
        <v>1506621292.25</v>
      </c>
      <c r="E30" s="30">
        <f t="shared" si="20"/>
        <v>6.809003023191013E-4</v>
      </c>
      <c r="F30" s="31">
        <v>100</v>
      </c>
      <c r="G30" s="31">
        <v>100</v>
      </c>
      <c r="H30" s="32">
        <v>1882</v>
      </c>
      <c r="I30" s="50">
        <v>0.2339</v>
      </c>
      <c r="J30" s="50">
        <v>0.2339</v>
      </c>
      <c r="K30" s="44">
        <v>1538217713.6400001</v>
      </c>
      <c r="L30" s="30">
        <f t="shared" si="19"/>
        <v>6.9517994444769722E-4</v>
      </c>
      <c r="M30" s="31">
        <v>100</v>
      </c>
      <c r="N30" s="31">
        <v>100</v>
      </c>
      <c r="O30" s="32">
        <v>1894</v>
      </c>
      <c r="P30" s="50">
        <v>0.23180000000000001</v>
      </c>
      <c r="Q30" s="50">
        <v>0.23180000000000001</v>
      </c>
      <c r="R30" s="56">
        <f t="shared" si="21"/>
        <v>2.0971707722790618E-2</v>
      </c>
      <c r="S30" s="56">
        <f t="shared" si="22"/>
        <v>0</v>
      </c>
      <c r="T30" s="56">
        <f t="shared" si="23"/>
        <v>6.376195536663124E-3</v>
      </c>
      <c r="U30" s="57">
        <f t="shared" si="24"/>
        <v>-2.0999999999999908E-3</v>
      </c>
      <c r="V30" s="58">
        <f t="shared" si="25"/>
        <v>-2.0999999999999908E-3</v>
      </c>
    </row>
    <row r="31" spans="1:22">
      <c r="A31" s="138">
        <v>23</v>
      </c>
      <c r="B31" s="135" t="s">
        <v>59</v>
      </c>
      <c r="C31" s="136" t="s">
        <v>23</v>
      </c>
      <c r="D31" s="44">
        <v>147693842595.57999</v>
      </c>
      <c r="E31" s="30">
        <f t="shared" si="20"/>
        <v>6.6748546958217969E-2</v>
      </c>
      <c r="F31" s="31">
        <v>1</v>
      </c>
      <c r="G31" s="31">
        <v>1</v>
      </c>
      <c r="H31" s="32">
        <v>66504</v>
      </c>
      <c r="I31" s="50">
        <v>0.23130000000000001</v>
      </c>
      <c r="J31" s="50">
        <v>0.23130000000000001</v>
      </c>
      <c r="K31" s="44">
        <v>153251557544.82001</v>
      </c>
      <c r="L31" s="30">
        <f t="shared" si="19"/>
        <v>6.9260292815393198E-2</v>
      </c>
      <c r="M31" s="31">
        <v>1</v>
      </c>
      <c r="N31" s="31">
        <v>1</v>
      </c>
      <c r="O31" s="32">
        <v>66945</v>
      </c>
      <c r="P31" s="50">
        <v>0.22800000000000001</v>
      </c>
      <c r="Q31" s="50">
        <v>0.22800000000000001</v>
      </c>
      <c r="R31" s="56">
        <f t="shared" si="21"/>
        <v>3.7629970563216597E-2</v>
      </c>
      <c r="S31" s="56">
        <f t="shared" si="22"/>
        <v>0</v>
      </c>
      <c r="T31" s="56">
        <f t="shared" si="23"/>
        <v>6.6311800793937203E-3</v>
      </c>
      <c r="U31" s="57">
        <f t="shared" si="24"/>
        <v>-3.2999999999999974E-3</v>
      </c>
      <c r="V31" s="58">
        <f t="shared" si="25"/>
        <v>-3.2999999999999974E-3</v>
      </c>
    </row>
    <row r="32" spans="1:22">
      <c r="A32" s="138">
        <v>24</v>
      </c>
      <c r="B32" s="135" t="s">
        <v>60</v>
      </c>
      <c r="C32" s="136" t="s">
        <v>25</v>
      </c>
      <c r="D32" s="44">
        <v>98382231749.210007</v>
      </c>
      <c r="E32" s="30">
        <f t="shared" si="20"/>
        <v>4.4462727087059707E-2</v>
      </c>
      <c r="F32" s="31">
        <v>1</v>
      </c>
      <c r="G32" s="31">
        <v>1</v>
      </c>
      <c r="H32" s="32">
        <v>31946</v>
      </c>
      <c r="I32" s="50">
        <v>0.21</v>
      </c>
      <c r="J32" s="50">
        <v>0.21</v>
      </c>
      <c r="K32" s="44">
        <v>102185980438.55</v>
      </c>
      <c r="L32" s="30">
        <f t="shared" si="19"/>
        <v>4.6181787906019463E-2</v>
      </c>
      <c r="M32" s="31">
        <v>1</v>
      </c>
      <c r="N32" s="31">
        <v>1</v>
      </c>
      <c r="O32" s="32">
        <v>32075</v>
      </c>
      <c r="P32" s="50">
        <v>0.20069999999999999</v>
      </c>
      <c r="Q32" s="50">
        <v>0.20069999999999999</v>
      </c>
      <c r="R32" s="56">
        <f t="shared" si="21"/>
        <v>3.8662964050625331E-2</v>
      </c>
      <c r="S32" s="56">
        <f t="shared" si="22"/>
        <v>0</v>
      </c>
      <c r="T32" s="56">
        <f t="shared" si="23"/>
        <v>4.0380642333938521E-3</v>
      </c>
      <c r="U32" s="57">
        <f t="shared" si="24"/>
        <v>-9.3000000000000027E-3</v>
      </c>
      <c r="V32" s="58">
        <f t="shared" si="25"/>
        <v>-9.3000000000000027E-3</v>
      </c>
    </row>
    <row r="33" spans="1:22">
      <c r="A33" s="138">
        <v>25</v>
      </c>
      <c r="B33" s="135" t="s">
        <v>292</v>
      </c>
      <c r="C33" s="136" t="s">
        <v>27</v>
      </c>
      <c r="D33" s="33">
        <v>4448822437.3599997</v>
      </c>
      <c r="E33" s="30">
        <f t="shared" ref="E33" si="26">(D33/$D$25)</f>
        <v>0.11631189134664947</v>
      </c>
      <c r="F33" s="33">
        <v>1</v>
      </c>
      <c r="G33" s="33">
        <v>1</v>
      </c>
      <c r="H33" s="32">
        <v>582</v>
      </c>
      <c r="I33" s="50">
        <v>0.19800000000000001</v>
      </c>
      <c r="J33" s="50">
        <v>0.19800000000000001</v>
      </c>
      <c r="K33" s="33">
        <v>4842612300.3599997</v>
      </c>
      <c r="L33" s="30">
        <f t="shared" ref="L33" si="27">(K33/$K$25)</f>
        <v>0.12940794764884703</v>
      </c>
      <c r="M33" s="33">
        <v>1</v>
      </c>
      <c r="N33" s="33">
        <v>1</v>
      </c>
      <c r="O33" s="32">
        <v>604</v>
      </c>
      <c r="P33" s="50">
        <v>0.1961</v>
      </c>
      <c r="Q33" s="50">
        <v>0.1961</v>
      </c>
      <c r="R33" s="56">
        <f t="shared" si="21"/>
        <v>8.8515527096127714E-2</v>
      </c>
      <c r="S33" s="56">
        <f t="shared" si="22"/>
        <v>0</v>
      </c>
      <c r="T33" s="56">
        <f t="shared" si="23"/>
        <v>3.7800687285223365E-2</v>
      </c>
      <c r="U33" s="57">
        <f t="shared" si="24"/>
        <v>-1.9000000000000128E-3</v>
      </c>
      <c r="V33" s="58">
        <f t="shared" si="25"/>
        <v>-1.9000000000000128E-3</v>
      </c>
    </row>
    <row r="34" spans="1:22" ht="15" customHeight="1">
      <c r="A34" s="138">
        <v>26</v>
      </c>
      <c r="B34" s="135" t="s">
        <v>61</v>
      </c>
      <c r="C34" s="136" t="s">
        <v>47</v>
      </c>
      <c r="D34" s="44">
        <v>16058360415.09</v>
      </c>
      <c r="E34" s="30">
        <f t="shared" si="20"/>
        <v>7.2573927619559494E-3</v>
      </c>
      <c r="F34" s="31">
        <v>100</v>
      </c>
      <c r="G34" s="31">
        <v>100</v>
      </c>
      <c r="H34" s="32">
        <v>2083</v>
      </c>
      <c r="I34" s="50">
        <v>0.2341</v>
      </c>
      <c r="J34" s="50">
        <v>0.2341</v>
      </c>
      <c r="K34" s="44">
        <v>15925990376.030001</v>
      </c>
      <c r="L34" s="30">
        <f t="shared" si="19"/>
        <v>7.1975696331593678E-3</v>
      </c>
      <c r="M34" s="31">
        <v>100</v>
      </c>
      <c r="N34" s="31">
        <v>100</v>
      </c>
      <c r="O34" s="32">
        <v>2083</v>
      </c>
      <c r="P34" s="50">
        <v>0.2336</v>
      </c>
      <c r="Q34" s="50">
        <v>0.2336</v>
      </c>
      <c r="R34" s="56">
        <f t="shared" si="21"/>
        <v>-8.2430606636286277E-3</v>
      </c>
      <c r="S34" s="56">
        <f t="shared" si="22"/>
        <v>0</v>
      </c>
      <c r="T34" s="56">
        <f t="shared" si="23"/>
        <v>0</v>
      </c>
      <c r="U34" s="57">
        <f t="shared" si="24"/>
        <v>-5.0000000000000044E-4</v>
      </c>
      <c r="V34" s="58">
        <f t="shared" si="25"/>
        <v>-5.0000000000000044E-4</v>
      </c>
    </row>
    <row r="35" spans="1:22" ht="15" customHeight="1">
      <c r="A35" s="138">
        <v>27</v>
      </c>
      <c r="B35" s="135" t="s">
        <v>62</v>
      </c>
      <c r="C35" s="136" t="s">
        <v>63</v>
      </c>
      <c r="D35" s="44">
        <v>563335824.88</v>
      </c>
      <c r="E35" s="30">
        <f t="shared" si="20"/>
        <v>2.5459319833130565E-4</v>
      </c>
      <c r="F35" s="31">
        <v>1</v>
      </c>
      <c r="G35" s="31">
        <v>1</v>
      </c>
      <c r="H35" s="32">
        <v>353</v>
      </c>
      <c r="I35" s="50">
        <v>0.20499999999999999</v>
      </c>
      <c r="J35" s="50">
        <v>0.20499999999999999</v>
      </c>
      <c r="K35" s="44">
        <v>605030702.46000004</v>
      </c>
      <c r="L35" s="30">
        <f t="shared" si="19"/>
        <v>2.7343672251048542E-4</v>
      </c>
      <c r="M35" s="31">
        <v>1</v>
      </c>
      <c r="N35" s="31">
        <v>1</v>
      </c>
      <c r="O35" s="32">
        <v>362</v>
      </c>
      <c r="P35" s="50">
        <v>0.20499999999999999</v>
      </c>
      <c r="Q35" s="50">
        <v>0.20499999999999999</v>
      </c>
      <c r="R35" s="56">
        <f t="shared" si="21"/>
        <v>7.4014248230851912E-2</v>
      </c>
      <c r="S35" s="56">
        <f t="shared" si="22"/>
        <v>0</v>
      </c>
      <c r="T35" s="56">
        <f t="shared" si="23"/>
        <v>2.5495750708215296E-2</v>
      </c>
      <c r="U35" s="57">
        <f t="shared" si="24"/>
        <v>0</v>
      </c>
      <c r="V35" s="58">
        <f t="shared" si="25"/>
        <v>0</v>
      </c>
    </row>
    <row r="36" spans="1:22">
      <c r="A36" s="138">
        <v>28</v>
      </c>
      <c r="B36" s="135" t="s">
        <v>64</v>
      </c>
      <c r="C36" s="136" t="s">
        <v>65</v>
      </c>
      <c r="D36" s="44">
        <v>40467457968.349998</v>
      </c>
      <c r="E36" s="30">
        <f t="shared" si="20"/>
        <v>1.828880589068619E-2</v>
      </c>
      <c r="F36" s="31">
        <v>100</v>
      </c>
      <c r="G36" s="31">
        <v>100</v>
      </c>
      <c r="H36" s="32">
        <v>3734</v>
      </c>
      <c r="I36" s="50">
        <v>0.23007821884040899</v>
      </c>
      <c r="J36" s="50">
        <v>0.23007821884040899</v>
      </c>
      <c r="K36" s="44">
        <v>41624963376.200005</v>
      </c>
      <c r="L36" s="30">
        <f t="shared" si="19"/>
        <v>1.8811927252501037E-2</v>
      </c>
      <c r="M36" s="31">
        <v>100</v>
      </c>
      <c r="N36" s="31">
        <v>100</v>
      </c>
      <c r="O36" s="32">
        <v>3807</v>
      </c>
      <c r="P36" s="50">
        <v>0.22611993109748799</v>
      </c>
      <c r="Q36" s="50">
        <v>0.22611993109748799</v>
      </c>
      <c r="R36" s="56">
        <f t="shared" si="21"/>
        <v>2.8603363442183657E-2</v>
      </c>
      <c r="S36" s="56">
        <f t="shared" si="22"/>
        <v>0</v>
      </c>
      <c r="T36" s="56">
        <f t="shared" si="23"/>
        <v>1.9550080342795928E-2</v>
      </c>
      <c r="U36" s="57">
        <f t="shared" si="24"/>
        <v>-3.9582877429210073E-3</v>
      </c>
      <c r="V36" s="58">
        <f t="shared" si="25"/>
        <v>-3.9582877429210073E-3</v>
      </c>
    </row>
    <row r="37" spans="1:22">
      <c r="A37" s="138">
        <v>29</v>
      </c>
      <c r="B37" s="135" t="s">
        <v>66</v>
      </c>
      <c r="C37" s="136" t="s">
        <v>67</v>
      </c>
      <c r="D37" s="44">
        <v>19351929776.299999</v>
      </c>
      <c r="E37" s="30">
        <f t="shared" si="20"/>
        <v>8.7458838547691369E-3</v>
      </c>
      <c r="F37" s="31">
        <v>100</v>
      </c>
      <c r="G37" s="31">
        <v>100</v>
      </c>
      <c r="H37" s="32">
        <v>6691</v>
      </c>
      <c r="I37" s="50">
        <v>0.23089999999999999</v>
      </c>
      <c r="J37" s="50">
        <v>0.23089999999999999</v>
      </c>
      <c r="K37" s="44">
        <v>19059017206.919998</v>
      </c>
      <c r="L37" s="30">
        <f t="shared" si="19"/>
        <v>8.6135053612022127E-3</v>
      </c>
      <c r="M37" s="31">
        <v>100</v>
      </c>
      <c r="N37" s="31">
        <v>100</v>
      </c>
      <c r="O37" s="32">
        <v>6724</v>
      </c>
      <c r="P37" s="50">
        <v>0.22450000000000001</v>
      </c>
      <c r="Q37" s="50">
        <v>0.22450000000000001</v>
      </c>
      <c r="R37" s="56">
        <f t="shared" si="21"/>
        <v>-1.5136090961777178E-2</v>
      </c>
      <c r="S37" s="56">
        <f t="shared" si="22"/>
        <v>0</v>
      </c>
      <c r="T37" s="56">
        <f t="shared" si="23"/>
        <v>4.9319982065461065E-3</v>
      </c>
      <c r="U37" s="57">
        <f t="shared" si="24"/>
        <v>-6.399999999999989E-3</v>
      </c>
      <c r="V37" s="58">
        <f t="shared" si="25"/>
        <v>-6.399999999999989E-3</v>
      </c>
    </row>
    <row r="38" spans="1:22">
      <c r="A38" s="138">
        <v>30</v>
      </c>
      <c r="B38" s="135" t="s">
        <v>68</v>
      </c>
      <c r="C38" s="136" t="s">
        <v>69</v>
      </c>
      <c r="D38" s="44">
        <v>44514190.369999997</v>
      </c>
      <c r="E38" s="30">
        <f t="shared" si="20"/>
        <v>2.0117680425953788E-5</v>
      </c>
      <c r="F38" s="31">
        <v>100</v>
      </c>
      <c r="G38" s="31">
        <v>100</v>
      </c>
      <c r="H38" s="32">
        <v>0</v>
      </c>
      <c r="I38" s="50">
        <v>0</v>
      </c>
      <c r="J38" s="50">
        <v>0</v>
      </c>
      <c r="K38" s="44">
        <v>44514190.369999997</v>
      </c>
      <c r="L38" s="30">
        <f t="shared" si="19"/>
        <v>2.0117680425953788E-5</v>
      </c>
      <c r="M38" s="31">
        <v>100</v>
      </c>
      <c r="N38" s="31">
        <v>100</v>
      </c>
      <c r="O38" s="32">
        <v>0</v>
      </c>
      <c r="P38" s="50">
        <v>0</v>
      </c>
      <c r="Q38" s="50">
        <v>0</v>
      </c>
      <c r="R38" s="56">
        <f t="shared" si="21"/>
        <v>0</v>
      </c>
      <c r="S38" s="56">
        <f t="shared" si="22"/>
        <v>0</v>
      </c>
      <c r="T38" s="56" t="e">
        <f t="shared" si="23"/>
        <v>#DIV/0!</v>
      </c>
      <c r="U38" s="57">
        <f t="shared" si="24"/>
        <v>0</v>
      </c>
      <c r="V38" s="58">
        <f t="shared" si="25"/>
        <v>0</v>
      </c>
    </row>
    <row r="39" spans="1:22">
      <c r="A39" s="138">
        <v>31</v>
      </c>
      <c r="B39" s="135" t="s">
        <v>70</v>
      </c>
      <c r="C39" s="136" t="s">
        <v>302</v>
      </c>
      <c r="D39" s="44">
        <v>16125447590.49</v>
      </c>
      <c r="E39" s="30">
        <f t="shared" si="20"/>
        <v>7.2877120454059906E-3</v>
      </c>
      <c r="F39" s="31">
        <v>1</v>
      </c>
      <c r="G39" s="31">
        <v>1</v>
      </c>
      <c r="H39" s="32">
        <v>4580</v>
      </c>
      <c r="I39" s="50">
        <v>0.22239999999999999</v>
      </c>
      <c r="J39" s="50">
        <v>0.22239999999999999</v>
      </c>
      <c r="K39" s="44">
        <v>17606933671.669998</v>
      </c>
      <c r="L39" s="30">
        <f t="shared" si="19"/>
        <v>7.9572527758775043E-3</v>
      </c>
      <c r="M39" s="31">
        <v>1</v>
      </c>
      <c r="N39" s="31">
        <v>1</v>
      </c>
      <c r="O39" s="32">
        <v>4736</v>
      </c>
      <c r="P39" s="50">
        <v>0.2006</v>
      </c>
      <c r="Q39" s="50">
        <v>0.2006</v>
      </c>
      <c r="R39" s="56">
        <f t="shared" si="21"/>
        <v>9.1872555652576515E-2</v>
      </c>
      <c r="S39" s="56">
        <f t="shared" si="22"/>
        <v>0</v>
      </c>
      <c r="T39" s="56">
        <f t="shared" si="23"/>
        <v>3.4061135371179038E-2</v>
      </c>
      <c r="U39" s="57">
        <f t="shared" si="24"/>
        <v>-2.1799999999999986E-2</v>
      </c>
      <c r="V39" s="58">
        <f t="shared" si="25"/>
        <v>-2.1799999999999986E-2</v>
      </c>
    </row>
    <row r="40" spans="1:22">
      <c r="A40" s="138">
        <v>32</v>
      </c>
      <c r="B40" s="135" t="s">
        <v>71</v>
      </c>
      <c r="C40" s="136" t="s">
        <v>72</v>
      </c>
      <c r="D40" s="44">
        <v>36404099330.169998</v>
      </c>
      <c r="E40" s="30">
        <f t="shared" si="20"/>
        <v>1.645241731752603E-2</v>
      </c>
      <c r="F40" s="45">
        <v>100</v>
      </c>
      <c r="G40" s="45">
        <v>100</v>
      </c>
      <c r="H40" s="32">
        <v>3192</v>
      </c>
      <c r="I40" s="50">
        <v>0.21820000000000001</v>
      </c>
      <c r="J40" s="50">
        <v>0.21820000000000001</v>
      </c>
      <c r="K40" s="44">
        <v>37843243471.169998</v>
      </c>
      <c r="L40" s="30">
        <f t="shared" si="19"/>
        <v>1.7102822091259347E-2</v>
      </c>
      <c r="M40" s="45">
        <v>100</v>
      </c>
      <c r="N40" s="45">
        <v>100</v>
      </c>
      <c r="O40" s="32">
        <v>3192</v>
      </c>
      <c r="P40" s="50">
        <v>0.21590000000000001</v>
      </c>
      <c r="Q40" s="50">
        <v>0.21590000000000001</v>
      </c>
      <c r="R40" s="56">
        <f t="shared" si="21"/>
        <v>3.9532474844318023E-2</v>
      </c>
      <c r="S40" s="56">
        <f t="shared" si="22"/>
        <v>0</v>
      </c>
      <c r="T40" s="56">
        <f t="shared" si="23"/>
        <v>0</v>
      </c>
      <c r="U40" s="57">
        <f t="shared" si="24"/>
        <v>-2.2999999999999965E-3</v>
      </c>
      <c r="V40" s="58">
        <f t="shared" si="25"/>
        <v>-2.2999999999999965E-3</v>
      </c>
    </row>
    <row r="41" spans="1:22">
      <c r="A41" s="138">
        <v>33</v>
      </c>
      <c r="B41" s="135" t="s">
        <v>73</v>
      </c>
      <c r="C41" s="136" t="s">
        <v>72</v>
      </c>
      <c r="D41" s="44">
        <v>4217001443.9000001</v>
      </c>
      <c r="E41" s="30">
        <f t="shared" si="20"/>
        <v>1.9058256861241413E-3</v>
      </c>
      <c r="F41" s="45">
        <v>1000000</v>
      </c>
      <c r="G41" s="45">
        <v>1000000</v>
      </c>
      <c r="H41" s="32">
        <v>12</v>
      </c>
      <c r="I41" s="50">
        <v>0.2006</v>
      </c>
      <c r="J41" s="50">
        <v>0.2006</v>
      </c>
      <c r="K41" s="44">
        <v>4112969810.4499998</v>
      </c>
      <c r="L41" s="30">
        <f t="shared" si="19"/>
        <v>1.8588097763986991E-3</v>
      </c>
      <c r="M41" s="45">
        <v>1000000</v>
      </c>
      <c r="N41" s="45">
        <v>1000000</v>
      </c>
      <c r="O41" s="32">
        <v>12</v>
      </c>
      <c r="P41" s="50">
        <v>0.22220000000000001</v>
      </c>
      <c r="Q41" s="50">
        <v>0.22220000000000001</v>
      </c>
      <c r="R41" s="56">
        <f t="shared" si="21"/>
        <v>-2.4669575012947812E-2</v>
      </c>
      <c r="S41" s="56">
        <f t="shared" si="22"/>
        <v>0</v>
      </c>
      <c r="T41" s="56">
        <f t="shared" si="23"/>
        <v>0</v>
      </c>
      <c r="U41" s="57">
        <f t="shared" si="24"/>
        <v>2.1600000000000008E-2</v>
      </c>
      <c r="V41" s="58">
        <f t="shared" si="25"/>
        <v>2.1600000000000008E-2</v>
      </c>
    </row>
    <row r="42" spans="1:22">
      <c r="A42" s="138">
        <v>34</v>
      </c>
      <c r="B42" s="135" t="s">
        <v>74</v>
      </c>
      <c r="C42" s="136" t="s">
        <v>75</v>
      </c>
      <c r="D42" s="44">
        <v>3982372196.9200001</v>
      </c>
      <c r="E42" s="30">
        <f t="shared" si="20"/>
        <v>1.7997876750968317E-3</v>
      </c>
      <c r="F42" s="31">
        <v>1</v>
      </c>
      <c r="G42" s="31">
        <v>1</v>
      </c>
      <c r="H42" s="32">
        <v>855</v>
      </c>
      <c r="I42" s="50">
        <v>0.17960000000000001</v>
      </c>
      <c r="J42" s="50">
        <v>0.17960000000000001</v>
      </c>
      <c r="K42" s="44">
        <v>4062688894.8299999</v>
      </c>
      <c r="L42" s="30">
        <f t="shared" si="19"/>
        <v>1.836085890294972E-3</v>
      </c>
      <c r="M42" s="31">
        <v>1</v>
      </c>
      <c r="N42" s="31">
        <v>1</v>
      </c>
      <c r="O42" s="32">
        <v>855</v>
      </c>
      <c r="P42" s="50">
        <v>0.219</v>
      </c>
      <c r="Q42" s="50">
        <v>0.219</v>
      </c>
      <c r="R42" s="56">
        <f t="shared" si="21"/>
        <v>2.0168054099041134E-2</v>
      </c>
      <c r="S42" s="56">
        <f t="shared" si="22"/>
        <v>0</v>
      </c>
      <c r="T42" s="56">
        <f t="shared" si="23"/>
        <v>0</v>
      </c>
      <c r="U42" s="57">
        <f t="shared" si="24"/>
        <v>3.9399999999999991E-2</v>
      </c>
      <c r="V42" s="58">
        <f t="shared" si="25"/>
        <v>3.9399999999999991E-2</v>
      </c>
    </row>
    <row r="43" spans="1:22">
      <c r="A43" s="138">
        <v>35</v>
      </c>
      <c r="B43" s="135" t="s">
        <v>76</v>
      </c>
      <c r="C43" s="136" t="s">
        <v>31</v>
      </c>
      <c r="D43" s="44">
        <v>411077199600.46002</v>
      </c>
      <c r="E43" s="30">
        <f t="shared" si="20"/>
        <v>0.18578164992374033</v>
      </c>
      <c r="F43" s="31">
        <v>100</v>
      </c>
      <c r="G43" s="31">
        <v>100</v>
      </c>
      <c r="H43" s="32">
        <v>16144</v>
      </c>
      <c r="I43" s="50">
        <v>0.21940000000000001</v>
      </c>
      <c r="J43" s="50">
        <v>0.21940000000000001</v>
      </c>
      <c r="K43" s="44">
        <v>420179146762.82001</v>
      </c>
      <c r="L43" s="30">
        <f t="shared" si="19"/>
        <v>0.18989517108955897</v>
      </c>
      <c r="M43" s="31">
        <v>100</v>
      </c>
      <c r="N43" s="31">
        <v>100</v>
      </c>
      <c r="O43" s="32">
        <v>16478</v>
      </c>
      <c r="P43" s="50">
        <v>0.22370000000000001</v>
      </c>
      <c r="Q43" s="50">
        <v>0.22370000000000001</v>
      </c>
      <c r="R43" s="56">
        <f t="shared" si="21"/>
        <v>2.2141697888392931E-2</v>
      </c>
      <c r="S43" s="56">
        <f t="shared" si="22"/>
        <v>0</v>
      </c>
      <c r="T43" s="56">
        <f t="shared" si="23"/>
        <v>2.0688800792864222E-2</v>
      </c>
      <c r="U43" s="57">
        <f t="shared" si="24"/>
        <v>4.2999999999999983E-3</v>
      </c>
      <c r="V43" s="58">
        <f t="shared" si="25"/>
        <v>4.2999999999999983E-3</v>
      </c>
    </row>
    <row r="44" spans="1:22">
      <c r="A44" s="138">
        <v>36</v>
      </c>
      <c r="B44" s="135" t="s">
        <v>77</v>
      </c>
      <c r="C44" s="136" t="s">
        <v>78</v>
      </c>
      <c r="D44" s="44">
        <v>1530525171.8900001</v>
      </c>
      <c r="E44" s="30">
        <f t="shared" si="20"/>
        <v>6.9170338797652515E-4</v>
      </c>
      <c r="F44" s="31">
        <v>1</v>
      </c>
      <c r="G44" s="31">
        <v>1</v>
      </c>
      <c r="H44" s="46">
        <v>1033</v>
      </c>
      <c r="I44" s="53">
        <v>0.21529999999999999</v>
      </c>
      <c r="J44" s="53">
        <v>0.21529999999999999</v>
      </c>
      <c r="K44" s="44">
        <v>1618081579.1300001</v>
      </c>
      <c r="L44" s="30">
        <f t="shared" si="19"/>
        <v>7.3127350720048599E-4</v>
      </c>
      <c r="M44" s="31">
        <v>1</v>
      </c>
      <c r="N44" s="31">
        <v>1</v>
      </c>
      <c r="O44" s="46">
        <v>1075</v>
      </c>
      <c r="P44" s="53">
        <v>0.20860000000000001</v>
      </c>
      <c r="Q44" s="53">
        <v>0.20860000000000001</v>
      </c>
      <c r="R44" s="56">
        <f t="shared" si="21"/>
        <v>5.7206773758499641E-2</v>
      </c>
      <c r="S44" s="56">
        <f t="shared" si="22"/>
        <v>0</v>
      </c>
      <c r="T44" s="56">
        <f t="shared" si="23"/>
        <v>4.0658276863504358E-2</v>
      </c>
      <c r="U44" s="57">
        <f t="shared" si="24"/>
        <v>-6.6999999999999837E-3</v>
      </c>
      <c r="V44" s="58">
        <f t="shared" si="25"/>
        <v>-6.6999999999999837E-3</v>
      </c>
    </row>
    <row r="45" spans="1:22">
      <c r="A45" s="138">
        <v>37</v>
      </c>
      <c r="B45" s="135" t="s">
        <v>310</v>
      </c>
      <c r="C45" s="136" t="s">
        <v>311</v>
      </c>
      <c r="D45" s="44">
        <v>0</v>
      </c>
      <c r="E45" s="30">
        <f t="shared" si="20"/>
        <v>0</v>
      </c>
      <c r="F45" s="31">
        <v>0</v>
      </c>
      <c r="G45" s="31">
        <v>0</v>
      </c>
      <c r="H45" s="46">
        <v>0</v>
      </c>
      <c r="I45" s="53">
        <v>0</v>
      </c>
      <c r="J45" s="53">
        <v>0</v>
      </c>
      <c r="K45" s="44">
        <v>622477613</v>
      </c>
      <c r="L45" s="30">
        <f t="shared" si="19"/>
        <v>2.8132165465788607E-4</v>
      </c>
      <c r="M45" s="31">
        <v>1</v>
      </c>
      <c r="N45" s="31">
        <v>1</v>
      </c>
      <c r="O45" s="46">
        <v>103</v>
      </c>
      <c r="P45" s="53">
        <v>0.18339800000000001</v>
      </c>
      <c r="Q45" s="53">
        <v>0.18339800000000001</v>
      </c>
      <c r="R45" s="56" t="e">
        <f t="shared" si="21"/>
        <v>#DIV/0!</v>
      </c>
      <c r="S45" s="56" t="e">
        <f t="shared" si="22"/>
        <v>#DIV/0!</v>
      </c>
      <c r="T45" s="56" t="e">
        <f t="shared" si="23"/>
        <v>#DIV/0!</v>
      </c>
      <c r="U45" s="57">
        <f t="shared" si="24"/>
        <v>0.18339800000000001</v>
      </c>
      <c r="V45" s="58">
        <f t="shared" si="25"/>
        <v>0.18339800000000001</v>
      </c>
    </row>
    <row r="46" spans="1:22">
      <c r="A46" s="138">
        <v>38</v>
      </c>
      <c r="B46" s="135" t="s">
        <v>79</v>
      </c>
      <c r="C46" s="136" t="s">
        <v>80</v>
      </c>
      <c r="D46" s="44">
        <v>769345247.44000006</v>
      </c>
      <c r="E46" s="30">
        <f t="shared" si="20"/>
        <v>3.4769680626731483E-4</v>
      </c>
      <c r="F46" s="31">
        <v>10</v>
      </c>
      <c r="G46" s="31">
        <v>10</v>
      </c>
      <c r="H46" s="32">
        <v>427</v>
      </c>
      <c r="I46" s="50">
        <v>0.18190000000000001</v>
      </c>
      <c r="J46" s="50">
        <v>0.18190000000000001</v>
      </c>
      <c r="K46" s="44">
        <v>805778570.53999996</v>
      </c>
      <c r="L46" s="30">
        <f t="shared" si="19"/>
        <v>3.6416243093416911E-4</v>
      </c>
      <c r="M46" s="31">
        <v>10</v>
      </c>
      <c r="N46" s="31">
        <v>10</v>
      </c>
      <c r="O46" s="32">
        <v>431</v>
      </c>
      <c r="P46" s="50">
        <v>0.1817</v>
      </c>
      <c r="Q46" s="50">
        <v>0.1817</v>
      </c>
      <c r="R46" s="56">
        <f t="shared" si="21"/>
        <v>4.7356272390363052E-2</v>
      </c>
      <c r="S46" s="56">
        <f t="shared" si="22"/>
        <v>0</v>
      </c>
      <c r="T46" s="56">
        <f t="shared" si="23"/>
        <v>9.3676814988290398E-3</v>
      </c>
      <c r="U46" s="57">
        <f t="shared" si="24"/>
        <v>-2.0000000000000573E-4</v>
      </c>
      <c r="V46" s="58">
        <f t="shared" si="25"/>
        <v>-2.0000000000000573E-4</v>
      </c>
    </row>
    <row r="47" spans="1:22">
      <c r="A47" s="138">
        <v>39</v>
      </c>
      <c r="B47" s="135" t="s">
        <v>81</v>
      </c>
      <c r="C47" s="136" t="s">
        <v>82</v>
      </c>
      <c r="D47" s="44">
        <v>6009425401.9700003</v>
      </c>
      <c r="E47" s="30">
        <f t="shared" si="20"/>
        <v>2.7158912422209996E-3</v>
      </c>
      <c r="F47" s="31">
        <v>100</v>
      </c>
      <c r="G47" s="31">
        <v>100</v>
      </c>
      <c r="H47" s="32">
        <v>849</v>
      </c>
      <c r="I47" s="50">
        <v>0.20749999999999999</v>
      </c>
      <c r="J47" s="50">
        <v>0.20749999999999999</v>
      </c>
      <c r="K47" s="44">
        <v>6112026990.9399996</v>
      </c>
      <c r="L47" s="30">
        <f t="shared" si="19"/>
        <v>2.7622608596606685E-3</v>
      </c>
      <c r="M47" s="31">
        <v>100</v>
      </c>
      <c r="N47" s="31">
        <v>100</v>
      </c>
      <c r="O47" s="32">
        <v>849</v>
      </c>
      <c r="P47" s="50">
        <v>0.20749999999999999</v>
      </c>
      <c r="Q47" s="50">
        <v>0.20749999999999999</v>
      </c>
      <c r="R47" s="56">
        <f t="shared" si="21"/>
        <v>1.7073444149313281E-2</v>
      </c>
      <c r="S47" s="56">
        <f t="shared" si="22"/>
        <v>0</v>
      </c>
      <c r="T47" s="56">
        <f t="shared" si="23"/>
        <v>0</v>
      </c>
      <c r="U47" s="57">
        <f t="shared" si="24"/>
        <v>0</v>
      </c>
      <c r="V47" s="58">
        <f t="shared" si="25"/>
        <v>0</v>
      </c>
    </row>
    <row r="48" spans="1:22">
      <c r="A48" s="138">
        <v>40</v>
      </c>
      <c r="B48" s="135" t="s">
        <v>83</v>
      </c>
      <c r="C48" s="135" t="s">
        <v>84</v>
      </c>
      <c r="D48" s="140">
        <v>86829823.672460705</v>
      </c>
      <c r="E48" s="30">
        <f>(D48/$D$184)</f>
        <v>1.5022743038837912E-3</v>
      </c>
      <c r="F48" s="33">
        <v>1</v>
      </c>
      <c r="G48" s="33">
        <v>1</v>
      </c>
      <c r="H48" s="32">
        <v>61</v>
      </c>
      <c r="I48" s="50">
        <v>0.16450000000000001</v>
      </c>
      <c r="J48" s="50">
        <v>0.16450000000000001</v>
      </c>
      <c r="K48" s="140">
        <v>87866230.912427098</v>
      </c>
      <c r="L48" s="54">
        <f>(K48/$K$184)</f>
        <v>1.5327101973258788E-3</v>
      </c>
      <c r="M48" s="33">
        <v>1</v>
      </c>
      <c r="N48" s="33">
        <v>1</v>
      </c>
      <c r="O48" s="32">
        <v>63</v>
      </c>
      <c r="P48" s="50">
        <v>1.19360744515146E-2</v>
      </c>
      <c r="Q48" s="50">
        <v>0.17349890624390901</v>
      </c>
      <c r="R48" s="57">
        <f t="shared" si="21"/>
        <v>1.1936074451514792E-2</v>
      </c>
      <c r="S48" s="57">
        <f t="shared" si="22"/>
        <v>0</v>
      </c>
      <c r="T48" s="57">
        <f t="shared" si="23"/>
        <v>3.2786885245901641E-2</v>
      </c>
      <c r="U48" s="57">
        <f t="shared" si="24"/>
        <v>-0.15256392554848541</v>
      </c>
      <c r="V48" s="58">
        <f t="shared" si="25"/>
        <v>8.9989062439090051E-3</v>
      </c>
    </row>
    <row r="49" spans="1:22">
      <c r="A49" s="138">
        <v>41</v>
      </c>
      <c r="B49" s="135" t="s">
        <v>291</v>
      </c>
      <c r="C49" s="136" t="s">
        <v>37</v>
      </c>
      <c r="D49" s="44">
        <v>342328641.38999999</v>
      </c>
      <c r="E49" s="30">
        <f t="shared" ref="E49" si="28">(D49/$K$67)</f>
        <v>1.5471152346907115E-4</v>
      </c>
      <c r="F49" s="31">
        <v>100</v>
      </c>
      <c r="G49" s="31">
        <v>100</v>
      </c>
      <c r="H49" s="32">
        <v>1375</v>
      </c>
      <c r="I49" s="50">
        <v>0.16773611999999999</v>
      </c>
      <c r="J49" s="50">
        <v>0.16773611999999999</v>
      </c>
      <c r="K49" s="44">
        <v>332229442.06999999</v>
      </c>
      <c r="L49" s="30">
        <f t="shared" ref="L49" si="29">(K49/$K$67)</f>
        <v>1.5014730556936302E-4</v>
      </c>
      <c r="M49" s="31">
        <v>100</v>
      </c>
      <c r="N49" s="31">
        <v>100</v>
      </c>
      <c r="O49" s="32">
        <v>1468</v>
      </c>
      <c r="P49" s="50">
        <v>0.20010854</v>
      </c>
      <c r="Q49" s="50">
        <v>0.20010854</v>
      </c>
      <c r="R49" s="56">
        <f t="shared" ref="R49" si="30">((K49-D49)/D49)</f>
        <v>-2.950147343498033E-2</v>
      </c>
      <c r="S49" s="56">
        <f t="shared" ref="S49" si="31">((N49-G49)/G49)</f>
        <v>0</v>
      </c>
      <c r="T49" s="56">
        <f t="shared" ref="T49" si="32">((O49-H49)/H49)</f>
        <v>6.7636363636363633E-2</v>
      </c>
      <c r="U49" s="57">
        <f t="shared" ref="U49" si="33">P49-I49</f>
        <v>3.2372420000000013E-2</v>
      </c>
      <c r="V49" s="58">
        <f t="shared" ref="V49" si="34">Q49-J49</f>
        <v>3.2372420000000013E-2</v>
      </c>
    </row>
    <row r="50" spans="1:22">
      <c r="A50" s="138">
        <v>42</v>
      </c>
      <c r="B50" s="135" t="s">
        <v>85</v>
      </c>
      <c r="C50" s="136" t="s">
        <v>37</v>
      </c>
      <c r="D50" s="44">
        <v>59572433670.959999</v>
      </c>
      <c r="E50" s="30">
        <f t="shared" si="20"/>
        <v>2.6923081669624049E-2</v>
      </c>
      <c r="F50" s="31">
        <v>100</v>
      </c>
      <c r="G50" s="31">
        <v>100</v>
      </c>
      <c r="H50" s="32">
        <v>12123</v>
      </c>
      <c r="I50" s="50">
        <v>0.19757841000000001</v>
      </c>
      <c r="J50" s="50">
        <v>0.19757841000000001</v>
      </c>
      <c r="K50" s="44">
        <v>59819552103.879997</v>
      </c>
      <c r="L50" s="30">
        <f t="shared" si="19"/>
        <v>2.7034764025733966E-2</v>
      </c>
      <c r="M50" s="31">
        <v>100</v>
      </c>
      <c r="N50" s="31">
        <v>100</v>
      </c>
      <c r="O50" s="32">
        <v>11767</v>
      </c>
      <c r="P50" s="50">
        <v>0.184</v>
      </c>
      <c r="Q50" s="50">
        <v>0.184</v>
      </c>
      <c r="R50" s="56">
        <f t="shared" si="21"/>
        <v>4.1482010670391986E-3</v>
      </c>
      <c r="S50" s="56">
        <f t="shared" si="22"/>
        <v>0</v>
      </c>
      <c r="T50" s="56">
        <f t="shared" si="23"/>
        <v>-2.9365668563886827E-2</v>
      </c>
      <c r="U50" s="57">
        <f t="shared" si="24"/>
        <v>-1.3578410000000013E-2</v>
      </c>
      <c r="V50" s="58">
        <f t="shared" si="25"/>
        <v>-1.3578410000000013E-2</v>
      </c>
    </row>
    <row r="51" spans="1:22">
      <c r="A51" s="138">
        <v>43</v>
      </c>
      <c r="B51" s="135" t="s">
        <v>86</v>
      </c>
      <c r="C51" s="136" t="s">
        <v>41</v>
      </c>
      <c r="D51" s="44">
        <v>12066771445.82</v>
      </c>
      <c r="E51" s="30">
        <f t="shared" si="20"/>
        <v>5.4534396717599134E-3</v>
      </c>
      <c r="F51" s="31">
        <v>1</v>
      </c>
      <c r="G51" s="31">
        <v>1</v>
      </c>
      <c r="H51" s="32">
        <v>1381</v>
      </c>
      <c r="I51" s="50">
        <v>0.23150000000000001</v>
      </c>
      <c r="J51" s="50">
        <v>0.23150000000000001</v>
      </c>
      <c r="K51" s="44">
        <v>12801646476.360001</v>
      </c>
      <c r="L51" s="30">
        <f t="shared" si="19"/>
        <v>5.7855580568082089E-3</v>
      </c>
      <c r="M51" s="31">
        <v>1</v>
      </c>
      <c r="N51" s="31">
        <v>1</v>
      </c>
      <c r="O51" s="32">
        <v>1408</v>
      </c>
      <c r="P51" s="50">
        <v>0.20269999999999999</v>
      </c>
      <c r="Q51" s="50">
        <v>0.20269999999999999</v>
      </c>
      <c r="R51" s="56">
        <f t="shared" si="21"/>
        <v>6.0900716802303065E-2</v>
      </c>
      <c r="S51" s="56">
        <f t="shared" si="22"/>
        <v>0</v>
      </c>
      <c r="T51" s="56">
        <f t="shared" si="23"/>
        <v>1.9551049963794351E-2</v>
      </c>
      <c r="U51" s="57">
        <f t="shared" si="24"/>
        <v>-2.880000000000002E-2</v>
      </c>
      <c r="V51" s="58">
        <f t="shared" si="25"/>
        <v>-2.880000000000002E-2</v>
      </c>
    </row>
    <row r="52" spans="1:22">
      <c r="A52" s="138">
        <v>44</v>
      </c>
      <c r="B52" s="135" t="s">
        <v>87</v>
      </c>
      <c r="C52" s="136" t="s">
        <v>43</v>
      </c>
      <c r="D52" s="47">
        <v>27056385555.379997</v>
      </c>
      <c r="E52" s="30">
        <f t="shared" si="20"/>
        <v>1.2227824735443503E-2</v>
      </c>
      <c r="F52" s="31">
        <v>10</v>
      </c>
      <c r="G52" s="31">
        <v>10</v>
      </c>
      <c r="H52" s="32">
        <v>3432</v>
      </c>
      <c r="I52" s="50">
        <v>0.2407</v>
      </c>
      <c r="J52" s="50">
        <v>0.2407</v>
      </c>
      <c r="K52" s="47">
        <v>29292460537.68</v>
      </c>
      <c r="L52" s="30">
        <f t="shared" si="19"/>
        <v>1.3238393309834531E-2</v>
      </c>
      <c r="M52" s="31">
        <v>10</v>
      </c>
      <c r="N52" s="31">
        <v>10</v>
      </c>
      <c r="O52" s="32">
        <v>3942</v>
      </c>
      <c r="P52" s="50">
        <v>0.22969999999999999</v>
      </c>
      <c r="Q52" s="50">
        <v>0.22969999999999999</v>
      </c>
      <c r="R52" s="56">
        <f t="shared" si="21"/>
        <v>8.2644999928875321E-2</v>
      </c>
      <c r="S52" s="56">
        <f t="shared" si="22"/>
        <v>0</v>
      </c>
      <c r="T52" s="56">
        <f t="shared" si="23"/>
        <v>0.14860139860139859</v>
      </c>
      <c r="U52" s="57">
        <f t="shared" si="24"/>
        <v>-1.100000000000001E-2</v>
      </c>
      <c r="V52" s="58">
        <f t="shared" si="25"/>
        <v>-1.100000000000001E-2</v>
      </c>
    </row>
    <row r="53" spans="1:22">
      <c r="A53" s="138">
        <v>45</v>
      </c>
      <c r="B53" s="135" t="s">
        <v>88</v>
      </c>
      <c r="C53" s="136" t="s">
        <v>89</v>
      </c>
      <c r="D53" s="44">
        <v>15617688340</v>
      </c>
      <c r="E53" s="30">
        <f t="shared" si="20"/>
        <v>7.0582360457354691E-3</v>
      </c>
      <c r="F53" s="31">
        <v>100</v>
      </c>
      <c r="G53" s="31">
        <v>100</v>
      </c>
      <c r="H53" s="32">
        <v>3620</v>
      </c>
      <c r="I53" s="50">
        <v>0.24940000000000001</v>
      </c>
      <c r="J53" s="50">
        <v>0.24940000000000001</v>
      </c>
      <c r="K53" s="44">
        <v>15829492914</v>
      </c>
      <c r="L53" s="30">
        <f t="shared" si="19"/>
        <v>7.1539587062414761E-3</v>
      </c>
      <c r="M53" s="31">
        <v>100</v>
      </c>
      <c r="N53" s="31">
        <v>100</v>
      </c>
      <c r="O53" s="32">
        <v>3668</v>
      </c>
      <c r="P53" s="50">
        <v>0.2321</v>
      </c>
      <c r="Q53" s="50">
        <v>0.2321</v>
      </c>
      <c r="R53" s="56">
        <f t="shared" si="21"/>
        <v>1.3561838947542988E-2</v>
      </c>
      <c r="S53" s="56">
        <f t="shared" si="22"/>
        <v>0</v>
      </c>
      <c r="T53" s="56">
        <f t="shared" si="23"/>
        <v>1.3259668508287293E-2</v>
      </c>
      <c r="U53" s="57">
        <f t="shared" si="24"/>
        <v>-1.730000000000001E-2</v>
      </c>
      <c r="V53" s="58">
        <f t="shared" si="25"/>
        <v>-1.730000000000001E-2</v>
      </c>
    </row>
    <row r="54" spans="1:22">
      <c r="A54" s="138">
        <v>46</v>
      </c>
      <c r="B54" s="135" t="s">
        <v>90</v>
      </c>
      <c r="C54" s="136" t="s">
        <v>91</v>
      </c>
      <c r="D54" s="44">
        <v>231533093.31</v>
      </c>
      <c r="E54" s="30">
        <f t="shared" si="20"/>
        <v>1.046387397036043E-4</v>
      </c>
      <c r="F54" s="31">
        <v>1</v>
      </c>
      <c r="G54" s="31">
        <v>1</v>
      </c>
      <c r="H54" s="32">
        <v>83</v>
      </c>
      <c r="I54" s="50">
        <v>0.20119999999999999</v>
      </c>
      <c r="J54" s="50">
        <v>0.20119999999999999</v>
      </c>
      <c r="K54" s="44">
        <v>231052349.37</v>
      </c>
      <c r="L54" s="30">
        <f t="shared" si="19"/>
        <v>1.044214729652621E-4</v>
      </c>
      <c r="M54" s="31">
        <v>1</v>
      </c>
      <c r="N54" s="31">
        <v>1</v>
      </c>
      <c r="O54" s="32">
        <v>81</v>
      </c>
      <c r="P54" s="50">
        <v>0.2016</v>
      </c>
      <c r="Q54" s="50">
        <v>0.2016</v>
      </c>
      <c r="R54" s="56">
        <f t="shared" si="21"/>
        <v>-2.0763508711747259E-3</v>
      </c>
      <c r="S54" s="56">
        <f t="shared" si="22"/>
        <v>0</v>
      </c>
      <c r="T54" s="56">
        <f t="shared" si="23"/>
        <v>-2.4096385542168676E-2</v>
      </c>
      <c r="U54" s="57">
        <f t="shared" si="24"/>
        <v>4.0000000000001146E-4</v>
      </c>
      <c r="V54" s="58">
        <f t="shared" si="25"/>
        <v>4.0000000000001146E-4</v>
      </c>
    </row>
    <row r="55" spans="1:22">
      <c r="A55" s="138">
        <v>47</v>
      </c>
      <c r="B55" s="135" t="s">
        <v>92</v>
      </c>
      <c r="C55" s="136" t="s">
        <v>45</v>
      </c>
      <c r="D55" s="47">
        <v>1098683417.72</v>
      </c>
      <c r="E55" s="30">
        <f t="shared" si="20"/>
        <v>4.9653743454091391E-4</v>
      </c>
      <c r="F55" s="31">
        <v>10</v>
      </c>
      <c r="G55" s="31">
        <v>10</v>
      </c>
      <c r="H55" s="32">
        <v>751</v>
      </c>
      <c r="I55" s="50">
        <v>0.187</v>
      </c>
      <c r="J55" s="50">
        <v>0.187</v>
      </c>
      <c r="K55" s="47">
        <v>1100039304.99</v>
      </c>
      <c r="L55" s="30">
        <f t="shared" si="19"/>
        <v>4.971502123217687E-4</v>
      </c>
      <c r="M55" s="31">
        <v>10</v>
      </c>
      <c r="N55" s="31">
        <v>10</v>
      </c>
      <c r="O55" s="32">
        <v>755</v>
      </c>
      <c r="P55" s="50">
        <v>0.187</v>
      </c>
      <c r="Q55" s="50">
        <v>0.187</v>
      </c>
      <c r="R55" s="56">
        <f t="shared" si="21"/>
        <v>1.2341018787866418E-3</v>
      </c>
      <c r="S55" s="56">
        <f t="shared" si="22"/>
        <v>0</v>
      </c>
      <c r="T55" s="56">
        <f t="shared" si="23"/>
        <v>5.3262316910785623E-3</v>
      </c>
      <c r="U55" s="57">
        <f t="shared" si="24"/>
        <v>0</v>
      </c>
      <c r="V55" s="58">
        <f t="shared" si="25"/>
        <v>0</v>
      </c>
    </row>
    <row r="56" spans="1:22">
      <c r="A56" s="138">
        <v>48</v>
      </c>
      <c r="B56" s="135" t="s">
        <v>93</v>
      </c>
      <c r="C56" s="136" t="s">
        <v>94</v>
      </c>
      <c r="D56" s="47">
        <v>762902817.77999997</v>
      </c>
      <c r="E56" s="30">
        <f t="shared" si="20"/>
        <v>3.4478522369130296E-4</v>
      </c>
      <c r="F56" s="31">
        <v>1</v>
      </c>
      <c r="G56" s="31">
        <v>1</v>
      </c>
      <c r="H56" s="32">
        <v>74</v>
      </c>
      <c r="I56" s="50">
        <v>0.21629999999999999</v>
      </c>
      <c r="J56" s="50">
        <v>0.21629999999999999</v>
      </c>
      <c r="K56" s="47">
        <v>764362656.52999997</v>
      </c>
      <c r="L56" s="30">
        <f t="shared" si="19"/>
        <v>3.4544498115744612E-4</v>
      </c>
      <c r="M56" s="31">
        <v>1</v>
      </c>
      <c r="N56" s="31">
        <v>1</v>
      </c>
      <c r="O56" s="32">
        <v>74</v>
      </c>
      <c r="P56" s="50">
        <v>0.18</v>
      </c>
      <c r="Q56" s="50">
        <v>0.18</v>
      </c>
      <c r="R56" s="56">
        <f t="shared" si="21"/>
        <v>1.9135317316667417E-3</v>
      </c>
      <c r="S56" s="56">
        <f t="shared" si="22"/>
        <v>0</v>
      </c>
      <c r="T56" s="56">
        <f t="shared" si="23"/>
        <v>0</v>
      </c>
      <c r="U56" s="57">
        <f t="shared" si="24"/>
        <v>-3.6299999999999999E-2</v>
      </c>
      <c r="V56" s="58">
        <f t="shared" si="25"/>
        <v>-3.6299999999999999E-2</v>
      </c>
    </row>
    <row r="57" spans="1:22">
      <c r="A57" s="138">
        <v>49</v>
      </c>
      <c r="B57" s="135" t="s">
        <v>95</v>
      </c>
      <c r="C57" s="136" t="s">
        <v>96</v>
      </c>
      <c r="D57" s="47">
        <v>8809742777.8565998</v>
      </c>
      <c r="E57" s="30">
        <f t="shared" si="20"/>
        <v>3.9814627283262316E-3</v>
      </c>
      <c r="F57" s="31">
        <v>100</v>
      </c>
      <c r="G57" s="31">
        <v>100</v>
      </c>
      <c r="H57" s="32">
        <v>102</v>
      </c>
      <c r="I57" s="50">
        <v>0.222</v>
      </c>
      <c r="J57" s="50">
        <v>0.222</v>
      </c>
      <c r="K57" s="47">
        <v>9702738118.0279007</v>
      </c>
      <c r="L57" s="30">
        <f t="shared" si="19"/>
        <v>4.3850417831424121E-3</v>
      </c>
      <c r="M57" s="31">
        <v>100</v>
      </c>
      <c r="N57" s="31">
        <v>100</v>
      </c>
      <c r="O57" s="32">
        <v>107</v>
      </c>
      <c r="P57" s="50">
        <v>0.21890000000000001</v>
      </c>
      <c r="Q57" s="50">
        <v>0.21890000000000001</v>
      </c>
      <c r="R57" s="56">
        <f t="shared" si="21"/>
        <v>0.10136451911125668</v>
      </c>
      <c r="S57" s="56">
        <f t="shared" si="22"/>
        <v>0</v>
      </c>
      <c r="T57" s="56">
        <f t="shared" si="23"/>
        <v>4.9019607843137254E-2</v>
      </c>
      <c r="U57" s="57">
        <f t="shared" si="24"/>
        <v>-3.0999999999999917E-3</v>
      </c>
      <c r="V57" s="58">
        <f t="shared" si="25"/>
        <v>-3.0999999999999917E-3</v>
      </c>
    </row>
    <row r="58" spans="1:22">
      <c r="A58" s="138">
        <v>50</v>
      </c>
      <c r="B58" s="135" t="s">
        <v>97</v>
      </c>
      <c r="C58" s="136" t="s">
        <v>98</v>
      </c>
      <c r="D58" s="47">
        <v>51623000</v>
      </c>
      <c r="E58" s="30">
        <f t="shared" si="20"/>
        <v>2.3330425825938982E-5</v>
      </c>
      <c r="F58" s="31">
        <v>1000</v>
      </c>
      <c r="G58" s="31">
        <v>1000</v>
      </c>
      <c r="H58" s="32">
        <v>23</v>
      </c>
      <c r="I58" s="50">
        <v>0.185</v>
      </c>
      <c r="J58" s="50">
        <v>0.185</v>
      </c>
      <c r="K58" s="47">
        <v>51723000</v>
      </c>
      <c r="L58" s="30">
        <f t="shared" si="19"/>
        <v>2.3375619684928075E-5</v>
      </c>
      <c r="M58" s="31">
        <v>1000</v>
      </c>
      <c r="N58" s="31">
        <v>1000</v>
      </c>
      <c r="O58" s="32">
        <v>23</v>
      </c>
      <c r="P58" s="50">
        <v>0.18379999999999999</v>
      </c>
      <c r="Q58" s="50">
        <v>0.18379999999999999</v>
      </c>
      <c r="R58" s="56">
        <f t="shared" si="21"/>
        <v>1.9371210506944579E-3</v>
      </c>
      <c r="S58" s="56">
        <f t="shared" si="22"/>
        <v>0</v>
      </c>
      <c r="T58" s="56">
        <f t="shared" si="23"/>
        <v>0</v>
      </c>
      <c r="U58" s="57">
        <f t="shared" si="24"/>
        <v>-1.2000000000000066E-3</v>
      </c>
      <c r="V58" s="58">
        <f t="shared" si="25"/>
        <v>-1.2000000000000066E-3</v>
      </c>
    </row>
    <row r="59" spans="1:22">
      <c r="A59" s="138">
        <v>51</v>
      </c>
      <c r="B59" s="135" t="s">
        <v>99</v>
      </c>
      <c r="C59" s="136" t="s">
        <v>49</v>
      </c>
      <c r="D59" s="44">
        <v>1000033677468.4399</v>
      </c>
      <c r="E59" s="30">
        <f t="shared" si="20"/>
        <v>0.45195381003851826</v>
      </c>
      <c r="F59" s="31">
        <v>100</v>
      </c>
      <c r="G59" s="31">
        <v>100</v>
      </c>
      <c r="H59" s="32">
        <v>162041</v>
      </c>
      <c r="I59" s="50">
        <v>0.2233</v>
      </c>
      <c r="J59" s="50">
        <v>0.2233</v>
      </c>
      <c r="K59" s="44">
        <v>1043685514101.87</v>
      </c>
      <c r="L59" s="30">
        <f t="shared" si="19"/>
        <v>0.47168175953277947</v>
      </c>
      <c r="M59" s="31">
        <v>100</v>
      </c>
      <c r="N59" s="31">
        <v>100</v>
      </c>
      <c r="O59" s="32">
        <v>163755</v>
      </c>
      <c r="P59" s="50">
        <v>0.21510000000000001</v>
      </c>
      <c r="Q59" s="50">
        <v>0.21510000000000001</v>
      </c>
      <c r="R59" s="56">
        <f t="shared" si="21"/>
        <v>4.3650366599586501E-2</v>
      </c>
      <c r="S59" s="56">
        <f t="shared" si="22"/>
        <v>0</v>
      </c>
      <c r="T59" s="56">
        <f t="shared" si="23"/>
        <v>1.0577569874291074E-2</v>
      </c>
      <c r="U59" s="57">
        <f t="shared" si="24"/>
        <v>-8.1999999999999851E-3</v>
      </c>
      <c r="V59" s="58">
        <f t="shared" si="25"/>
        <v>-8.1999999999999851E-3</v>
      </c>
    </row>
    <row r="60" spans="1:22">
      <c r="A60" s="138">
        <v>52</v>
      </c>
      <c r="B60" s="135" t="s">
        <v>100</v>
      </c>
      <c r="C60" s="135" t="s">
        <v>101</v>
      </c>
      <c r="D60" s="44">
        <v>2109117374.1300001</v>
      </c>
      <c r="E60" s="30">
        <f t="shared" si="20"/>
        <v>9.5319153197875308E-4</v>
      </c>
      <c r="F60" s="31">
        <v>100</v>
      </c>
      <c r="G60" s="31">
        <v>100</v>
      </c>
      <c r="H60" s="32">
        <v>434</v>
      </c>
      <c r="I60" s="50">
        <v>0.22320000000000001</v>
      </c>
      <c r="J60" s="50">
        <v>0.22320000000000001</v>
      </c>
      <c r="K60" s="44">
        <v>2126507309.6600001</v>
      </c>
      <c r="L60" s="30">
        <f t="shared" si="19"/>
        <v>9.6105071492047522E-4</v>
      </c>
      <c r="M60" s="31">
        <v>100</v>
      </c>
      <c r="N60" s="31">
        <v>100</v>
      </c>
      <c r="O60" s="32">
        <v>462</v>
      </c>
      <c r="P60" s="50">
        <v>0.22259999999999999</v>
      </c>
      <c r="Q60" s="50">
        <v>0.22259999999999999</v>
      </c>
      <c r="R60" s="56">
        <f t="shared" si="21"/>
        <v>8.2451245925434704E-3</v>
      </c>
      <c r="S60" s="56">
        <f t="shared" si="22"/>
        <v>0</v>
      </c>
      <c r="T60" s="56">
        <f t="shared" si="23"/>
        <v>6.4516129032258063E-2</v>
      </c>
      <c r="U60" s="57">
        <f t="shared" si="24"/>
        <v>-6.0000000000001719E-4</v>
      </c>
      <c r="V60" s="58">
        <f t="shared" si="25"/>
        <v>-6.0000000000001719E-4</v>
      </c>
    </row>
    <row r="61" spans="1:22">
      <c r="A61" s="138">
        <v>53</v>
      </c>
      <c r="B61" s="135" t="s">
        <v>102</v>
      </c>
      <c r="C61" s="136" t="s">
        <v>103</v>
      </c>
      <c r="D61" s="44">
        <v>3891445650.2199998</v>
      </c>
      <c r="E61" s="30">
        <f t="shared" si="20"/>
        <v>1.7586944597975825E-3</v>
      </c>
      <c r="F61" s="31">
        <v>1</v>
      </c>
      <c r="G61" s="31">
        <v>1</v>
      </c>
      <c r="H61" s="32">
        <v>435</v>
      </c>
      <c r="I61" s="50">
        <v>0.21968479080000003</v>
      </c>
      <c r="J61" s="50">
        <v>0.21968479080000003</v>
      </c>
      <c r="K61" s="44">
        <v>3946209347.3499999</v>
      </c>
      <c r="L61" s="30">
        <f t="shared" si="19"/>
        <v>1.7834442878557283E-3</v>
      </c>
      <c r="M61" s="31">
        <v>1</v>
      </c>
      <c r="N61" s="31">
        <v>1</v>
      </c>
      <c r="O61" s="32">
        <v>442</v>
      </c>
      <c r="P61" s="50">
        <v>0.2167394299</v>
      </c>
      <c r="Q61" s="50">
        <v>0.2167394299</v>
      </c>
      <c r="R61" s="56">
        <f t="shared" si="21"/>
        <v>1.4072841317186092E-2</v>
      </c>
      <c r="S61" s="56">
        <f t="shared" si="22"/>
        <v>0</v>
      </c>
      <c r="T61" s="56">
        <f t="shared" si="23"/>
        <v>1.6091954022988506E-2</v>
      </c>
      <c r="U61" s="57">
        <f t="shared" si="24"/>
        <v>-2.9453609000000269E-3</v>
      </c>
      <c r="V61" s="58">
        <f t="shared" si="25"/>
        <v>-2.9453609000000269E-3</v>
      </c>
    </row>
    <row r="62" spans="1:22">
      <c r="A62" s="138">
        <v>54</v>
      </c>
      <c r="B62" s="135" t="s">
        <v>104</v>
      </c>
      <c r="C62" s="136" t="s">
        <v>52</v>
      </c>
      <c r="D62" s="44">
        <v>95834009432.869995</v>
      </c>
      <c r="E62" s="30">
        <f t="shared" si="20"/>
        <v>4.3311087086684429E-2</v>
      </c>
      <c r="F62" s="31">
        <v>1</v>
      </c>
      <c r="G62" s="31">
        <v>1</v>
      </c>
      <c r="H62" s="32">
        <v>47313</v>
      </c>
      <c r="I62" s="50">
        <v>0.2094</v>
      </c>
      <c r="J62" s="50">
        <v>0.2094</v>
      </c>
      <c r="K62" s="44">
        <v>99115679742.429993</v>
      </c>
      <c r="L62" s="30">
        <f t="shared" si="19"/>
        <v>4.4794200538873875E-2</v>
      </c>
      <c r="M62" s="31">
        <v>1</v>
      </c>
      <c r="N62" s="31">
        <v>1</v>
      </c>
      <c r="O62" s="32">
        <v>48056</v>
      </c>
      <c r="P62" s="50">
        <v>0.21110000000000001</v>
      </c>
      <c r="Q62" s="50">
        <v>0.21110000000000001</v>
      </c>
      <c r="R62" s="56">
        <f t="shared" si="21"/>
        <v>3.4243274689021004E-2</v>
      </c>
      <c r="S62" s="56">
        <f t="shared" si="22"/>
        <v>0</v>
      </c>
      <c r="T62" s="56">
        <f t="shared" si="23"/>
        <v>1.5703929152664171E-2</v>
      </c>
      <c r="U62" s="57">
        <f t="shared" si="24"/>
        <v>1.7000000000000071E-3</v>
      </c>
      <c r="V62" s="58">
        <f t="shared" si="25"/>
        <v>1.7000000000000071E-3</v>
      </c>
    </row>
    <row r="63" spans="1:22">
      <c r="A63" s="138">
        <v>55</v>
      </c>
      <c r="B63" s="135" t="s">
        <v>105</v>
      </c>
      <c r="C63" s="136" t="s">
        <v>106</v>
      </c>
      <c r="D63" s="44">
        <v>1568846781.29</v>
      </c>
      <c r="E63" s="30">
        <f t="shared" si="20"/>
        <v>7.0902240209111172E-4</v>
      </c>
      <c r="F63" s="31">
        <v>1</v>
      </c>
      <c r="G63" s="31">
        <v>1</v>
      </c>
      <c r="H63" s="32">
        <v>149</v>
      </c>
      <c r="I63" s="50">
        <v>0.2127</v>
      </c>
      <c r="J63" s="50">
        <v>0.2127</v>
      </c>
      <c r="K63" s="44">
        <v>1620065672.4400001</v>
      </c>
      <c r="L63" s="30">
        <f t="shared" si="19"/>
        <v>7.3217019553321937E-4</v>
      </c>
      <c r="M63" s="31">
        <v>1</v>
      </c>
      <c r="N63" s="31">
        <v>1</v>
      </c>
      <c r="O63" s="32">
        <v>150</v>
      </c>
      <c r="P63" s="50">
        <v>0.21110000000000001</v>
      </c>
      <c r="Q63" s="50">
        <v>0.21110000000000001</v>
      </c>
      <c r="R63" s="56">
        <f t="shared" si="21"/>
        <v>3.2647478237412611E-2</v>
      </c>
      <c r="S63" s="56">
        <f t="shared" si="22"/>
        <v>0</v>
      </c>
      <c r="T63" s="56">
        <f t="shared" si="23"/>
        <v>6.7114093959731542E-3</v>
      </c>
      <c r="U63" s="57">
        <f t="shared" si="24"/>
        <v>-1.5999999999999903E-3</v>
      </c>
      <c r="V63" s="58">
        <f t="shared" si="25"/>
        <v>-1.5999999999999903E-3</v>
      </c>
    </row>
    <row r="64" spans="1:22">
      <c r="A64" s="138">
        <v>56</v>
      </c>
      <c r="B64" s="135" t="s">
        <v>107</v>
      </c>
      <c r="C64" s="136" t="s">
        <v>108</v>
      </c>
      <c r="D64" s="44">
        <v>3535458183.6700001</v>
      </c>
      <c r="E64" s="30">
        <f t="shared" si="20"/>
        <v>1.5978099861461345E-3</v>
      </c>
      <c r="F64" s="31">
        <v>1</v>
      </c>
      <c r="G64" s="31">
        <v>1</v>
      </c>
      <c r="H64" s="32">
        <v>341</v>
      </c>
      <c r="I64" s="50">
        <v>0.21809999999999999</v>
      </c>
      <c r="J64" s="50">
        <v>0.21809999999999999</v>
      </c>
      <c r="K64" s="44">
        <v>3680590849.0599999</v>
      </c>
      <c r="L64" s="30">
        <f t="shared" si="19"/>
        <v>1.6634010382896019E-3</v>
      </c>
      <c r="M64" s="31">
        <v>1</v>
      </c>
      <c r="N64" s="31">
        <v>1</v>
      </c>
      <c r="O64" s="32">
        <v>341</v>
      </c>
      <c r="P64" s="50">
        <v>0.18410000000000001</v>
      </c>
      <c r="Q64" s="50">
        <v>0.18410000000000001</v>
      </c>
      <c r="R64" s="56">
        <f t="shared" si="21"/>
        <v>4.1050595948314735E-2</v>
      </c>
      <c r="S64" s="56">
        <f t="shared" si="22"/>
        <v>0</v>
      </c>
      <c r="T64" s="56">
        <f t="shared" si="23"/>
        <v>0</v>
      </c>
      <c r="U64" s="57">
        <f t="shared" si="24"/>
        <v>-3.3999999999999975E-2</v>
      </c>
      <c r="V64" s="58">
        <f t="shared" si="25"/>
        <v>-3.3999999999999975E-2</v>
      </c>
    </row>
    <row r="65" spans="1:22">
      <c r="A65" s="138">
        <v>57</v>
      </c>
      <c r="B65" s="135" t="s">
        <v>109</v>
      </c>
      <c r="C65" s="136" t="s">
        <v>110</v>
      </c>
      <c r="D65" s="44">
        <v>3836332897.8299999</v>
      </c>
      <c r="E65" s="30">
        <f t="shared" si="20"/>
        <v>1.7337868801974386E-3</v>
      </c>
      <c r="F65" s="31">
        <v>1</v>
      </c>
      <c r="G65" s="31">
        <v>1</v>
      </c>
      <c r="H65" s="32">
        <v>2652</v>
      </c>
      <c r="I65" s="50">
        <v>0.23344000000000001</v>
      </c>
      <c r="J65" s="50">
        <v>0.2344</v>
      </c>
      <c r="K65" s="44">
        <v>4205273570.73</v>
      </c>
      <c r="L65" s="30">
        <f t="shared" si="19"/>
        <v>1.9005254076612718E-3</v>
      </c>
      <c r="M65" s="31">
        <v>1</v>
      </c>
      <c r="N65" s="31">
        <v>1</v>
      </c>
      <c r="O65" s="32">
        <v>2756</v>
      </c>
      <c r="P65" s="50">
        <v>0.24690000000000001</v>
      </c>
      <c r="Q65" s="50">
        <v>0.24690000000000001</v>
      </c>
      <c r="R65" s="56">
        <f t="shared" si="21"/>
        <v>9.6170140268246607E-2</v>
      </c>
      <c r="S65" s="56">
        <f t="shared" si="22"/>
        <v>0</v>
      </c>
      <c r="T65" s="56">
        <f t="shared" si="23"/>
        <v>3.9215686274509803E-2</v>
      </c>
      <c r="U65" s="57">
        <f t="shared" si="24"/>
        <v>1.346E-2</v>
      </c>
      <c r="V65" s="58">
        <f t="shared" si="25"/>
        <v>1.2500000000000011E-2</v>
      </c>
    </row>
    <row r="66" spans="1:22">
      <c r="A66" s="138">
        <v>58</v>
      </c>
      <c r="B66" s="135" t="s">
        <v>111</v>
      </c>
      <c r="C66" s="136" t="s">
        <v>112</v>
      </c>
      <c r="D66" s="44">
        <v>72560485555.559998</v>
      </c>
      <c r="E66" s="30">
        <f t="shared" si="20"/>
        <v>3.2792883523780285E-2</v>
      </c>
      <c r="F66" s="31">
        <v>1</v>
      </c>
      <c r="G66" s="31">
        <v>1</v>
      </c>
      <c r="H66" s="32">
        <v>4816</v>
      </c>
      <c r="I66" s="50">
        <v>0.21929999999999999</v>
      </c>
      <c r="J66" s="50">
        <v>0.21929999999999999</v>
      </c>
      <c r="K66" s="44">
        <v>74799476002.860001</v>
      </c>
      <c r="L66" s="30">
        <f t="shared" si="19"/>
        <v>3.3804769709312288E-2</v>
      </c>
      <c r="M66" s="31">
        <v>1</v>
      </c>
      <c r="N66" s="31">
        <v>1</v>
      </c>
      <c r="O66" s="32">
        <v>4816</v>
      </c>
      <c r="P66" s="50">
        <v>0.21590000000000001</v>
      </c>
      <c r="Q66" s="50">
        <v>0.21590000000000001</v>
      </c>
      <c r="R66" s="56">
        <f t="shared" si="21"/>
        <v>3.0856883469799753E-2</v>
      </c>
      <c r="S66" s="56">
        <f t="shared" si="22"/>
        <v>0</v>
      </c>
      <c r="T66" s="56">
        <f t="shared" si="23"/>
        <v>0</v>
      </c>
      <c r="U66" s="57">
        <f t="shared" si="24"/>
        <v>-3.3999999999999864E-3</v>
      </c>
      <c r="V66" s="58">
        <f t="shared" si="25"/>
        <v>-3.3999999999999864E-3</v>
      </c>
    </row>
    <row r="67" spans="1:22">
      <c r="A67" s="36"/>
      <c r="B67" s="37"/>
      <c r="C67" s="38" t="s">
        <v>53</v>
      </c>
      <c r="D67" s="48">
        <f>SUM(D28:D66)</f>
        <v>2134730862264.1289</v>
      </c>
      <c r="E67" s="40">
        <f>(D67/$D$216)</f>
        <v>0.48751031523085903</v>
      </c>
      <c r="F67" s="41"/>
      <c r="G67" s="45"/>
      <c r="H67" s="43">
        <f>SUM(H28:H66)</f>
        <v>385576</v>
      </c>
      <c r="I67" s="55"/>
      <c r="J67" s="55"/>
      <c r="K67" s="48">
        <f>SUM(K28:K66)</f>
        <v>2212690003394.8403</v>
      </c>
      <c r="L67" s="40">
        <f>(K67/$K$216)</f>
        <v>0.49471075124183139</v>
      </c>
      <c r="M67" s="41"/>
      <c r="N67" s="45"/>
      <c r="O67" s="43">
        <f>SUM(O28:O66)</f>
        <v>389919</v>
      </c>
      <c r="P67" s="55"/>
      <c r="Q67" s="55"/>
      <c r="R67" s="56">
        <f t="shared" si="21"/>
        <v>3.6519423834078427E-2</v>
      </c>
      <c r="S67" s="56" t="e">
        <f t="shared" si="22"/>
        <v>#DIV/0!</v>
      </c>
      <c r="T67" s="56">
        <f t="shared" si="23"/>
        <v>1.1263667863145008E-2</v>
      </c>
      <c r="U67" s="57">
        <f t="shared" si="24"/>
        <v>0</v>
      </c>
      <c r="V67" s="58">
        <f t="shared" si="25"/>
        <v>0</v>
      </c>
    </row>
    <row r="68" spans="1:22" ht="3" customHeight="1">
      <c r="A68" s="36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</row>
    <row r="69" spans="1:22" ht="15" customHeight="1">
      <c r="A69" s="181" t="s">
        <v>113</v>
      </c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</row>
    <row r="70" spans="1:22">
      <c r="A70" s="138">
        <v>59</v>
      </c>
      <c r="B70" s="135" t="s">
        <v>114</v>
      </c>
      <c r="C70" s="136" t="s">
        <v>21</v>
      </c>
      <c r="D70" s="29">
        <v>543975883.42999995</v>
      </c>
      <c r="E70" s="30">
        <f>(D70/$D$107)</f>
        <v>2.8269452686444318E-3</v>
      </c>
      <c r="F70" s="60">
        <v>1.4238999999999999</v>
      </c>
      <c r="G70" s="60">
        <v>1.4238999999999999</v>
      </c>
      <c r="H70" s="32">
        <v>470</v>
      </c>
      <c r="I70" s="50">
        <v>-1.333E-3</v>
      </c>
      <c r="J70" s="50">
        <v>9.2200000000000004E-2</v>
      </c>
      <c r="K70" s="29">
        <v>547207321.03999996</v>
      </c>
      <c r="L70" s="30">
        <f t="shared" ref="L70:L92" si="35">(K70/$K$107)</f>
        <v>2.8403974196360747E-3</v>
      </c>
      <c r="M70" s="60">
        <v>1.4321999999999999</v>
      </c>
      <c r="N70" s="60">
        <v>1.4321999999999999</v>
      </c>
      <c r="O70" s="32">
        <v>470</v>
      </c>
      <c r="P70" s="50">
        <v>6.29E-4</v>
      </c>
      <c r="Q70" s="50">
        <v>9.8599999999999993E-2</v>
      </c>
      <c r="R70" s="56">
        <f>((K70-D70)/D70)</f>
        <v>5.9404060151057106E-3</v>
      </c>
      <c r="S70" s="56">
        <f>((N70-G70)/G70)</f>
        <v>5.8290610295666651E-3</v>
      </c>
      <c r="T70" s="56">
        <f>((O70-H70)/H70)</f>
        <v>0</v>
      </c>
      <c r="U70" s="57">
        <f>P70-I70</f>
        <v>1.9620000000000002E-3</v>
      </c>
      <c r="V70" s="58">
        <f>Q70-J70</f>
        <v>6.399999999999989E-3</v>
      </c>
    </row>
    <row r="71" spans="1:22">
      <c r="A71" s="138">
        <v>60</v>
      </c>
      <c r="B71" s="135" t="s">
        <v>115</v>
      </c>
      <c r="C71" s="136" t="s">
        <v>23</v>
      </c>
      <c r="D71" s="29">
        <v>1327823513.8900001</v>
      </c>
      <c r="E71" s="30">
        <f>(D71/$D$107)</f>
        <v>6.9004610581586421E-3</v>
      </c>
      <c r="F71" s="60">
        <v>1.2218</v>
      </c>
      <c r="G71" s="60">
        <v>1.2218</v>
      </c>
      <c r="H71" s="32">
        <v>861</v>
      </c>
      <c r="I71" s="50">
        <v>0.31769999999999998</v>
      </c>
      <c r="J71" s="50">
        <v>0.21260000000000001</v>
      </c>
      <c r="K71" s="29">
        <v>1318054352.73</v>
      </c>
      <c r="L71" s="30">
        <f t="shared" si="35"/>
        <v>6.8416449094998912E-3</v>
      </c>
      <c r="M71" s="60">
        <v>1.2235</v>
      </c>
      <c r="N71" s="60">
        <v>1.2235</v>
      </c>
      <c r="O71" s="32">
        <v>880</v>
      </c>
      <c r="P71" s="50">
        <v>7.2599999999999998E-2</v>
      </c>
      <c r="Q71" s="50">
        <v>0.19800000000000001</v>
      </c>
      <c r="R71" s="56">
        <f t="shared" ref="R71:R107" si="36">((K71-D71)/D71)</f>
        <v>-7.3572738077067861E-3</v>
      </c>
      <c r="S71" s="56">
        <f t="shared" ref="S71:S107" si="37">((N71-G71)/G71)</f>
        <v>1.3913897528237311E-3</v>
      </c>
      <c r="T71" s="56">
        <f t="shared" ref="T71:T107" si="38">((O71-H71)/H71)</f>
        <v>2.2067363530778164E-2</v>
      </c>
      <c r="U71" s="57">
        <f t="shared" ref="U71:U107" si="39">P71-I71</f>
        <v>-0.24509999999999998</v>
      </c>
      <c r="V71" s="58">
        <f t="shared" ref="V71:V107" si="40">Q71-J71</f>
        <v>-1.4600000000000002E-2</v>
      </c>
    </row>
    <row r="72" spans="1:22">
      <c r="A72" s="138">
        <v>61</v>
      </c>
      <c r="B72" s="135" t="s">
        <v>116</v>
      </c>
      <c r="C72" s="136" t="s">
        <v>23</v>
      </c>
      <c r="D72" s="29">
        <v>845509429.66999996</v>
      </c>
      <c r="E72" s="30">
        <f>(D72/$D$107)</f>
        <v>4.3939611196153984E-3</v>
      </c>
      <c r="F72" s="60">
        <v>1.0938000000000001</v>
      </c>
      <c r="G72" s="60">
        <v>1.0938000000000001</v>
      </c>
      <c r="H72" s="32">
        <v>223</v>
      </c>
      <c r="I72" s="50">
        <v>0.1003</v>
      </c>
      <c r="J72" s="50">
        <v>0.1187</v>
      </c>
      <c r="K72" s="29">
        <v>857059539.75</v>
      </c>
      <c r="L72" s="30">
        <f t="shared" si="35"/>
        <v>4.4487520754541076E-3</v>
      </c>
      <c r="M72" s="60">
        <v>1.0966</v>
      </c>
      <c r="N72" s="60">
        <v>1.0966</v>
      </c>
      <c r="O72" s="32">
        <v>231</v>
      </c>
      <c r="P72" s="50">
        <v>0.13350000000000001</v>
      </c>
      <c r="Q72" s="50">
        <v>0.1206</v>
      </c>
      <c r="R72" s="56">
        <f t="shared" si="36"/>
        <v>1.366053372640447E-2</v>
      </c>
      <c r="S72" s="56">
        <f t="shared" si="37"/>
        <v>2.5598829767781253E-3</v>
      </c>
      <c r="T72" s="56">
        <f t="shared" si="38"/>
        <v>3.5874439461883408E-2</v>
      </c>
      <c r="U72" s="57">
        <f t="shared" si="39"/>
        <v>3.3200000000000007E-2</v>
      </c>
      <c r="V72" s="58">
        <f t="shared" si="40"/>
        <v>1.8999999999999989E-3</v>
      </c>
    </row>
    <row r="73" spans="1:22">
      <c r="A73" s="138">
        <v>62</v>
      </c>
      <c r="B73" s="135" t="s">
        <v>117</v>
      </c>
      <c r="C73" s="136" t="s">
        <v>118</v>
      </c>
      <c r="D73" s="29">
        <v>283538309.16000003</v>
      </c>
      <c r="E73" s="30">
        <f>(D73/$D$107)</f>
        <v>1.4734978258690563E-3</v>
      </c>
      <c r="F73" s="35">
        <v>1130.99</v>
      </c>
      <c r="G73" s="35">
        <v>1130.99</v>
      </c>
      <c r="H73" s="32">
        <v>111</v>
      </c>
      <c r="I73" s="50">
        <v>1.5623E-2</v>
      </c>
      <c r="J73" s="50">
        <v>1.7045999999999999E-2</v>
      </c>
      <c r="K73" s="29">
        <v>284235144.22000003</v>
      </c>
      <c r="L73" s="30">
        <f t="shared" si="35"/>
        <v>1.4753837150387108E-3</v>
      </c>
      <c r="M73" s="35">
        <v>1133.77</v>
      </c>
      <c r="N73" s="35">
        <v>1133.77</v>
      </c>
      <c r="O73" s="32">
        <v>111</v>
      </c>
      <c r="P73" s="50">
        <v>1.8550000000000001E-3</v>
      </c>
      <c r="Q73" s="50">
        <v>1.8987E-2</v>
      </c>
      <c r="R73" s="56">
        <f t="shared" si="36"/>
        <v>2.4576398937569311E-3</v>
      </c>
      <c r="S73" s="56">
        <f t="shared" si="37"/>
        <v>2.4580235015340302E-3</v>
      </c>
      <c r="T73" s="56">
        <f t="shared" si="38"/>
        <v>0</v>
      </c>
      <c r="U73" s="57">
        <f t="shared" si="39"/>
        <v>-1.3767999999999999E-2</v>
      </c>
      <c r="V73" s="58">
        <f t="shared" si="40"/>
        <v>1.9410000000000018E-3</v>
      </c>
    </row>
    <row r="74" spans="1:22" ht="15" customHeight="1">
      <c r="A74" s="138">
        <v>63</v>
      </c>
      <c r="B74" s="135" t="s">
        <v>119</v>
      </c>
      <c r="C74" s="136" t="s">
        <v>27</v>
      </c>
      <c r="D74" s="29">
        <v>1720523398.1099999</v>
      </c>
      <c r="E74" s="30">
        <f>(D74/$K$107)</f>
        <v>8.9307471455739255E-3</v>
      </c>
      <c r="F74" s="35">
        <v>1.0627</v>
      </c>
      <c r="G74" s="35">
        <v>1.0627</v>
      </c>
      <c r="H74" s="32">
        <v>891</v>
      </c>
      <c r="I74" s="50">
        <v>3.2000000000000002E-3</v>
      </c>
      <c r="J74" s="50">
        <v>1.7500000000000002E-2</v>
      </c>
      <c r="K74" s="29">
        <v>1717402986.4200001</v>
      </c>
      <c r="L74" s="30">
        <f t="shared" si="35"/>
        <v>8.9145499768378926E-3</v>
      </c>
      <c r="M74" s="35">
        <v>1.0662</v>
      </c>
      <c r="N74" s="35">
        <v>1.0662</v>
      </c>
      <c r="O74" s="32">
        <v>893</v>
      </c>
      <c r="P74" s="50">
        <v>3.2000000000000002E-3</v>
      </c>
      <c r="Q74" s="50">
        <v>2.06E-2</v>
      </c>
      <c r="R74" s="56">
        <f t="shared" si="36"/>
        <v>-1.8136409498572354E-3</v>
      </c>
      <c r="S74" s="56">
        <f t="shared" si="37"/>
        <v>3.293497694551669E-3</v>
      </c>
      <c r="T74" s="56">
        <f t="shared" si="38"/>
        <v>2.2446689113355782E-3</v>
      </c>
      <c r="U74" s="57">
        <f t="shared" si="39"/>
        <v>0</v>
      </c>
      <c r="V74" s="58">
        <f t="shared" si="40"/>
        <v>3.0999999999999986E-3</v>
      </c>
    </row>
    <row r="75" spans="1:22">
      <c r="A75" s="138">
        <v>64</v>
      </c>
      <c r="B75" s="135" t="s">
        <v>120</v>
      </c>
      <c r="C75" s="136" t="s">
        <v>121</v>
      </c>
      <c r="D75" s="29">
        <v>437233977.37770814</v>
      </c>
      <c r="E75" s="30">
        <f t="shared" ref="E75:E92" si="41">(D75/$D$107)</f>
        <v>2.2722266947658803E-3</v>
      </c>
      <c r="F75" s="35">
        <v>2.516</v>
      </c>
      <c r="G75" s="35">
        <v>2.516</v>
      </c>
      <c r="H75" s="32">
        <v>1390</v>
      </c>
      <c r="I75" s="50">
        <v>0.1351</v>
      </c>
      <c r="J75" s="50">
        <v>0.13333999999999999</v>
      </c>
      <c r="K75" s="29">
        <v>438412248.77121896</v>
      </c>
      <c r="L75" s="30">
        <f t="shared" si="35"/>
        <v>2.2756731722446974E-3</v>
      </c>
      <c r="M75" s="35">
        <v>2.5228000000000002</v>
      </c>
      <c r="N75" s="35">
        <v>2.5228000000000002</v>
      </c>
      <c r="O75" s="32">
        <v>1390</v>
      </c>
      <c r="P75" s="50">
        <v>0.1409</v>
      </c>
      <c r="Q75" s="50">
        <v>0.13450000000000001</v>
      </c>
      <c r="R75" s="56">
        <f t="shared" si="36"/>
        <v>2.694830352795202E-3</v>
      </c>
      <c r="S75" s="56">
        <f t="shared" si="37"/>
        <v>2.7027027027027579E-3</v>
      </c>
      <c r="T75" s="56">
        <f t="shared" si="38"/>
        <v>0</v>
      </c>
      <c r="U75" s="57">
        <f t="shared" si="39"/>
        <v>5.7999999999999996E-3</v>
      </c>
      <c r="V75" s="58">
        <f t="shared" si="40"/>
        <v>1.1600000000000221E-3</v>
      </c>
    </row>
    <row r="76" spans="1:22">
      <c r="A76" s="138">
        <v>65</v>
      </c>
      <c r="B76" s="135" t="s">
        <v>122</v>
      </c>
      <c r="C76" s="136" t="s">
        <v>63</v>
      </c>
      <c r="D76" s="29">
        <v>149343134.22</v>
      </c>
      <c r="E76" s="30">
        <f t="shared" si="41"/>
        <v>7.7610952902121993E-4</v>
      </c>
      <c r="F76" s="35">
        <v>11.41</v>
      </c>
      <c r="G76" s="35">
        <v>11.49</v>
      </c>
      <c r="H76" s="32">
        <v>29</v>
      </c>
      <c r="I76" s="50">
        <v>0.1643</v>
      </c>
      <c r="J76" s="50">
        <v>0.32100000000000001</v>
      </c>
      <c r="K76" s="29">
        <v>149804917.34</v>
      </c>
      <c r="L76" s="30">
        <f t="shared" si="35"/>
        <v>7.7759467810597463E-4</v>
      </c>
      <c r="M76" s="35">
        <v>11.46</v>
      </c>
      <c r="N76" s="35">
        <v>11.53</v>
      </c>
      <c r="O76" s="32">
        <v>29</v>
      </c>
      <c r="P76" s="50">
        <v>0.24299999999999999</v>
      </c>
      <c r="Q76" s="50">
        <v>0.308</v>
      </c>
      <c r="R76" s="56">
        <f t="shared" si="36"/>
        <v>3.0920947414947372E-3</v>
      </c>
      <c r="S76" s="56">
        <f t="shared" si="37"/>
        <v>3.4812880765882634E-3</v>
      </c>
      <c r="T76" s="56">
        <f t="shared" si="38"/>
        <v>0</v>
      </c>
      <c r="U76" s="57">
        <f t="shared" si="39"/>
        <v>7.8699999999999992E-2</v>
      </c>
      <c r="V76" s="58">
        <f t="shared" si="40"/>
        <v>-1.3000000000000012E-2</v>
      </c>
    </row>
    <row r="77" spans="1:22">
      <c r="A77" s="138">
        <v>66</v>
      </c>
      <c r="B77" s="135" t="s">
        <v>123</v>
      </c>
      <c r="C77" s="136" t="s">
        <v>65</v>
      </c>
      <c r="D77" s="29">
        <v>2037874378.0035501</v>
      </c>
      <c r="E77" s="30">
        <f t="shared" si="41"/>
        <v>1.059046826609949E-2</v>
      </c>
      <c r="F77" s="29">
        <v>4474.3870710211904</v>
      </c>
      <c r="G77" s="29">
        <v>4474.3870710211904</v>
      </c>
      <c r="H77" s="32">
        <v>1069</v>
      </c>
      <c r="I77" s="50">
        <v>0.31121069583532146</v>
      </c>
      <c r="J77" s="50">
        <v>0.12714417375696443</v>
      </c>
      <c r="K77" s="29">
        <v>2041869844.33653</v>
      </c>
      <c r="L77" s="30">
        <f t="shared" si="35"/>
        <v>1.0598765064150599E-2</v>
      </c>
      <c r="M77" s="29">
        <v>4483.7226976441398</v>
      </c>
      <c r="N77" s="29">
        <v>4483.7226976441398</v>
      </c>
      <c r="O77" s="32">
        <v>1073</v>
      </c>
      <c r="P77" s="50">
        <v>0.10879395045909661</v>
      </c>
      <c r="Q77" s="50">
        <v>0.12543508322024921</v>
      </c>
      <c r="R77" s="56">
        <f t="shared" si="36"/>
        <v>1.9606048224101854E-3</v>
      </c>
      <c r="S77" s="56">
        <f t="shared" si="37"/>
        <v>2.0864593238730856E-3</v>
      </c>
      <c r="T77" s="56">
        <f t="shared" si="38"/>
        <v>3.7418147801683817E-3</v>
      </c>
      <c r="U77" s="57">
        <f t="shared" si="39"/>
        <v>-0.20241674537622484</v>
      </c>
      <c r="V77" s="58">
        <f t="shared" si="40"/>
        <v>-1.7090905367152243E-3</v>
      </c>
    </row>
    <row r="78" spans="1:22">
      <c r="A78" s="138">
        <v>67</v>
      </c>
      <c r="B78" s="135" t="s">
        <v>124</v>
      </c>
      <c r="C78" s="136" t="s">
        <v>67</v>
      </c>
      <c r="D78" s="29">
        <v>370347330.75</v>
      </c>
      <c r="E78" s="30">
        <f t="shared" si="41"/>
        <v>1.9246287681309148E-3</v>
      </c>
      <c r="F78" s="60">
        <v>111.88</v>
      </c>
      <c r="G78" s="60">
        <v>111.88</v>
      </c>
      <c r="H78" s="32">
        <v>136</v>
      </c>
      <c r="I78" s="50">
        <v>2.8E-3</v>
      </c>
      <c r="J78" s="50">
        <v>0.12590000000000001</v>
      </c>
      <c r="K78" s="29">
        <v>361838533.29000002</v>
      </c>
      <c r="L78" s="30">
        <f t="shared" si="35"/>
        <v>1.8782008148730343E-3</v>
      </c>
      <c r="M78" s="60">
        <v>112.41</v>
      </c>
      <c r="N78" s="60">
        <v>112.41</v>
      </c>
      <c r="O78" s="32">
        <v>136</v>
      </c>
      <c r="P78" s="50">
        <v>2.2000000000000001E-3</v>
      </c>
      <c r="Q78" s="50">
        <v>0.13350000000000001</v>
      </c>
      <c r="R78" s="56">
        <f t="shared" si="36"/>
        <v>-2.2975182358594543E-2</v>
      </c>
      <c r="S78" s="56">
        <f t="shared" si="37"/>
        <v>4.7372184483375152E-3</v>
      </c>
      <c r="T78" s="56">
        <f t="shared" si="38"/>
        <v>0</v>
      </c>
      <c r="U78" s="57">
        <f t="shared" si="39"/>
        <v>-5.9999999999999984E-4</v>
      </c>
      <c r="V78" s="58">
        <f t="shared" si="40"/>
        <v>7.5999999999999956E-3</v>
      </c>
    </row>
    <row r="79" spans="1:22" ht="13.5" customHeight="1">
      <c r="A79" s="138">
        <v>68</v>
      </c>
      <c r="B79" s="135" t="s">
        <v>125</v>
      </c>
      <c r="C79" s="136" t="s">
        <v>302</v>
      </c>
      <c r="D79" s="29">
        <v>365515751.12</v>
      </c>
      <c r="E79" s="30">
        <f t="shared" si="41"/>
        <v>1.89951991387623E-3</v>
      </c>
      <c r="F79" s="60">
        <v>1.4005000000000001</v>
      </c>
      <c r="G79" s="60">
        <v>1.4005000000000001</v>
      </c>
      <c r="H79" s="32">
        <v>388</v>
      </c>
      <c r="I79" s="50">
        <v>6.1786047848266801E-3</v>
      </c>
      <c r="J79" s="50">
        <v>6.6892261288796662E-2</v>
      </c>
      <c r="K79" s="29">
        <v>367353453.75</v>
      </c>
      <c r="L79" s="30">
        <f t="shared" si="35"/>
        <v>1.9068271969439295E-3</v>
      </c>
      <c r="M79" s="60">
        <v>1.4081999999999999</v>
      </c>
      <c r="N79" s="60">
        <v>1.4081999999999999</v>
      </c>
      <c r="O79" s="32">
        <v>389</v>
      </c>
      <c r="P79" s="50">
        <v>5.4980364155656769E-3</v>
      </c>
      <c r="Q79" s="50">
        <v>7.2514751248635823E-2</v>
      </c>
      <c r="R79" s="56">
        <f t="shared" si="36"/>
        <v>5.0276975051525797E-3</v>
      </c>
      <c r="S79" s="56">
        <f t="shared" si="37"/>
        <v>5.4980364155657394E-3</v>
      </c>
      <c r="T79" s="56">
        <f t="shared" si="38"/>
        <v>2.5773195876288659E-3</v>
      </c>
      <c r="U79" s="57">
        <f t="shared" si="39"/>
        <v>-6.8056836926100317E-4</v>
      </c>
      <c r="V79" s="58">
        <f t="shared" si="40"/>
        <v>5.6224899598391609E-3</v>
      </c>
    </row>
    <row r="80" spans="1:22" ht="13.5" customHeight="1">
      <c r="A80" s="138">
        <v>69</v>
      </c>
      <c r="B80" s="135" t="s">
        <v>300</v>
      </c>
      <c r="C80" s="136" t="s">
        <v>302</v>
      </c>
      <c r="D80" s="29">
        <v>25065561.399999999</v>
      </c>
      <c r="E80" s="30">
        <f t="shared" ref="E80" si="42">(D80/$D$107)</f>
        <v>1.3026123466880639E-4</v>
      </c>
      <c r="F80" s="60">
        <v>0.89090000000000003</v>
      </c>
      <c r="G80" s="60">
        <v>0.89090000000000003</v>
      </c>
      <c r="H80" s="32">
        <v>1</v>
      </c>
      <c r="I80" s="50">
        <v>-1.6808606006274429E-3</v>
      </c>
      <c r="J80" s="50">
        <v>-8.7660010240655395E-2</v>
      </c>
      <c r="K80" s="29">
        <v>25137783.280000001</v>
      </c>
      <c r="L80" s="30">
        <f t="shared" ref="L80" si="43">(K80/$K$107)</f>
        <v>1.3048307655712731E-4</v>
      </c>
      <c r="M80" s="60">
        <v>0.89090000000000003</v>
      </c>
      <c r="N80" s="60">
        <v>0.89090000000000003</v>
      </c>
      <c r="O80" s="32">
        <v>1</v>
      </c>
      <c r="P80" s="50">
        <v>-5.6123021663490036E-4</v>
      </c>
      <c r="Q80" s="50">
        <v>-8.8172043010752765E-2</v>
      </c>
      <c r="R80" s="56">
        <f t="shared" ref="R80" si="44">((K80-D80)/D80)</f>
        <v>2.881319067523566E-3</v>
      </c>
      <c r="S80" s="56">
        <f t="shared" ref="S80" si="45">((N80-G80)/G80)</f>
        <v>0</v>
      </c>
      <c r="T80" s="56">
        <f t="shared" ref="T80" si="46">((O80-H80)/H80)</f>
        <v>0</v>
      </c>
      <c r="U80" s="57">
        <f t="shared" ref="U80" si="47">P80-I80</f>
        <v>1.1196303839925426E-3</v>
      </c>
      <c r="V80" s="58">
        <f t="shared" ref="V80" si="48">Q80-J80</f>
        <v>-5.1203277009737036E-4</v>
      </c>
    </row>
    <row r="81" spans="1:22">
      <c r="A81" s="138">
        <v>70</v>
      </c>
      <c r="B81" s="135" t="s">
        <v>127</v>
      </c>
      <c r="C81" s="136" t="s">
        <v>29</v>
      </c>
      <c r="D81" s="29">
        <v>127297908.34</v>
      </c>
      <c r="E81" s="30">
        <f t="shared" si="41"/>
        <v>6.6154443726622249E-4</v>
      </c>
      <c r="F81" s="60">
        <v>133.74260000000001</v>
      </c>
      <c r="G81" s="60">
        <v>133.74260000000001</v>
      </c>
      <c r="H81" s="32">
        <v>209</v>
      </c>
      <c r="I81" s="50">
        <v>1.825E-3</v>
      </c>
      <c r="J81" s="50">
        <v>2.29E-2</v>
      </c>
      <c r="K81" s="29">
        <v>129572839.56</v>
      </c>
      <c r="L81" s="30">
        <f t="shared" si="35"/>
        <v>6.7257572219915553E-4</v>
      </c>
      <c r="M81" s="60">
        <v>134.11959999999999</v>
      </c>
      <c r="N81" s="60">
        <v>134.11959999999999</v>
      </c>
      <c r="O81" s="32">
        <v>209</v>
      </c>
      <c r="P81" s="50">
        <v>-8.8599999999999996E-4</v>
      </c>
      <c r="Q81" s="50">
        <v>2.58E-2</v>
      </c>
      <c r="R81" s="56">
        <f t="shared" si="36"/>
        <v>1.7870923801229198E-2</v>
      </c>
      <c r="S81" s="56">
        <f t="shared" si="37"/>
        <v>2.8188475474529512E-3</v>
      </c>
      <c r="T81" s="56">
        <f t="shared" si="38"/>
        <v>0</v>
      </c>
      <c r="U81" s="57">
        <f t="shared" si="39"/>
        <v>-2.7109999999999999E-3</v>
      </c>
      <c r="V81" s="58">
        <f t="shared" si="40"/>
        <v>2.8999999999999998E-3</v>
      </c>
    </row>
    <row r="82" spans="1:22">
      <c r="A82" s="138">
        <v>71</v>
      </c>
      <c r="B82" s="135" t="s">
        <v>128</v>
      </c>
      <c r="C82" s="136" t="s">
        <v>98</v>
      </c>
      <c r="D82" s="29">
        <v>1537128183.2000003</v>
      </c>
      <c r="E82" s="30">
        <f t="shared" si="41"/>
        <v>7.9881799490775125E-3</v>
      </c>
      <c r="F82" s="35">
        <v>1000</v>
      </c>
      <c r="G82" s="35">
        <v>1000</v>
      </c>
      <c r="H82" s="32">
        <v>338</v>
      </c>
      <c r="I82" s="50">
        <v>1.0500000000000001E-2</v>
      </c>
      <c r="J82" s="50">
        <v>0.20699999999999999</v>
      </c>
      <c r="K82" s="29">
        <v>1535696451.6800003</v>
      </c>
      <c r="L82" s="30">
        <f t="shared" si="35"/>
        <v>7.9713630848467654E-3</v>
      </c>
      <c r="M82" s="35">
        <v>1000</v>
      </c>
      <c r="N82" s="35">
        <v>1000</v>
      </c>
      <c r="O82" s="32">
        <v>338</v>
      </c>
      <c r="P82" s="50">
        <v>1.0800000000000001E-2</v>
      </c>
      <c r="Q82" s="50">
        <v>0.21329999999999999</v>
      </c>
      <c r="R82" s="56">
        <f t="shared" si="36"/>
        <v>-9.3143274298659721E-4</v>
      </c>
      <c r="S82" s="56">
        <f t="shared" si="37"/>
        <v>0</v>
      </c>
      <c r="T82" s="56">
        <f t="shared" si="38"/>
        <v>0</v>
      </c>
      <c r="U82" s="57">
        <f t="shared" si="39"/>
        <v>2.9999999999999992E-4</v>
      </c>
      <c r="V82" s="58">
        <f t="shared" si="40"/>
        <v>6.3E-3</v>
      </c>
    </row>
    <row r="83" spans="1:22">
      <c r="A83" s="138">
        <v>72</v>
      </c>
      <c r="B83" s="135" t="s">
        <v>129</v>
      </c>
      <c r="C83" s="136" t="s">
        <v>72</v>
      </c>
      <c r="D83" s="29">
        <v>174454971</v>
      </c>
      <c r="E83" s="30">
        <f t="shared" si="41"/>
        <v>9.0661124855439363E-4</v>
      </c>
      <c r="F83" s="35">
        <v>1045.5899999999999</v>
      </c>
      <c r="G83" s="35">
        <v>1052.01</v>
      </c>
      <c r="H83" s="32">
        <v>73</v>
      </c>
      <c r="I83" s="50">
        <v>1.67E-2</v>
      </c>
      <c r="J83" s="50">
        <v>3.7600000000000001E-2</v>
      </c>
      <c r="K83" s="29">
        <v>174917097.68000001</v>
      </c>
      <c r="L83" s="30">
        <f t="shared" si="35"/>
        <v>9.0794485709043632E-4</v>
      </c>
      <c r="M83" s="35">
        <v>1047.54</v>
      </c>
      <c r="N83" s="35">
        <v>1054.52</v>
      </c>
      <c r="O83" s="32">
        <v>73</v>
      </c>
      <c r="P83" s="50">
        <v>2.2000000000000001E-3</v>
      </c>
      <c r="Q83" s="50">
        <v>3.9800000000000002E-2</v>
      </c>
      <c r="R83" s="56">
        <f t="shared" si="36"/>
        <v>2.6489739865309262E-3</v>
      </c>
      <c r="S83" s="56">
        <f t="shared" si="37"/>
        <v>2.3859088791931549E-3</v>
      </c>
      <c r="T83" s="56">
        <f t="shared" si="38"/>
        <v>0</v>
      </c>
      <c r="U83" s="57">
        <f t="shared" si="39"/>
        <v>-1.4499999999999999E-2</v>
      </c>
      <c r="V83" s="58">
        <f t="shared" si="40"/>
        <v>2.2000000000000006E-3</v>
      </c>
    </row>
    <row r="84" spans="1:22">
      <c r="A84" s="138">
        <v>73</v>
      </c>
      <c r="B84" s="135" t="s">
        <v>130</v>
      </c>
      <c r="C84" s="136" t="s">
        <v>75</v>
      </c>
      <c r="D84" s="29">
        <v>643690207.09000003</v>
      </c>
      <c r="E84" s="30">
        <f t="shared" si="41"/>
        <v>3.3451427551015505E-3</v>
      </c>
      <c r="F84" s="61">
        <v>1.1687000000000001</v>
      </c>
      <c r="G84" s="61">
        <v>1.1687000000000001</v>
      </c>
      <c r="H84" s="32">
        <v>47</v>
      </c>
      <c r="I84" s="50">
        <v>1.6799999999999999E-2</v>
      </c>
      <c r="J84" s="50">
        <v>0.13639999999999999</v>
      </c>
      <c r="K84" s="29">
        <v>649250723.61000001</v>
      </c>
      <c r="L84" s="30">
        <f t="shared" si="35"/>
        <v>3.3700756717468978E-3</v>
      </c>
      <c r="M84" s="61">
        <v>1.1705000000000001</v>
      </c>
      <c r="N84" s="61">
        <v>1.1705000000000001</v>
      </c>
      <c r="O84" s="32">
        <v>47</v>
      </c>
      <c r="P84" s="50">
        <v>1.2999999999999999E-3</v>
      </c>
      <c r="Q84" s="50">
        <v>0.13059999999999999</v>
      </c>
      <c r="R84" s="56">
        <f t="shared" si="36"/>
        <v>8.6384979276568612E-3</v>
      </c>
      <c r="S84" s="56">
        <f t="shared" si="37"/>
        <v>1.540172841618913E-3</v>
      </c>
      <c r="T84" s="56">
        <f t="shared" si="38"/>
        <v>0</v>
      </c>
      <c r="U84" s="57">
        <f t="shared" si="39"/>
        <v>-1.55E-2</v>
      </c>
      <c r="V84" s="58">
        <f t="shared" si="40"/>
        <v>-5.7999999999999996E-3</v>
      </c>
    </row>
    <row r="85" spans="1:22">
      <c r="A85" s="138">
        <v>74</v>
      </c>
      <c r="B85" s="135" t="s">
        <v>131</v>
      </c>
      <c r="C85" s="136" t="s">
        <v>31</v>
      </c>
      <c r="D85" s="29">
        <v>13031085733.559999</v>
      </c>
      <c r="E85" s="30">
        <f t="shared" si="41"/>
        <v>6.7720219373526347E-2</v>
      </c>
      <c r="F85" s="61">
        <v>1700.74</v>
      </c>
      <c r="G85" s="61">
        <v>1700.74</v>
      </c>
      <c r="H85" s="32">
        <v>2151</v>
      </c>
      <c r="I85" s="50">
        <v>5.0000000000000001E-4</v>
      </c>
      <c r="J85" s="50">
        <v>4.5999999999999999E-3</v>
      </c>
      <c r="K85" s="29">
        <v>12606710715.18</v>
      </c>
      <c r="L85" s="30">
        <f t="shared" si="35"/>
        <v>6.5437846331149893E-2</v>
      </c>
      <c r="M85" s="61">
        <v>1701.48</v>
      </c>
      <c r="N85" s="61">
        <v>1701.48</v>
      </c>
      <c r="O85" s="32">
        <v>2138</v>
      </c>
      <c r="P85" s="50">
        <v>4.0000000000000002E-4</v>
      </c>
      <c r="Q85" s="50">
        <v>5.0000000000000001E-3</v>
      </c>
      <c r="R85" s="56">
        <f t="shared" si="36"/>
        <v>-3.2566359170446722E-2</v>
      </c>
      <c r="S85" s="56">
        <f t="shared" si="37"/>
        <v>4.3510471912226978E-4</v>
      </c>
      <c r="T85" s="56">
        <f t="shared" si="38"/>
        <v>-6.04370060437006E-3</v>
      </c>
      <c r="U85" s="57">
        <f t="shared" si="39"/>
        <v>-9.9999999999999991E-5</v>
      </c>
      <c r="V85" s="58">
        <f t="shared" si="40"/>
        <v>4.0000000000000018E-4</v>
      </c>
    </row>
    <row r="86" spans="1:22">
      <c r="A86" s="138">
        <v>75</v>
      </c>
      <c r="B86" s="135" t="s">
        <v>132</v>
      </c>
      <c r="C86" s="136" t="s">
        <v>80</v>
      </c>
      <c r="D86" s="29">
        <v>23615055.25</v>
      </c>
      <c r="E86" s="30">
        <f t="shared" si="41"/>
        <v>1.2272321391680773E-4</v>
      </c>
      <c r="F86" s="60">
        <v>0.72019999999999995</v>
      </c>
      <c r="G86" s="60">
        <v>0.72019999999999995</v>
      </c>
      <c r="H86" s="32">
        <v>746</v>
      </c>
      <c r="I86" s="50">
        <v>2.3999999999999998E-3</v>
      </c>
      <c r="J86" s="50">
        <v>4.8999999999999998E-3</v>
      </c>
      <c r="K86" s="29">
        <v>23671969.120000001</v>
      </c>
      <c r="L86" s="30">
        <f t="shared" si="35"/>
        <v>1.2287445255367458E-4</v>
      </c>
      <c r="M86" s="60">
        <v>0.72189999999999999</v>
      </c>
      <c r="N86" s="60">
        <v>0.72189999999999999</v>
      </c>
      <c r="O86" s="32">
        <v>746</v>
      </c>
      <c r="P86" s="50">
        <v>2.0999999999999999E-3</v>
      </c>
      <c r="Q86" s="50">
        <v>7.3000000000000001E-3</v>
      </c>
      <c r="R86" s="56">
        <f t="shared" si="36"/>
        <v>2.4100671964339803E-3</v>
      </c>
      <c r="S86" s="56">
        <f t="shared" si="37"/>
        <v>2.3604554290475354E-3</v>
      </c>
      <c r="T86" s="56">
        <f t="shared" si="38"/>
        <v>0</v>
      </c>
      <c r="U86" s="57">
        <f t="shared" si="39"/>
        <v>-2.9999999999999992E-4</v>
      </c>
      <c r="V86" s="58">
        <f t="shared" si="40"/>
        <v>2.4000000000000002E-3</v>
      </c>
    </row>
    <row r="87" spans="1:22">
      <c r="A87" s="138">
        <v>76</v>
      </c>
      <c r="B87" s="135" t="s">
        <v>133</v>
      </c>
      <c r="C87" s="136" t="s">
        <v>37</v>
      </c>
      <c r="D87" s="29">
        <v>10918691526.4</v>
      </c>
      <c r="E87" s="30">
        <f t="shared" si="41"/>
        <v>5.6742484897892541E-2</v>
      </c>
      <c r="F87" s="60">
        <v>1</v>
      </c>
      <c r="G87" s="60">
        <v>1</v>
      </c>
      <c r="H87" s="32">
        <v>4286</v>
      </c>
      <c r="I87" s="50">
        <v>0.06</v>
      </c>
      <c r="J87" s="50">
        <v>0.06</v>
      </c>
      <c r="K87" s="29">
        <v>10929709458.799999</v>
      </c>
      <c r="L87" s="30">
        <f t="shared" si="35"/>
        <v>5.6733010233023178E-2</v>
      </c>
      <c r="M87" s="60">
        <v>1</v>
      </c>
      <c r="N87" s="60">
        <v>1</v>
      </c>
      <c r="O87" s="32">
        <v>4282</v>
      </c>
      <c r="P87" s="50">
        <v>0.06</v>
      </c>
      <c r="Q87" s="50">
        <v>0.06</v>
      </c>
      <c r="R87" s="56">
        <f t="shared" si="36"/>
        <v>1.0090890811742109E-3</v>
      </c>
      <c r="S87" s="56">
        <f t="shared" si="37"/>
        <v>0</v>
      </c>
      <c r="T87" s="56">
        <f t="shared" si="38"/>
        <v>-9.3327111525898275E-4</v>
      </c>
      <c r="U87" s="57">
        <f t="shared" si="39"/>
        <v>0</v>
      </c>
      <c r="V87" s="58">
        <f t="shared" si="40"/>
        <v>0</v>
      </c>
    </row>
    <row r="88" spans="1:22">
      <c r="A88" s="138">
        <v>77</v>
      </c>
      <c r="B88" s="135" t="s">
        <v>134</v>
      </c>
      <c r="C88" s="136" t="s">
        <v>135</v>
      </c>
      <c r="D88" s="29">
        <v>1144093356.5599999</v>
      </c>
      <c r="E88" s="30">
        <f t="shared" si="41"/>
        <v>5.9456483269464911E-3</v>
      </c>
      <c r="F88" s="29">
        <v>242.06</v>
      </c>
      <c r="G88" s="29">
        <v>246.54</v>
      </c>
      <c r="H88" s="32">
        <v>508</v>
      </c>
      <c r="I88" s="50">
        <v>3.0000000000000001E-3</v>
      </c>
      <c r="J88" s="50">
        <v>0.1865</v>
      </c>
      <c r="K88" s="29">
        <v>1630481572.8499999</v>
      </c>
      <c r="L88" s="30">
        <f t="shared" si="35"/>
        <v>8.4633656645627629E-3</v>
      </c>
      <c r="M88" s="29">
        <v>246.27</v>
      </c>
      <c r="N88" s="29">
        <v>246.27</v>
      </c>
      <c r="O88" s="32">
        <v>511</v>
      </c>
      <c r="P88" s="50">
        <v>3.0000000000000001E-3</v>
      </c>
      <c r="Q88" s="50">
        <v>0.1865</v>
      </c>
      <c r="R88" s="56">
        <f t="shared" si="36"/>
        <v>0.42512983184558173</v>
      </c>
      <c r="S88" s="56">
        <f t="shared" si="37"/>
        <v>-1.0951569724993177E-3</v>
      </c>
      <c r="T88" s="56">
        <f t="shared" si="38"/>
        <v>5.905511811023622E-3</v>
      </c>
      <c r="U88" s="57">
        <f t="shared" si="39"/>
        <v>0</v>
      </c>
      <c r="V88" s="58">
        <f t="shared" si="40"/>
        <v>0</v>
      </c>
    </row>
    <row r="89" spans="1:22">
      <c r="A89" s="138">
        <v>78</v>
      </c>
      <c r="B89" s="135" t="s">
        <v>136</v>
      </c>
      <c r="C89" s="136" t="s">
        <v>41</v>
      </c>
      <c r="D89" s="29">
        <v>1104298631.8299999</v>
      </c>
      <c r="E89" s="30">
        <f t="shared" si="41"/>
        <v>5.7388422676720677E-3</v>
      </c>
      <c r="F89" s="60">
        <v>3.68</v>
      </c>
      <c r="G89" s="60">
        <v>3.68</v>
      </c>
      <c r="H89" s="46">
        <v>773</v>
      </c>
      <c r="I89" s="53">
        <v>1.8E-3</v>
      </c>
      <c r="J89" s="53">
        <v>9.2299999999999993E-2</v>
      </c>
      <c r="K89" s="29">
        <v>1106463049.96</v>
      </c>
      <c r="L89" s="30">
        <f t="shared" si="35"/>
        <v>5.7433346945285338E-3</v>
      </c>
      <c r="M89" s="60">
        <v>3.68</v>
      </c>
      <c r="N89" s="60">
        <v>3.68</v>
      </c>
      <c r="O89" s="46">
        <v>772</v>
      </c>
      <c r="P89" s="53">
        <v>1.9E-3</v>
      </c>
      <c r="Q89" s="53">
        <v>9.2899999999999996E-2</v>
      </c>
      <c r="R89" s="56">
        <f t="shared" si="36"/>
        <v>1.9599934905409839E-3</v>
      </c>
      <c r="S89" s="56">
        <f t="shared" si="37"/>
        <v>0</v>
      </c>
      <c r="T89" s="56">
        <f t="shared" si="38"/>
        <v>-1.29366106080207E-3</v>
      </c>
      <c r="U89" s="57">
        <f t="shared" si="39"/>
        <v>1.0000000000000005E-4</v>
      </c>
      <c r="V89" s="58">
        <f t="shared" si="40"/>
        <v>6.0000000000000331E-4</v>
      </c>
    </row>
    <row r="90" spans="1:22">
      <c r="A90" s="138">
        <v>79</v>
      </c>
      <c r="B90" s="135" t="s">
        <v>137</v>
      </c>
      <c r="C90" s="136" t="s">
        <v>43</v>
      </c>
      <c r="D90" s="29">
        <v>563897051.29999995</v>
      </c>
      <c r="E90" s="30">
        <f t="shared" si="41"/>
        <v>2.9304720112288112E-3</v>
      </c>
      <c r="F90" s="60">
        <v>106.74664</v>
      </c>
      <c r="G90" s="60">
        <v>106.74664</v>
      </c>
      <c r="H90" s="46">
        <v>59</v>
      </c>
      <c r="I90" s="53">
        <v>0.1482</v>
      </c>
      <c r="J90" s="53">
        <v>0.1719</v>
      </c>
      <c r="K90" s="29">
        <v>566367113.47000003</v>
      </c>
      <c r="L90" s="30">
        <f t="shared" si="35"/>
        <v>2.9398504475588441E-3</v>
      </c>
      <c r="M90" s="60">
        <v>107.11431</v>
      </c>
      <c r="N90" s="60">
        <v>107.11431</v>
      </c>
      <c r="O90" s="46">
        <v>59</v>
      </c>
      <c r="P90" s="53">
        <v>0.1482</v>
      </c>
      <c r="Q90" s="53">
        <v>0.17199999999999999</v>
      </c>
      <c r="R90" s="56">
        <f t="shared" si="36"/>
        <v>4.3803424123350729E-3</v>
      </c>
      <c r="S90" s="56">
        <f t="shared" si="37"/>
        <v>3.4443238681798691E-3</v>
      </c>
      <c r="T90" s="56">
        <f t="shared" si="38"/>
        <v>0</v>
      </c>
      <c r="U90" s="57">
        <f t="shared" si="39"/>
        <v>0</v>
      </c>
      <c r="V90" s="58">
        <f t="shared" si="40"/>
        <v>9.9999999999988987E-5</v>
      </c>
    </row>
    <row r="91" spans="1:22">
      <c r="A91" s="138">
        <v>80</v>
      </c>
      <c r="B91" s="136" t="s">
        <v>138</v>
      </c>
      <c r="C91" s="171" t="s">
        <v>47</v>
      </c>
      <c r="D91" s="29">
        <v>1415157489.5899999</v>
      </c>
      <c r="E91" s="30">
        <f t="shared" si="41"/>
        <v>7.3543200929384296E-3</v>
      </c>
      <c r="F91" s="60">
        <v>99.37</v>
      </c>
      <c r="G91" s="60">
        <v>99.37</v>
      </c>
      <c r="H91" s="32">
        <v>289</v>
      </c>
      <c r="I91" s="50">
        <v>2.5000000000000001E-3</v>
      </c>
      <c r="J91" s="50">
        <v>2.2499999999999999E-2</v>
      </c>
      <c r="K91" s="29">
        <v>1421769351.53</v>
      </c>
      <c r="L91" s="30">
        <f t="shared" si="35"/>
        <v>7.3799999417556543E-3</v>
      </c>
      <c r="M91" s="60">
        <v>99.61</v>
      </c>
      <c r="N91" s="60">
        <v>99.61</v>
      </c>
      <c r="O91" s="32">
        <v>289</v>
      </c>
      <c r="P91" s="50">
        <v>7.7000000000000002E-3</v>
      </c>
      <c r="Q91" s="50">
        <v>1.9300000000000001E-2</v>
      </c>
      <c r="R91" s="56">
        <f t="shared" si="36"/>
        <v>4.6721739372736874E-3</v>
      </c>
      <c r="S91" s="56">
        <f t="shared" si="37"/>
        <v>2.4152158599174286E-3</v>
      </c>
      <c r="T91" s="56">
        <f t="shared" si="38"/>
        <v>0</v>
      </c>
      <c r="U91" s="57">
        <f t="shared" si="39"/>
        <v>5.1999999999999998E-3</v>
      </c>
      <c r="V91" s="58">
        <f t="shared" si="40"/>
        <v>-3.199999999999998E-3</v>
      </c>
    </row>
    <row r="92" spans="1:22">
      <c r="A92" s="138">
        <v>81</v>
      </c>
      <c r="B92" s="135" t="s">
        <v>139</v>
      </c>
      <c r="C92" s="136" t="s">
        <v>19</v>
      </c>
      <c r="D92" s="29">
        <v>1387665181.98</v>
      </c>
      <c r="E92" s="30">
        <f t="shared" si="41"/>
        <v>7.2114474927191825E-3</v>
      </c>
      <c r="F92" s="60">
        <v>350.32740000000001</v>
      </c>
      <c r="G92" s="60">
        <v>350.32740000000001</v>
      </c>
      <c r="H92" s="32">
        <v>196</v>
      </c>
      <c r="I92" s="50">
        <v>5.1000000000000004E-3</v>
      </c>
      <c r="J92" s="50">
        <v>2.1899999999999999E-2</v>
      </c>
      <c r="K92" s="29">
        <v>1391536629.3900001</v>
      </c>
      <c r="L92" s="30">
        <f t="shared" si="35"/>
        <v>7.223070488049107E-3</v>
      </c>
      <c r="M92" s="60">
        <v>351.20460000000003</v>
      </c>
      <c r="N92" s="60">
        <v>351.20460000000003</v>
      </c>
      <c r="O92" s="32">
        <v>196</v>
      </c>
      <c r="P92" s="50">
        <v>2.5000000000000001E-3</v>
      </c>
      <c r="Q92" s="50">
        <v>2.4299999999999999E-2</v>
      </c>
      <c r="R92" s="56">
        <f t="shared" si="36"/>
        <v>2.7899002297341519E-3</v>
      </c>
      <c r="S92" s="56">
        <f t="shared" si="37"/>
        <v>2.503943454037612E-3</v>
      </c>
      <c r="T92" s="56">
        <f t="shared" si="38"/>
        <v>0</v>
      </c>
      <c r="U92" s="57">
        <f t="shared" si="39"/>
        <v>-2.6000000000000003E-3</v>
      </c>
      <c r="V92" s="58">
        <f t="shared" si="40"/>
        <v>2.3999999999999994E-3</v>
      </c>
    </row>
    <row r="93" spans="1:22">
      <c r="A93" s="138">
        <v>82</v>
      </c>
      <c r="B93" s="135" t="s">
        <v>140</v>
      </c>
      <c r="C93" s="136" t="s">
        <v>89</v>
      </c>
      <c r="D93" s="44">
        <v>1343452577</v>
      </c>
      <c r="E93" s="30">
        <f>(D93/$K$67)</f>
        <v>6.0715806323470318E-4</v>
      </c>
      <c r="F93" s="60">
        <v>103.04</v>
      </c>
      <c r="G93" s="60">
        <v>103.04</v>
      </c>
      <c r="H93" s="32">
        <v>387</v>
      </c>
      <c r="I93" s="50">
        <v>2.5999999999999999E-3</v>
      </c>
      <c r="J93" s="50">
        <v>0.1406</v>
      </c>
      <c r="K93" s="44">
        <v>1339164319</v>
      </c>
      <c r="L93" s="30">
        <f>(K93/$K$67)</f>
        <v>6.0522003396109474E-4</v>
      </c>
      <c r="M93" s="60">
        <v>103.32</v>
      </c>
      <c r="N93" s="60">
        <v>103.32</v>
      </c>
      <c r="O93" s="32">
        <v>387</v>
      </c>
      <c r="P93" s="50">
        <v>2.7000000000000001E-3</v>
      </c>
      <c r="Q93" s="50">
        <v>0.1409</v>
      </c>
      <c r="R93" s="56">
        <f t="shared" si="36"/>
        <v>-3.1919682714635932E-3</v>
      </c>
      <c r="S93" s="56">
        <f t="shared" si="37"/>
        <v>2.7173913043476989E-3</v>
      </c>
      <c r="T93" s="56">
        <f t="shared" si="38"/>
        <v>0</v>
      </c>
      <c r="U93" s="57">
        <f t="shared" si="39"/>
        <v>1.0000000000000026E-4</v>
      </c>
      <c r="V93" s="58">
        <f t="shared" si="40"/>
        <v>2.9999999999999472E-4</v>
      </c>
    </row>
    <row r="94" spans="1:22">
      <c r="A94" s="138">
        <v>83</v>
      </c>
      <c r="B94" s="135" t="s">
        <v>141</v>
      </c>
      <c r="C94" s="136" t="s">
        <v>45</v>
      </c>
      <c r="D94" s="29">
        <v>59486589.479999997</v>
      </c>
      <c r="E94" s="30">
        <f t="shared" ref="E94:E106" si="49">(D94/$D$107)</f>
        <v>3.0914115460032064E-4</v>
      </c>
      <c r="F94" s="29">
        <v>12.377630999999999</v>
      </c>
      <c r="G94" s="29">
        <v>12.730483</v>
      </c>
      <c r="H94" s="32">
        <v>56</v>
      </c>
      <c r="I94" s="50">
        <v>1.17E-2</v>
      </c>
      <c r="J94" s="50">
        <v>1.61E-2</v>
      </c>
      <c r="K94" s="29">
        <v>59607384.170000002</v>
      </c>
      <c r="L94" s="30">
        <f t="shared" ref="L94:L106" si="50">(K94/$K$107)</f>
        <v>3.0940496166232399E-4</v>
      </c>
      <c r="M94" s="29">
        <v>12.389547</v>
      </c>
      <c r="N94" s="29">
        <v>12.748868</v>
      </c>
      <c r="O94" s="32">
        <v>56</v>
      </c>
      <c r="P94" s="50">
        <v>-8.9999999999999998E-4</v>
      </c>
      <c r="Q94" s="50">
        <v>1.5800000000000002E-2</v>
      </c>
      <c r="R94" s="56">
        <f t="shared" si="36"/>
        <v>2.0306205323910439E-3</v>
      </c>
      <c r="S94" s="56">
        <f t="shared" si="37"/>
        <v>1.4441714426703463E-3</v>
      </c>
      <c r="T94" s="56">
        <f t="shared" si="38"/>
        <v>0</v>
      </c>
      <c r="U94" s="57">
        <f t="shared" si="39"/>
        <v>-1.26E-2</v>
      </c>
      <c r="V94" s="58">
        <f t="shared" si="40"/>
        <v>-2.9999999999999818E-4</v>
      </c>
    </row>
    <row r="95" spans="1:22">
      <c r="A95" s="138">
        <v>84</v>
      </c>
      <c r="B95" s="135" t="s">
        <v>142</v>
      </c>
      <c r="C95" s="136" t="s">
        <v>143</v>
      </c>
      <c r="D95" s="29">
        <v>430501861.35000002</v>
      </c>
      <c r="E95" s="30">
        <f t="shared" si="49"/>
        <v>2.2372410931386644E-3</v>
      </c>
      <c r="F95" s="29">
        <v>134.87</v>
      </c>
      <c r="G95" s="29">
        <v>134.87</v>
      </c>
      <c r="H95" s="32">
        <v>124</v>
      </c>
      <c r="I95" s="50">
        <v>0.1867</v>
      </c>
      <c r="J95" s="50">
        <v>0.1928</v>
      </c>
      <c r="K95" s="29">
        <v>433596213.75999999</v>
      </c>
      <c r="L95" s="30">
        <f t="shared" si="50"/>
        <v>2.2506745055734531E-3</v>
      </c>
      <c r="M95" s="29">
        <v>135.47</v>
      </c>
      <c r="N95" s="29">
        <v>135.47</v>
      </c>
      <c r="O95" s="32">
        <v>127</v>
      </c>
      <c r="P95" s="50">
        <v>0.28649999999999998</v>
      </c>
      <c r="Q95" s="50">
        <v>0.1996</v>
      </c>
      <c r="R95" s="56">
        <f t="shared" si="36"/>
        <v>7.1877793984361981E-3</v>
      </c>
      <c r="S95" s="56">
        <f t="shared" si="37"/>
        <v>4.4487284051308246E-3</v>
      </c>
      <c r="T95" s="56">
        <f t="shared" si="38"/>
        <v>2.4193548387096774E-2</v>
      </c>
      <c r="U95" s="57">
        <f t="shared" si="39"/>
        <v>9.9799999999999972E-2</v>
      </c>
      <c r="V95" s="58">
        <f t="shared" si="40"/>
        <v>6.8000000000000005E-3</v>
      </c>
    </row>
    <row r="96" spans="1:22">
      <c r="A96" s="138">
        <v>85</v>
      </c>
      <c r="B96" s="135" t="s">
        <v>144</v>
      </c>
      <c r="C96" s="136" t="s">
        <v>145</v>
      </c>
      <c r="D96" s="29">
        <v>8043422081.8539219</v>
      </c>
      <c r="E96" s="30">
        <f t="shared" si="49"/>
        <v>4.1800224404494407E-2</v>
      </c>
      <c r="F96" s="29">
        <v>1.0299678373777574</v>
      </c>
      <c r="G96" s="29">
        <v>1.0299678373777574</v>
      </c>
      <c r="H96" s="32">
        <v>4558</v>
      </c>
      <c r="I96" s="50">
        <v>0.1903</v>
      </c>
      <c r="J96" s="50">
        <v>0.1903</v>
      </c>
      <c r="K96" s="29">
        <v>8099843093.5469322</v>
      </c>
      <c r="L96" s="30">
        <f t="shared" si="50"/>
        <v>4.2043979562704038E-2</v>
      </c>
      <c r="M96" s="29">
        <v>1.0332990209975275</v>
      </c>
      <c r="N96" s="29">
        <v>1.0332990209975275</v>
      </c>
      <c r="O96" s="32">
        <v>4569</v>
      </c>
      <c r="P96" s="50">
        <v>0.19009999999999999</v>
      </c>
      <c r="Q96" s="50">
        <v>0.19009999999999999</v>
      </c>
      <c r="R96" s="56">
        <f t="shared" si="36"/>
        <v>7.0145531490007169E-3</v>
      </c>
      <c r="S96" s="56">
        <f t="shared" si="37"/>
        <v>3.2342598466482625E-3</v>
      </c>
      <c r="T96" s="56">
        <f t="shared" si="38"/>
        <v>2.4133391838525669E-3</v>
      </c>
      <c r="U96" s="57">
        <f t="shared" si="39"/>
        <v>-2.0000000000000573E-4</v>
      </c>
      <c r="V96" s="58">
        <f t="shared" si="40"/>
        <v>-2.0000000000000573E-4</v>
      </c>
    </row>
    <row r="97" spans="1:28" ht="14.25" customHeight="1">
      <c r="A97" s="138">
        <v>86</v>
      </c>
      <c r="B97" s="135" t="s">
        <v>146</v>
      </c>
      <c r="C97" s="136" t="s">
        <v>49</v>
      </c>
      <c r="D97" s="29">
        <v>4718551691.8800001</v>
      </c>
      <c r="E97" s="30">
        <f t="shared" si="49"/>
        <v>2.4521468297648986E-2</v>
      </c>
      <c r="F97" s="29">
        <v>5169.5600000000004</v>
      </c>
      <c r="G97" s="29">
        <v>5169.5600000000004</v>
      </c>
      <c r="H97" s="32">
        <v>263</v>
      </c>
      <c r="I97" s="50">
        <v>1E-4</v>
      </c>
      <c r="J97" s="50">
        <v>4.0000000000000002E-4</v>
      </c>
      <c r="K97" s="29">
        <v>4717453996.2700005</v>
      </c>
      <c r="L97" s="30">
        <f t="shared" si="50"/>
        <v>2.4486960687570409E-2</v>
      </c>
      <c r="M97" s="29">
        <v>5170.01</v>
      </c>
      <c r="N97" s="29">
        <v>5170.01</v>
      </c>
      <c r="O97" s="32">
        <v>262</v>
      </c>
      <c r="P97" s="50">
        <v>1E-4</v>
      </c>
      <c r="Q97" s="50">
        <v>5.0000000000000001E-4</v>
      </c>
      <c r="R97" s="56">
        <f t="shared" si="36"/>
        <v>-2.3263401180676792E-4</v>
      </c>
      <c r="S97" s="56">
        <f t="shared" si="37"/>
        <v>8.7048027298226163E-5</v>
      </c>
      <c r="T97" s="56">
        <f t="shared" si="38"/>
        <v>-3.8022813688212928E-3</v>
      </c>
      <c r="U97" s="57">
        <f t="shared" si="39"/>
        <v>0</v>
      </c>
      <c r="V97" s="58">
        <f t="shared" si="40"/>
        <v>9.9999999999999991E-5</v>
      </c>
    </row>
    <row r="98" spans="1:28" ht="13.5" customHeight="1">
      <c r="A98" s="138">
        <v>87</v>
      </c>
      <c r="B98" s="135" t="s">
        <v>147</v>
      </c>
      <c r="C98" s="136" t="s">
        <v>49</v>
      </c>
      <c r="D98" s="29">
        <v>20653555391.580002</v>
      </c>
      <c r="E98" s="30">
        <f t="shared" si="49"/>
        <v>0.10733282940184991</v>
      </c>
      <c r="F98" s="60">
        <v>259.01</v>
      </c>
      <c r="G98" s="60">
        <v>259.01</v>
      </c>
      <c r="H98" s="32">
        <v>6292</v>
      </c>
      <c r="I98" s="50">
        <v>1E-4</v>
      </c>
      <c r="J98" s="50">
        <v>5.9999999999999995E-4</v>
      </c>
      <c r="K98" s="29">
        <v>20641523928.459999</v>
      </c>
      <c r="L98" s="30">
        <f t="shared" si="50"/>
        <v>0.10714427429867721</v>
      </c>
      <c r="M98" s="60">
        <v>259.02</v>
      </c>
      <c r="N98" s="60">
        <v>259.02</v>
      </c>
      <c r="O98" s="32">
        <v>6288</v>
      </c>
      <c r="P98" s="50">
        <v>0</v>
      </c>
      <c r="Q98" s="50">
        <v>6.9999999999999999E-4</v>
      </c>
      <c r="R98" s="56">
        <f t="shared" si="36"/>
        <v>-5.8253714151839005E-4</v>
      </c>
      <c r="S98" s="56">
        <f t="shared" si="37"/>
        <v>3.8608547932477148E-5</v>
      </c>
      <c r="T98" s="56">
        <f t="shared" si="38"/>
        <v>-6.3572790845518119E-4</v>
      </c>
      <c r="U98" s="57">
        <f t="shared" si="39"/>
        <v>-1E-4</v>
      </c>
      <c r="V98" s="58">
        <f t="shared" si="40"/>
        <v>1.0000000000000005E-4</v>
      </c>
    </row>
    <row r="99" spans="1:28" ht="13.5" customHeight="1">
      <c r="A99" s="138">
        <v>88</v>
      </c>
      <c r="B99" s="135" t="s">
        <v>148</v>
      </c>
      <c r="C99" s="136" t="s">
        <v>49</v>
      </c>
      <c r="D99" s="29">
        <v>422127781.75</v>
      </c>
      <c r="E99" s="30">
        <f t="shared" si="49"/>
        <v>2.1937225008157781E-3</v>
      </c>
      <c r="F99" s="35">
        <v>7300.37</v>
      </c>
      <c r="G99" s="35">
        <v>7334.83</v>
      </c>
      <c r="H99" s="32">
        <v>15</v>
      </c>
      <c r="I99" s="50">
        <v>4.1000000000000003E-3</v>
      </c>
      <c r="J99" s="50">
        <v>7.4999999999999997E-2</v>
      </c>
      <c r="K99" s="29">
        <v>420659843.31999999</v>
      </c>
      <c r="L99" s="30">
        <f t="shared" si="50"/>
        <v>2.1835254894612467E-3</v>
      </c>
      <c r="M99" s="35">
        <v>7275.66</v>
      </c>
      <c r="N99" s="35">
        <v>7308.86</v>
      </c>
      <c r="O99" s="32">
        <v>15</v>
      </c>
      <c r="P99" s="50">
        <v>-3.5000000000000001E-3</v>
      </c>
      <c r="Q99" s="50">
        <v>7.1199999999999999E-2</v>
      </c>
      <c r="R99" s="56">
        <f t="shared" si="36"/>
        <v>-3.477474104913037E-3</v>
      </c>
      <c r="S99" s="56">
        <f t="shared" si="37"/>
        <v>-3.540641023718376E-3</v>
      </c>
      <c r="T99" s="56">
        <f t="shared" si="38"/>
        <v>0</v>
      </c>
      <c r="U99" s="57">
        <f t="shared" si="39"/>
        <v>-7.6000000000000009E-3</v>
      </c>
      <c r="V99" s="58">
        <f t="shared" si="40"/>
        <v>-3.7999999999999978E-3</v>
      </c>
    </row>
    <row r="100" spans="1:28" ht="15" customHeight="1">
      <c r="A100" s="138">
        <v>89</v>
      </c>
      <c r="B100" s="135" t="s">
        <v>149</v>
      </c>
      <c r="C100" s="136" t="s">
        <v>49</v>
      </c>
      <c r="D100" s="29">
        <v>7382124069.0100002</v>
      </c>
      <c r="E100" s="30">
        <f t="shared" si="49"/>
        <v>3.8363577035523955E-2</v>
      </c>
      <c r="F100" s="60">
        <v>141.63</v>
      </c>
      <c r="G100" s="60">
        <v>141.63</v>
      </c>
      <c r="H100" s="32">
        <v>4496</v>
      </c>
      <c r="I100" s="50">
        <v>3.0000000000000001E-3</v>
      </c>
      <c r="J100" s="50">
        <v>2.7199999999999998E-2</v>
      </c>
      <c r="K100" s="29">
        <v>7410082546.3999996</v>
      </c>
      <c r="L100" s="30">
        <f t="shared" si="50"/>
        <v>3.8463628929676419E-2</v>
      </c>
      <c r="M100" s="60">
        <v>142.08000000000001</v>
      </c>
      <c r="N100" s="60">
        <v>142.08000000000001</v>
      </c>
      <c r="O100" s="32">
        <v>4502</v>
      </c>
      <c r="P100" s="50">
        <v>3.2000000000000002E-3</v>
      </c>
      <c r="Q100" s="50">
        <v>3.0499999999999999E-2</v>
      </c>
      <c r="R100" s="56">
        <f t="shared" si="36"/>
        <v>3.7873215254358135E-3</v>
      </c>
      <c r="S100" s="56">
        <f t="shared" si="37"/>
        <v>3.1772929464097795E-3</v>
      </c>
      <c r="T100" s="56">
        <f t="shared" si="38"/>
        <v>1.3345195729537367E-3</v>
      </c>
      <c r="U100" s="57">
        <f t="shared" si="39"/>
        <v>2.0000000000000009E-4</v>
      </c>
      <c r="V100" s="58">
        <f t="shared" si="40"/>
        <v>3.3000000000000008E-3</v>
      </c>
    </row>
    <row r="101" spans="1:28" ht="15" customHeight="1">
      <c r="A101" s="138">
        <v>90</v>
      </c>
      <c r="B101" s="135" t="s">
        <v>150</v>
      </c>
      <c r="C101" s="136" t="s">
        <v>49</v>
      </c>
      <c r="D101" s="29">
        <v>7720599149.6000004</v>
      </c>
      <c r="E101" s="30">
        <f t="shared" si="49"/>
        <v>4.0122571426221186E-2</v>
      </c>
      <c r="F101" s="60">
        <v>359.58</v>
      </c>
      <c r="G101" s="60">
        <v>360.2</v>
      </c>
      <c r="H101" s="32">
        <v>10168</v>
      </c>
      <c r="I101" s="50">
        <v>-2.7000000000000001E-3</v>
      </c>
      <c r="J101" s="50">
        <v>1.6799999999999999E-2</v>
      </c>
      <c r="K101" s="29">
        <v>7694057175.8000002</v>
      </c>
      <c r="L101" s="30">
        <f t="shared" si="50"/>
        <v>3.9937660386450205E-2</v>
      </c>
      <c r="M101" s="60">
        <v>358.63</v>
      </c>
      <c r="N101" s="60">
        <v>359.23</v>
      </c>
      <c r="O101" s="32">
        <v>10178</v>
      </c>
      <c r="P101" s="50">
        <v>-2.7000000000000001E-3</v>
      </c>
      <c r="Q101" s="50">
        <v>1.41E-2</v>
      </c>
      <c r="R101" s="56">
        <f t="shared" si="36"/>
        <v>-3.4378126989503548E-3</v>
      </c>
      <c r="S101" s="56">
        <f t="shared" si="37"/>
        <v>-2.6929483620210175E-3</v>
      </c>
      <c r="T101" s="56">
        <f t="shared" si="38"/>
        <v>9.8347757671125098E-4</v>
      </c>
      <c r="U101" s="57">
        <f t="shared" si="39"/>
        <v>0</v>
      </c>
      <c r="V101" s="58">
        <f t="shared" si="40"/>
        <v>-2.6999999999999993E-3</v>
      </c>
    </row>
    <row r="102" spans="1:28">
      <c r="A102" s="138">
        <v>91</v>
      </c>
      <c r="B102" s="135" t="s">
        <v>151</v>
      </c>
      <c r="C102" s="136" t="s">
        <v>52</v>
      </c>
      <c r="D102" s="29">
        <v>88208483772.889999</v>
      </c>
      <c r="E102" s="30">
        <f t="shared" si="49"/>
        <v>0.4584036966560831</v>
      </c>
      <c r="F102" s="29">
        <v>1.9871000000000001</v>
      </c>
      <c r="G102" s="29">
        <v>1.9871000000000001</v>
      </c>
      <c r="H102" s="32">
        <v>6421</v>
      </c>
      <c r="I102" s="50">
        <v>7.6300000000000007E-2</v>
      </c>
      <c r="J102" s="50">
        <v>7.6700000000000004E-2</v>
      </c>
      <c r="K102" s="29">
        <v>88255393644.050003</v>
      </c>
      <c r="L102" s="30">
        <f t="shared" si="50"/>
        <v>0.45810862307012395</v>
      </c>
      <c r="M102" s="29">
        <v>1.9915</v>
      </c>
      <c r="N102" s="29">
        <v>1.9915</v>
      </c>
      <c r="O102" s="32">
        <v>6429</v>
      </c>
      <c r="P102" s="50">
        <v>0.1222</v>
      </c>
      <c r="Q102" s="50">
        <v>8.14E-2</v>
      </c>
      <c r="R102" s="56">
        <f t="shared" si="36"/>
        <v>5.3180679628030234E-4</v>
      </c>
      <c r="S102" s="56">
        <f t="shared" si="37"/>
        <v>2.2142821196718633E-3</v>
      </c>
      <c r="T102" s="56">
        <f t="shared" si="38"/>
        <v>1.2459118517364897E-3</v>
      </c>
      <c r="U102" s="57">
        <f t="shared" si="39"/>
        <v>4.5899999999999996E-2</v>
      </c>
      <c r="V102" s="58">
        <f t="shared" si="40"/>
        <v>4.6999999999999958E-3</v>
      </c>
    </row>
    <row r="103" spans="1:28">
      <c r="A103" s="138">
        <v>92</v>
      </c>
      <c r="B103" s="135" t="s">
        <v>152</v>
      </c>
      <c r="C103" s="136" t="s">
        <v>52</v>
      </c>
      <c r="D103" s="29">
        <v>10759163030.23</v>
      </c>
      <c r="E103" s="30">
        <f t="shared" si="49"/>
        <v>5.591344386648113E-2</v>
      </c>
      <c r="F103" s="29">
        <v>112.34139999999999</v>
      </c>
      <c r="G103" s="29">
        <v>112.34139999999999</v>
      </c>
      <c r="H103" s="32">
        <v>367</v>
      </c>
      <c r="I103" s="50">
        <v>0.21240000000000001</v>
      </c>
      <c r="J103" s="50">
        <v>0.2261</v>
      </c>
      <c r="K103" s="29">
        <v>10792627360.309999</v>
      </c>
      <c r="L103" s="30">
        <f t="shared" si="50"/>
        <v>5.6021456085521497E-2</v>
      </c>
      <c r="M103" s="29">
        <v>112.7501</v>
      </c>
      <c r="N103" s="29">
        <v>112.7501</v>
      </c>
      <c r="O103" s="32">
        <v>389</v>
      </c>
      <c r="P103" s="50">
        <v>0.20849999999999999</v>
      </c>
      <c r="Q103" s="50">
        <v>0.2243</v>
      </c>
      <c r="R103" s="56">
        <f t="shared" ref="R103:R105" si="51">((K103-D103)/D103)</f>
        <v>3.1103097876642692E-3</v>
      </c>
      <c r="S103" s="56">
        <f t="shared" ref="S103:S105" si="52">((N103-G103)/G103)</f>
        <v>3.6380176853769877E-3</v>
      </c>
      <c r="T103" s="56">
        <f t="shared" ref="T103:T105" si="53">((O103-H103)/H103)</f>
        <v>5.9945504087193457E-2</v>
      </c>
      <c r="U103" s="57">
        <f t="shared" ref="U103:U105" si="54">P103-I103</f>
        <v>-3.9000000000000146E-3</v>
      </c>
      <c r="V103" s="58">
        <f t="shared" ref="V103:V105" si="55">Q103-J103</f>
        <v>-1.799999999999996E-3</v>
      </c>
    </row>
    <row r="104" spans="1:28">
      <c r="A104" s="138">
        <v>93</v>
      </c>
      <c r="B104" s="135" t="s">
        <v>153</v>
      </c>
      <c r="C104" s="135" t="s">
        <v>154</v>
      </c>
      <c r="D104" s="29">
        <f t="array" ref="D104">[1]!'!Sheet1!R5C3'</f>
        <v>103022452.33</v>
      </c>
      <c r="E104" s="30">
        <f t="shared" si="49"/>
        <v>5.3538923884282317E-4</v>
      </c>
      <c r="F104" s="29">
        <f t="array" ref="F104:G104">[1]!'!Sheet1!R5C4:R5C5'</f>
        <v>112.39004698440147</v>
      </c>
      <c r="G104" s="29">
        <v>112.39004698440147</v>
      </c>
      <c r="H104" s="62">
        <v>56</v>
      </c>
      <c r="I104" s="63">
        <f t="array" ref="I104:J104">[1]!'!Sheet1!R5C7:R5C8'</f>
        <v>6.6247435746258536E-3</v>
      </c>
      <c r="J104" s="63">
        <v>1.7994436624247712E-2</v>
      </c>
      <c r="K104" s="29">
        <v>104308771.73999999</v>
      </c>
      <c r="L104" s="64">
        <f t="shared" si="50"/>
        <v>5.414371385467024E-4</v>
      </c>
      <c r="M104" s="29">
        <v>112.67896285781758</v>
      </c>
      <c r="N104" s="29">
        <v>112.67896285781758</v>
      </c>
      <c r="O104" s="62">
        <v>63</v>
      </c>
      <c r="P104" s="63">
        <v>2.5706535513435112E-3</v>
      </c>
      <c r="Q104" s="63">
        <v>2.0611347638003652E-2</v>
      </c>
      <c r="R104" s="56">
        <f t="shared" si="51"/>
        <v>1.2485816255661213E-2</v>
      </c>
      <c r="S104" s="56">
        <f t="shared" si="52"/>
        <v>2.5706535513435112E-3</v>
      </c>
      <c r="T104" s="56">
        <f t="shared" si="53"/>
        <v>0.125</v>
      </c>
      <c r="U104" s="57">
        <f t="shared" si="54"/>
        <v>-4.0540900232823428E-3</v>
      </c>
      <c r="V104" s="58">
        <f t="shared" si="55"/>
        <v>2.6169110137559404E-3</v>
      </c>
    </row>
    <row r="105" spans="1:28">
      <c r="A105" s="138">
        <v>94</v>
      </c>
      <c r="B105" s="135" t="s">
        <v>155</v>
      </c>
      <c r="C105" s="136" t="s">
        <v>110</v>
      </c>
      <c r="D105" s="29">
        <v>283440664.44</v>
      </c>
      <c r="E105" s="30">
        <f t="shared" si="49"/>
        <v>1.4729903837422628E-3</v>
      </c>
      <c r="F105" s="29">
        <v>1.1772</v>
      </c>
      <c r="G105" s="29">
        <v>1.1772</v>
      </c>
      <c r="H105" s="32">
        <v>425</v>
      </c>
      <c r="I105" s="50">
        <v>1.4664999999999999E-2</v>
      </c>
      <c r="J105" s="50">
        <v>9.3001E-2</v>
      </c>
      <c r="K105" s="29">
        <v>283918440.01999998</v>
      </c>
      <c r="L105" s="30">
        <f t="shared" si="50"/>
        <v>1.4737397936986996E-3</v>
      </c>
      <c r="M105" s="29">
        <v>1.179</v>
      </c>
      <c r="N105" s="29">
        <v>1.179</v>
      </c>
      <c r="O105" s="32">
        <v>438</v>
      </c>
      <c r="P105" s="50">
        <v>5.44E-4</v>
      </c>
      <c r="Q105" s="50">
        <v>9.4612000000000002E-2</v>
      </c>
      <c r="R105" s="56">
        <f t="shared" si="51"/>
        <v>1.6856282105601717E-3</v>
      </c>
      <c r="S105" s="56">
        <f t="shared" si="52"/>
        <v>1.5290519877676043E-3</v>
      </c>
      <c r="T105" s="56">
        <f t="shared" si="53"/>
        <v>3.0588235294117649E-2</v>
      </c>
      <c r="U105" s="57">
        <f t="shared" si="54"/>
        <v>-1.4121E-2</v>
      </c>
      <c r="V105" s="58">
        <f t="shared" si="55"/>
        <v>1.6110000000000013E-3</v>
      </c>
    </row>
    <row r="106" spans="1:28">
      <c r="A106" s="138">
        <v>95</v>
      </c>
      <c r="B106" s="135" t="s">
        <v>156</v>
      </c>
      <c r="C106" s="136" t="s">
        <v>112</v>
      </c>
      <c r="D106" s="29">
        <v>2119575477.0699999</v>
      </c>
      <c r="E106" s="30">
        <f t="shared" si="49"/>
        <v>1.1015054249567398E-2</v>
      </c>
      <c r="F106" s="60">
        <v>28.5322</v>
      </c>
      <c r="G106" s="60">
        <v>28.5322</v>
      </c>
      <c r="H106" s="32">
        <v>1298</v>
      </c>
      <c r="I106" s="50">
        <v>0.12570000000000001</v>
      </c>
      <c r="J106" s="50">
        <v>0.12570000000000001</v>
      </c>
      <c r="K106" s="29">
        <v>2124915354.8900001</v>
      </c>
      <c r="L106" s="30">
        <f t="shared" si="50"/>
        <v>1.1029830667293718E-2</v>
      </c>
      <c r="M106" s="60">
        <v>28.706900000000001</v>
      </c>
      <c r="N106" s="60">
        <v>28.706900000000001</v>
      </c>
      <c r="O106" s="32">
        <v>1298</v>
      </c>
      <c r="P106" s="50">
        <v>0</v>
      </c>
      <c r="Q106" s="50">
        <v>0.1217</v>
      </c>
      <c r="R106" s="56">
        <f t="shared" si="36"/>
        <v>2.5193147768352952E-3</v>
      </c>
      <c r="S106" s="56">
        <f t="shared" si="37"/>
        <v>6.1229067509691298E-3</v>
      </c>
      <c r="T106" s="56">
        <f t="shared" si="38"/>
        <v>0</v>
      </c>
      <c r="U106" s="57">
        <f t="shared" si="39"/>
        <v>-0.12570000000000001</v>
      </c>
      <c r="V106" s="58">
        <f t="shared" si="40"/>
        <v>-4.0000000000000036E-3</v>
      </c>
    </row>
    <row r="107" spans="1:28">
      <c r="A107" s="36"/>
      <c r="B107" s="37"/>
      <c r="C107" s="38" t="s">
        <v>53</v>
      </c>
      <c r="D107" s="48">
        <f>SUM(D70:D106)</f>
        <v>192425332553.69519</v>
      </c>
      <c r="E107" s="40">
        <f>(D107/$D$216)</f>
        <v>4.3944337991234726E-2</v>
      </c>
      <c r="F107" s="41"/>
      <c r="G107" s="45"/>
      <c r="H107" s="43">
        <f>SUM(H70:H106)</f>
        <v>50170</v>
      </c>
      <c r="I107" s="53"/>
      <c r="J107" s="53"/>
      <c r="K107" s="48">
        <f>SUM(K70:K106)</f>
        <v>192651675169.49469</v>
      </c>
      <c r="L107" s="40">
        <f>(K107/$K$216)</f>
        <v>4.3072845633537714E-2</v>
      </c>
      <c r="M107" s="41"/>
      <c r="N107" s="45"/>
      <c r="O107" s="43">
        <f>SUM(O70:O106)</f>
        <v>50264</v>
      </c>
      <c r="P107" s="53"/>
      <c r="Q107" s="53"/>
      <c r="R107" s="56">
        <f t="shared" si="36"/>
        <v>1.1762620482224705E-3</v>
      </c>
      <c r="S107" s="56" t="e">
        <f t="shared" si="37"/>
        <v>#DIV/0!</v>
      </c>
      <c r="T107" s="56">
        <f t="shared" si="38"/>
        <v>1.8736296591588598E-3</v>
      </c>
      <c r="U107" s="57">
        <f t="shared" si="39"/>
        <v>0</v>
      </c>
      <c r="V107" s="58">
        <f t="shared" si="40"/>
        <v>0</v>
      </c>
    </row>
    <row r="108" spans="1:28" ht="3.75" customHeight="1">
      <c r="A108" s="36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</row>
    <row r="109" spans="1:28" ht="15" customHeight="1">
      <c r="A109" s="181" t="s">
        <v>157</v>
      </c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</row>
    <row r="110" spans="1:28">
      <c r="A110" s="180" t="s">
        <v>158</v>
      </c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Z110" s="65"/>
      <c r="AB110" s="68"/>
    </row>
    <row r="111" spans="1:28" ht="16.5" customHeight="1">
      <c r="A111" s="138">
        <v>96</v>
      </c>
      <c r="B111" s="135" t="s">
        <v>159</v>
      </c>
      <c r="C111" s="136" t="s">
        <v>19</v>
      </c>
      <c r="D111" s="29">
        <f>1910568.6*1492.491</f>
        <v>2851506440.3826003</v>
      </c>
      <c r="E111" s="30">
        <f t="shared" ref="E111:E116" si="56">(D111/$D$145)</f>
        <v>1.5900651356918628E-3</v>
      </c>
      <c r="F111" s="29">
        <f>111.439*1492.491</f>
        <v>166321.70454899999</v>
      </c>
      <c r="G111" s="29">
        <f>111.439*1492.491</f>
        <v>166321.70454899999</v>
      </c>
      <c r="H111" s="32">
        <v>298</v>
      </c>
      <c r="I111" s="50">
        <v>3.8999999999999998E-3</v>
      </c>
      <c r="J111" s="50">
        <v>1.23E-2</v>
      </c>
      <c r="K111" s="29">
        <f>1914592.08*1517.2448</f>
        <v>2904904877.501184</v>
      </c>
      <c r="L111" s="30">
        <f t="shared" ref="L111:L127" si="57">(K111/$K$145)</f>
        <v>1.6051494587554316E-3</v>
      </c>
      <c r="M111" s="29">
        <f>111.5695*1517.2448</f>
        <v>169278.24371360001</v>
      </c>
      <c r="N111" s="29">
        <f>111.5695*1517.2448</f>
        <v>169278.24371360001</v>
      </c>
      <c r="O111" s="32">
        <v>298</v>
      </c>
      <c r="P111" s="50">
        <v>1.1999999999999999E-3</v>
      </c>
      <c r="Q111" s="50">
        <v>1.35E-2</v>
      </c>
      <c r="R111" s="57">
        <f>((K111-D111)/D111)</f>
        <v>1.8726395410637389E-2</v>
      </c>
      <c r="S111" s="57">
        <f>((N111-G111)/G111)</f>
        <v>1.7776027323775988E-2</v>
      </c>
      <c r="T111" s="57">
        <f>((O111-H111)/H111)</f>
        <v>0</v>
      </c>
      <c r="U111" s="57">
        <f>P111-I111</f>
        <v>-2.7000000000000001E-3</v>
      </c>
      <c r="V111" s="58">
        <f>Q111-J111</f>
        <v>1.1999999999999997E-3</v>
      </c>
      <c r="X111" s="65"/>
      <c r="Y111" s="69"/>
      <c r="Z111" s="65"/>
      <c r="AA111" s="70"/>
    </row>
    <row r="112" spans="1:28" ht="16.5" customHeight="1">
      <c r="A112" s="138">
        <v>97</v>
      </c>
      <c r="B112" s="135" t="s">
        <v>160</v>
      </c>
      <c r="C112" s="136" t="s">
        <v>57</v>
      </c>
      <c r="D112" s="29">
        <f>1774106.88*1492.491</f>
        <v>2647838551.4380798</v>
      </c>
      <c r="E112" s="30">
        <f t="shared" si="56"/>
        <v>1.4764952678899188E-3</v>
      </c>
      <c r="F112" s="29">
        <f>100*1492.491</f>
        <v>149249.1</v>
      </c>
      <c r="G112" s="29">
        <f>100*1492.491</f>
        <v>149249.1</v>
      </c>
      <c r="H112" s="32">
        <v>48</v>
      </c>
      <c r="I112" s="50">
        <v>-5.5999999999999995E-4</v>
      </c>
      <c r="J112" s="50">
        <v>7.0222000000000007E-2</v>
      </c>
      <c r="K112" s="29">
        <f>1784484.62*1517.2448</f>
        <v>2707500010.3749762</v>
      </c>
      <c r="L112" s="30">
        <f t="shared" si="57"/>
        <v>1.4960703911145357E-3</v>
      </c>
      <c r="M112" s="29">
        <f>100*1517.2448</f>
        <v>151724.47999999998</v>
      </c>
      <c r="N112" s="29">
        <f>100*1517.2448</f>
        <v>151724.47999999998</v>
      </c>
      <c r="O112" s="32">
        <v>49</v>
      </c>
      <c r="P112" s="50">
        <v>9.1549999999999999E-3</v>
      </c>
      <c r="Q112" s="50">
        <v>7.9377000000000003E-2</v>
      </c>
      <c r="R112" s="57">
        <f>((K112-D112)/D112)</f>
        <v>2.2532136222766796E-2</v>
      </c>
      <c r="S112" s="57">
        <f>((N112-G112)/G112)</f>
        <v>1.6585560649946804E-2</v>
      </c>
      <c r="T112" s="57">
        <f>((O112-H112)/H112)</f>
        <v>2.0833333333333332E-2</v>
      </c>
      <c r="U112" s="57">
        <f>P112-I112</f>
        <v>9.7149999999999997E-3</v>
      </c>
      <c r="V112" s="58">
        <f>Q112-J112</f>
        <v>9.1549999999999965E-3</v>
      </c>
      <c r="X112" s="65"/>
      <c r="Y112" s="69"/>
      <c r="Z112" s="65"/>
      <c r="AA112" s="70"/>
    </row>
    <row r="113" spans="1:24">
      <c r="A113" s="138">
        <v>98</v>
      </c>
      <c r="B113" s="135" t="s">
        <v>161</v>
      </c>
      <c r="C113" s="136" t="s">
        <v>23</v>
      </c>
      <c r="D113" s="29">
        <f>10125580.85*1500.1685</f>
        <v>15190077435.373224</v>
      </c>
      <c r="E113" s="30">
        <f t="shared" si="56"/>
        <v>8.4703342052441163E-3</v>
      </c>
      <c r="F113" s="29">
        <f>1.149*1500.1685</f>
        <v>1723.6936065</v>
      </c>
      <c r="G113" s="29">
        <f>1.149*1500.1685</f>
        <v>1723.6936065</v>
      </c>
      <c r="H113" s="32">
        <v>305</v>
      </c>
      <c r="I113" s="50">
        <v>0.05</v>
      </c>
      <c r="J113" s="50">
        <v>7.1300000000000002E-2</v>
      </c>
      <c r="K113" s="29">
        <f>10182289.09*1511.3382</f>
        <v>15388882465.160236</v>
      </c>
      <c r="L113" s="30">
        <f t="shared" si="57"/>
        <v>8.5033615217897391E-3</v>
      </c>
      <c r="M113" s="29">
        <f>1.1506*1511.3382</f>
        <v>1738.94573292</v>
      </c>
      <c r="N113" s="29">
        <f>1.1506*1511.3382</f>
        <v>1738.94573292</v>
      </c>
      <c r="O113" s="32">
        <v>307</v>
      </c>
      <c r="P113" s="50">
        <v>7.2599999999999998E-2</v>
      </c>
      <c r="Q113" s="50">
        <v>7.1599999999999997E-2</v>
      </c>
      <c r="R113" s="57">
        <f t="shared" ref="R113:R125" si="58">((K113-D113)/D113)</f>
        <v>1.3087822009653067E-2</v>
      </c>
      <c r="S113" s="57">
        <f t="shared" ref="S113:S125" si="59">((N113-G113)/G113)</f>
        <v>8.848513658393016E-3</v>
      </c>
      <c r="T113" s="57">
        <f t="shared" ref="T113:T125" si="60">((O113-H113)/H113)</f>
        <v>6.5573770491803279E-3</v>
      </c>
      <c r="U113" s="57">
        <f t="shared" ref="U113:U125" si="61">P113-I113</f>
        <v>2.2599999999999995E-2</v>
      </c>
      <c r="V113" s="58">
        <f t="shared" ref="V113:V125" si="62">Q113-J113</f>
        <v>2.9999999999999472E-4</v>
      </c>
    </row>
    <row r="114" spans="1:24">
      <c r="A114" s="138">
        <v>99</v>
      </c>
      <c r="B114" s="135" t="s">
        <v>294</v>
      </c>
      <c r="C114" s="136" t="s">
        <v>23</v>
      </c>
      <c r="D114" s="29">
        <f>1615503.93*1500.1685</f>
        <v>2423528107.4122047</v>
      </c>
      <c r="E114" s="30">
        <f t="shared" si="56"/>
        <v>1.3514146397819039E-3</v>
      </c>
      <c r="F114" s="29">
        <f>1.0059*1500.1685</f>
        <v>1509.0194941500001</v>
      </c>
      <c r="G114" s="29">
        <f>1.0059*1500.1685</f>
        <v>1509.0194941500001</v>
      </c>
      <c r="H114" s="32">
        <v>42</v>
      </c>
      <c r="I114" s="50">
        <v>4.1500000000000002E-2</v>
      </c>
      <c r="J114" s="50">
        <v>3.6499999999999998E-2</v>
      </c>
      <c r="K114" s="29">
        <f>1713876.42*1511.3382</f>
        <v>2590246903.6252437</v>
      </c>
      <c r="L114" s="30">
        <f t="shared" si="57"/>
        <v>1.4312804001257002E-3</v>
      </c>
      <c r="M114" s="29">
        <f>1.0069*1511.3382</f>
        <v>1521.7664335799998</v>
      </c>
      <c r="N114" s="29">
        <f>1.0069*1511.3382</f>
        <v>1521.7664335799998</v>
      </c>
      <c r="O114" s="32">
        <v>43</v>
      </c>
      <c r="P114" s="50">
        <v>5.1799999999999999E-2</v>
      </c>
      <c r="Q114" s="50">
        <v>3.8199999999999998E-2</v>
      </c>
      <c r="R114" s="57">
        <f t="shared" si="58"/>
        <v>6.879177332548371E-2</v>
      </c>
      <c r="S114" s="57">
        <f t="shared" ref="S114" si="63">((N114-G114)/G114)</f>
        <v>8.4471668387423628E-3</v>
      </c>
      <c r="T114" s="57">
        <f t="shared" ref="T114" si="64">((O114-H114)/H114)</f>
        <v>2.3809523809523808E-2</v>
      </c>
      <c r="U114" s="57">
        <f t="shared" ref="U114" si="65">P114-I114</f>
        <v>1.0299999999999997E-2</v>
      </c>
      <c r="V114" s="58">
        <f t="shared" ref="V114" si="66">Q114-J114</f>
        <v>1.7000000000000001E-3</v>
      </c>
    </row>
    <row r="115" spans="1:24">
      <c r="A115" s="138">
        <v>100</v>
      </c>
      <c r="B115" s="135" t="s">
        <v>162</v>
      </c>
      <c r="C115" s="136" t="s">
        <v>27</v>
      </c>
      <c r="D115" s="29">
        <f>4723940.81*1492.491</f>
        <v>7050439143.4577093</v>
      </c>
      <c r="E115" s="30">
        <f t="shared" si="56"/>
        <v>3.9314859382976238E-3</v>
      </c>
      <c r="F115" s="29">
        <f>1.0899*1492.491</f>
        <v>1626.6659409000001</v>
      </c>
      <c r="G115" s="29">
        <f>1.0899*1492.491</f>
        <v>1626.6659409000001</v>
      </c>
      <c r="H115" s="32">
        <v>336</v>
      </c>
      <c r="I115" s="50">
        <v>2.0999999999999999E-3</v>
      </c>
      <c r="J115" s="50">
        <v>1.38E-2</v>
      </c>
      <c r="K115" s="29">
        <f>5015714*1517.2448</f>
        <v>7610065984.7872</v>
      </c>
      <c r="L115" s="30">
        <f t="shared" si="57"/>
        <v>4.205057931907898E-3</v>
      </c>
      <c r="M115" s="29">
        <f>1.0917*1517.2448</f>
        <v>1656.3761481599997</v>
      </c>
      <c r="N115" s="29">
        <f>1.0917*1517.2448</f>
        <v>1656.3761481599997</v>
      </c>
      <c r="O115" s="32">
        <v>342</v>
      </c>
      <c r="P115" s="50">
        <v>1.6999999999999999E-3</v>
      </c>
      <c r="Q115" s="50">
        <v>1.54E-2</v>
      </c>
      <c r="R115" s="57">
        <f t="shared" si="58"/>
        <v>7.9374749564186137E-2</v>
      </c>
      <c r="S115" s="57">
        <f t="shared" ref="S115:T118" si="67">((N115-G115)/G115)</f>
        <v>1.8264479825256297E-2</v>
      </c>
      <c r="T115" s="57">
        <f t="shared" si="67"/>
        <v>1.7857142857142856E-2</v>
      </c>
      <c r="U115" s="57">
        <f t="shared" si="61"/>
        <v>-3.9999999999999996E-4</v>
      </c>
      <c r="V115" s="58">
        <f t="shared" si="62"/>
        <v>1.6000000000000007E-3</v>
      </c>
    </row>
    <row r="116" spans="1:24">
      <c r="A116" s="138">
        <v>101</v>
      </c>
      <c r="B116" s="135" t="s">
        <v>163</v>
      </c>
      <c r="C116" s="136" t="s">
        <v>63</v>
      </c>
      <c r="D116" s="29">
        <f>456265.8*1492.491</f>
        <v>680972600.10780001</v>
      </c>
      <c r="E116" s="30">
        <f t="shared" si="56"/>
        <v>3.7972587908571105E-4</v>
      </c>
      <c r="F116" s="29">
        <f>1.09*1492.491</f>
        <v>1626.81519</v>
      </c>
      <c r="G116" s="29">
        <f>1.1*1492.491</f>
        <v>1641.7401000000002</v>
      </c>
      <c r="H116" s="32">
        <v>21</v>
      </c>
      <c r="I116" s="50">
        <v>0.22647</v>
      </c>
      <c r="J116" s="50">
        <v>0.312</v>
      </c>
      <c r="K116" s="29">
        <f>455811.33*1517.2448</f>
        <v>691577370.22358406</v>
      </c>
      <c r="L116" s="30">
        <f t="shared" si="57"/>
        <v>3.8214161506616777E-4</v>
      </c>
      <c r="M116" s="29">
        <f>1.09*1517.2448</f>
        <v>1653.796832</v>
      </c>
      <c r="N116" s="29">
        <f>1.1*1517.2448</f>
        <v>1668.96928</v>
      </c>
      <c r="O116" s="32">
        <v>21</v>
      </c>
      <c r="P116" s="50">
        <v>0.17180000000000001</v>
      </c>
      <c r="Q116" s="50">
        <v>0.26200000000000001</v>
      </c>
      <c r="R116" s="57">
        <f t="shared" si="58"/>
        <v>1.5572976231503707E-2</v>
      </c>
      <c r="S116" s="57">
        <f t="shared" si="67"/>
        <v>1.6585560649946852E-2</v>
      </c>
      <c r="T116" s="57">
        <f t="shared" si="67"/>
        <v>0</v>
      </c>
      <c r="U116" s="57">
        <f t="shared" si="61"/>
        <v>-5.4669999999999996E-2</v>
      </c>
      <c r="V116" s="58">
        <f t="shared" si="62"/>
        <v>-4.9999999999999989E-2</v>
      </c>
    </row>
    <row r="117" spans="1:24">
      <c r="A117" s="138">
        <v>102</v>
      </c>
      <c r="B117" s="135" t="s">
        <v>164</v>
      </c>
      <c r="C117" s="136" t="s">
        <v>29</v>
      </c>
      <c r="D117" s="29">
        <f>254422.91*1492.491</f>
        <v>379723903.36881</v>
      </c>
      <c r="E117" s="30">
        <v>0</v>
      </c>
      <c r="F117" s="29">
        <f>1.2307*1492.491</f>
        <v>1836.8086736999999</v>
      </c>
      <c r="G117" s="29">
        <f>1.2307*1492.491</f>
        <v>1836.8086736999999</v>
      </c>
      <c r="H117" s="32">
        <v>39</v>
      </c>
      <c r="I117" s="50">
        <v>1.6000000000000001E-3</v>
      </c>
      <c r="J117" s="50">
        <v>2.46E-2</v>
      </c>
      <c r="K117" s="29">
        <f>240443.98*1517.2448</f>
        <v>364812378.346304</v>
      </c>
      <c r="L117" s="30">
        <f t="shared" si="57"/>
        <v>2.0158263913741973E-4</v>
      </c>
      <c r="M117" s="29">
        <f>1.1351*1517.2448</f>
        <v>1722.22457248</v>
      </c>
      <c r="N117" s="29">
        <f>1.1351*1517.2448</f>
        <v>1722.22457248</v>
      </c>
      <c r="O117" s="32">
        <v>39</v>
      </c>
      <c r="P117" s="50">
        <v>1.76E-4</v>
      </c>
      <c r="Q117" s="50">
        <v>2.47E-2</v>
      </c>
      <c r="R117" s="57">
        <f t="shared" si="58"/>
        <v>-3.9269387284326572E-2</v>
      </c>
      <c r="S117" s="57">
        <f t="shared" si="67"/>
        <v>-6.2382164708088987E-2</v>
      </c>
      <c r="T117" s="57">
        <f t="shared" si="67"/>
        <v>0</v>
      </c>
      <c r="U117" s="57">
        <f t="shared" si="61"/>
        <v>-1.4240000000000001E-3</v>
      </c>
      <c r="V117" s="58">
        <f t="shared" si="62"/>
        <v>9.9999999999999395E-5</v>
      </c>
    </row>
    <row r="118" spans="1:24">
      <c r="A118" s="138">
        <v>103</v>
      </c>
      <c r="B118" s="135" t="s">
        <v>165</v>
      </c>
      <c r="C118" s="136" t="s">
        <v>72</v>
      </c>
      <c r="D118" s="29">
        <f>450005.75*1492.491</f>
        <v>671629531.82324994</v>
      </c>
      <c r="E118" s="30">
        <f t="shared" ref="E118:E127" si="68">(D118/$D$145)</f>
        <v>3.7451597076172422E-4</v>
      </c>
      <c r="F118" s="29">
        <f>107.34*1492.491</f>
        <v>160203.98394000001</v>
      </c>
      <c r="G118" s="29">
        <f>107.95*1492.491</f>
        <v>161114.40345000001</v>
      </c>
      <c r="H118" s="32">
        <v>45</v>
      </c>
      <c r="I118" s="50">
        <v>1.8E-3</v>
      </c>
      <c r="J118" s="50">
        <v>2.3099999999999999E-2</v>
      </c>
      <c r="K118" s="29">
        <f>450468.73*1517.2448</f>
        <v>683471338.15510392</v>
      </c>
      <c r="L118" s="30">
        <f t="shared" si="57"/>
        <v>3.7766250351654364E-4</v>
      </c>
      <c r="M118" s="29">
        <f>107.4*1517.2448</f>
        <v>162952.09152000002</v>
      </c>
      <c r="N118" s="29">
        <f>108.05*1517.2448</f>
        <v>163938.30064</v>
      </c>
      <c r="O118" s="32">
        <v>45</v>
      </c>
      <c r="P118" s="50">
        <v>8.0000000000000004E-4</v>
      </c>
      <c r="Q118" s="50">
        <v>2.3800000000000002E-2</v>
      </c>
      <c r="R118" s="57">
        <f t="shared" si="58"/>
        <v>1.7631455692109659E-2</v>
      </c>
      <c r="S118" s="57">
        <f t="shared" si="67"/>
        <v>1.7527279557450322E-2</v>
      </c>
      <c r="T118" s="57">
        <f t="shared" si="67"/>
        <v>0</v>
      </c>
      <c r="U118" s="57">
        <f t="shared" si="61"/>
        <v>-1E-3</v>
      </c>
      <c r="V118" s="58">
        <f t="shared" si="62"/>
        <v>7.000000000000027E-4</v>
      </c>
    </row>
    <row r="119" spans="1:24">
      <c r="A119" s="138">
        <v>104</v>
      </c>
      <c r="B119" s="135" t="s">
        <v>166</v>
      </c>
      <c r="C119" s="136" t="s">
        <v>75</v>
      </c>
      <c r="D119" s="29">
        <v>4955116067.0949001</v>
      </c>
      <c r="E119" s="30">
        <f t="shared" si="68"/>
        <v>2.7630859218880197E-3</v>
      </c>
      <c r="F119" s="29">
        <v>167816.91884100001</v>
      </c>
      <c r="G119" s="29">
        <v>167816.91884100001</v>
      </c>
      <c r="H119" s="32">
        <v>58</v>
      </c>
      <c r="I119" s="50" t="s">
        <v>306</v>
      </c>
      <c r="J119" s="50">
        <v>7.1199999999999999E-2</v>
      </c>
      <c r="K119" s="29">
        <v>4980404585.4588003</v>
      </c>
      <c r="L119" s="30">
        <f t="shared" si="57"/>
        <v>2.7519984515324307E-3</v>
      </c>
      <c r="M119" s="29">
        <v>170889.16878400001</v>
      </c>
      <c r="N119" s="29">
        <v>170889.16878400001</v>
      </c>
      <c r="O119" s="32">
        <v>59</v>
      </c>
      <c r="P119" s="50" t="s">
        <v>313</v>
      </c>
      <c r="Q119" s="50">
        <v>7.3499999999999996E-2</v>
      </c>
      <c r="R119" s="57">
        <f t="shared" si="58"/>
        <v>5.1035168543945757E-3</v>
      </c>
      <c r="S119" s="57">
        <f t="shared" si="59"/>
        <v>1.8307152605458329E-2</v>
      </c>
      <c r="T119" s="57">
        <f t="shared" si="60"/>
        <v>1.7241379310344827E-2</v>
      </c>
      <c r="U119" s="57">
        <f t="shared" si="61"/>
        <v>1.0000000000000005E-4</v>
      </c>
      <c r="V119" s="58">
        <f t="shared" si="62"/>
        <v>2.2999999999999965E-3</v>
      </c>
      <c r="X119" s="66"/>
    </row>
    <row r="120" spans="1:24">
      <c r="A120" s="138">
        <v>105</v>
      </c>
      <c r="B120" s="135" t="s">
        <v>167</v>
      </c>
      <c r="C120" s="136" t="s">
        <v>31</v>
      </c>
      <c r="D120" s="29">
        <v>49504578436.279999</v>
      </c>
      <c r="E120" s="30">
        <f t="shared" si="68"/>
        <v>2.7604883900627063E-2</v>
      </c>
      <c r="F120" s="29">
        <v>192033.41</v>
      </c>
      <c r="G120" s="29">
        <v>192033.41</v>
      </c>
      <c r="H120" s="32">
        <v>2331</v>
      </c>
      <c r="I120" s="50">
        <v>1.4E-3</v>
      </c>
      <c r="J120" s="50">
        <v>1.2E-2</v>
      </c>
      <c r="K120" s="29">
        <v>51988819073.489998</v>
      </c>
      <c r="L120" s="30">
        <f t="shared" si="57"/>
        <v>2.8727214251824503E-2</v>
      </c>
      <c r="M120" s="29">
        <v>197684.4</v>
      </c>
      <c r="N120" s="29">
        <v>197684.4</v>
      </c>
      <c r="O120" s="32">
        <v>2340</v>
      </c>
      <c r="P120" s="50">
        <v>1.9E-3</v>
      </c>
      <c r="Q120" s="50">
        <v>1.43E-2</v>
      </c>
      <c r="R120" s="57">
        <f t="shared" si="58"/>
        <v>5.0182038019121779E-2</v>
      </c>
      <c r="S120" s="57">
        <f t="shared" si="59"/>
        <v>2.9427118958102086E-2</v>
      </c>
      <c r="T120" s="57">
        <f t="shared" si="60"/>
        <v>3.8610038610038611E-3</v>
      </c>
      <c r="U120" s="57">
        <f t="shared" si="61"/>
        <v>5.0000000000000001E-4</v>
      </c>
      <c r="V120" s="58">
        <f t="shared" si="62"/>
        <v>2.3E-3</v>
      </c>
    </row>
    <row r="121" spans="1:24">
      <c r="A121" s="138">
        <v>106</v>
      </c>
      <c r="B121" s="172" t="s">
        <v>168</v>
      </c>
      <c r="C121" s="172" t="s">
        <v>31</v>
      </c>
      <c r="D121" s="29">
        <v>121085025763.71001</v>
      </c>
      <c r="E121" s="30">
        <f t="shared" si="68"/>
        <v>6.751977663266058E-2</v>
      </c>
      <c r="F121" s="29">
        <v>180627.86</v>
      </c>
      <c r="G121" s="29">
        <v>180627.86</v>
      </c>
      <c r="H121" s="32">
        <v>446</v>
      </c>
      <c r="I121" s="50">
        <v>1.6000000000000001E-3</v>
      </c>
      <c r="J121" s="50">
        <v>1.37E-2</v>
      </c>
      <c r="K121" s="29">
        <v>125435220468.98</v>
      </c>
      <c r="L121" s="30">
        <f t="shared" si="57"/>
        <v>6.931114261402159E-2</v>
      </c>
      <c r="M121" s="29">
        <v>185949.78</v>
      </c>
      <c r="N121" s="29">
        <v>185949.78</v>
      </c>
      <c r="O121" s="32">
        <v>742</v>
      </c>
      <c r="P121" s="50">
        <v>1.9E-3</v>
      </c>
      <c r="Q121" s="50">
        <v>1.5699999999999999E-2</v>
      </c>
      <c r="R121" s="57">
        <f t="shared" si="58"/>
        <v>3.5926776889481996E-2</v>
      </c>
      <c r="S121" s="57">
        <f t="shared" si="59"/>
        <v>2.9463450433393903E-2</v>
      </c>
      <c r="T121" s="57">
        <f t="shared" si="60"/>
        <v>0.66367713004484308</v>
      </c>
      <c r="U121" s="57">
        <f t="shared" si="61"/>
        <v>2.9999999999999992E-4</v>
      </c>
      <c r="V121" s="58">
        <f t="shared" si="62"/>
        <v>1.9999999999999983E-3</v>
      </c>
    </row>
    <row r="122" spans="1:24">
      <c r="A122" s="138">
        <v>107</v>
      </c>
      <c r="B122" s="135" t="s">
        <v>312</v>
      </c>
      <c r="C122" s="136" t="s">
        <v>311</v>
      </c>
      <c r="D122" s="29">
        <v>0</v>
      </c>
      <c r="E122" s="30">
        <f t="shared" si="68"/>
        <v>0</v>
      </c>
      <c r="F122" s="29">
        <v>0</v>
      </c>
      <c r="G122" s="29">
        <v>0</v>
      </c>
      <c r="H122" s="32">
        <v>0</v>
      </c>
      <c r="I122" s="50">
        <v>0</v>
      </c>
      <c r="J122" s="50">
        <v>0</v>
      </c>
      <c r="K122" s="29">
        <f>91574.17*1517.2448</f>
        <v>138940433.24681598</v>
      </c>
      <c r="L122" s="30">
        <f t="shared" si="57"/>
        <v>7.6773653744288892E-5</v>
      </c>
      <c r="M122" s="29">
        <v>1517.2447999999999</v>
      </c>
      <c r="N122" s="29">
        <v>1517.2447999999999</v>
      </c>
      <c r="O122" s="32">
        <v>4</v>
      </c>
      <c r="P122" s="50">
        <v>8.3299999999999999E-2</v>
      </c>
      <c r="Q122" s="50">
        <v>8.6199999999999999E-2</v>
      </c>
      <c r="R122" s="57" t="e">
        <f t="shared" ref="R122" si="69">((K122-D122)/D122)</f>
        <v>#DIV/0!</v>
      </c>
      <c r="S122" s="57" t="e">
        <f t="shared" ref="S122" si="70">((N122-G122)/G122)</f>
        <v>#DIV/0!</v>
      </c>
      <c r="T122" s="57" t="e">
        <f t="shared" si="60"/>
        <v>#DIV/0!</v>
      </c>
      <c r="U122" s="57">
        <f t="shared" si="61"/>
        <v>8.3299999999999999E-2</v>
      </c>
      <c r="V122" s="58">
        <f t="shared" si="62"/>
        <v>8.6199999999999999E-2</v>
      </c>
    </row>
    <row r="123" spans="1:24">
      <c r="A123" s="138">
        <v>108</v>
      </c>
      <c r="B123" s="135" t="s">
        <v>169</v>
      </c>
      <c r="C123" s="136" t="s">
        <v>35</v>
      </c>
      <c r="D123" s="29">
        <f>137848.38*1492.491</f>
        <v>205737466.51458001</v>
      </c>
      <c r="E123" s="30">
        <f t="shared" si="68"/>
        <v>1.1472391153586605E-4</v>
      </c>
      <c r="F123" s="29">
        <f>113.91*1492.491</f>
        <v>170009.64981</v>
      </c>
      <c r="G123" s="29">
        <f>113.91*1492.491</f>
        <v>170009.64981</v>
      </c>
      <c r="H123" s="32">
        <v>8</v>
      </c>
      <c r="I123" s="50">
        <v>2.3E-3</v>
      </c>
      <c r="J123" s="50">
        <v>4.5999999999999999E-3</v>
      </c>
      <c r="K123" s="29">
        <f>137848.38*1517.2448</f>
        <v>209149737.743424</v>
      </c>
      <c r="L123" s="30">
        <f t="shared" si="57"/>
        <v>1.1556887488394555E-4</v>
      </c>
      <c r="M123" s="29">
        <f>113.91*1517.2448</f>
        <v>172829.35516799998</v>
      </c>
      <c r="N123" s="29">
        <f>113.91*1517.2448</f>
        <v>172829.35516799998</v>
      </c>
      <c r="O123" s="32">
        <v>8</v>
      </c>
      <c r="P123" s="50">
        <v>2.3E-3</v>
      </c>
      <c r="Q123" s="50">
        <v>4.5999999999999999E-3</v>
      </c>
      <c r="R123" s="57">
        <f t="shared" si="58"/>
        <v>1.6585560649946905E-2</v>
      </c>
      <c r="S123" s="57">
        <f t="shared" si="59"/>
        <v>1.6585560649946835E-2</v>
      </c>
      <c r="T123" s="57">
        <f t="shared" si="60"/>
        <v>0</v>
      </c>
      <c r="U123" s="57">
        <f t="shared" si="61"/>
        <v>0</v>
      </c>
      <c r="V123" s="58">
        <f t="shared" si="62"/>
        <v>0</v>
      </c>
    </row>
    <row r="124" spans="1:24">
      <c r="A124" s="138">
        <v>109</v>
      </c>
      <c r="B124" s="135" t="s">
        <v>170</v>
      </c>
      <c r="C124" s="136" t="s">
        <v>41</v>
      </c>
      <c r="D124" s="29">
        <f>10420324.49*1492.491</f>
        <v>15552240518.404591</v>
      </c>
      <c r="E124" s="30">
        <f t="shared" si="68"/>
        <v>8.6722846141955284E-3</v>
      </c>
      <c r="F124" s="29">
        <f>1.4*1492.491</f>
        <v>2089.4874</v>
      </c>
      <c r="G124" s="29">
        <f>1.4*1492.491</f>
        <v>2089.4874</v>
      </c>
      <c r="H124" s="46">
        <v>114</v>
      </c>
      <c r="I124" s="53">
        <v>1.2999999999999999E-3</v>
      </c>
      <c r="J124" s="53">
        <v>5.0999999999999997E-2</v>
      </c>
      <c r="K124" s="29">
        <f>10522063.77*1517.2448</f>
        <v>15964546540.300894</v>
      </c>
      <c r="L124" s="30">
        <f t="shared" si="57"/>
        <v>8.8214534792213466E-3</v>
      </c>
      <c r="M124" s="29">
        <f>1.4*1517.2448</f>
        <v>2124.1427199999998</v>
      </c>
      <c r="N124" s="29">
        <f>1.4*1517.2448</f>
        <v>2124.1427199999998</v>
      </c>
      <c r="O124" s="46">
        <v>114</v>
      </c>
      <c r="P124" s="53">
        <v>8.9999999999999998E-4</v>
      </c>
      <c r="Q124" s="53">
        <v>5.0799999999999998E-2</v>
      </c>
      <c r="R124" s="57">
        <f t="shared" si="58"/>
        <v>2.6511036876543825E-2</v>
      </c>
      <c r="S124" s="57">
        <f t="shared" si="59"/>
        <v>1.6585560649946894E-2</v>
      </c>
      <c r="T124" s="57">
        <f t="shared" si="60"/>
        <v>0</v>
      </c>
      <c r="U124" s="57">
        <f t="shared" si="61"/>
        <v>-3.9999999999999996E-4</v>
      </c>
      <c r="V124" s="58">
        <f t="shared" si="62"/>
        <v>-1.9999999999999879E-4</v>
      </c>
    </row>
    <row r="125" spans="1:24">
      <c r="A125" s="138">
        <v>110</v>
      </c>
      <c r="B125" s="135" t="s">
        <v>171</v>
      </c>
      <c r="C125" s="136" t="s">
        <v>89</v>
      </c>
      <c r="D125" s="29">
        <f>20173442*1492.491</f>
        <v>30108680624.021999</v>
      </c>
      <c r="E125" s="30">
        <f t="shared" si="68"/>
        <v>1.6789288168507492E-2</v>
      </c>
      <c r="F125" s="29">
        <f>104.84*1492.491</f>
        <v>156472.75644</v>
      </c>
      <c r="G125" s="29">
        <f>104.84*1492.491</f>
        <v>156472.75644</v>
      </c>
      <c r="H125" s="32">
        <v>551</v>
      </c>
      <c r="I125" s="53">
        <v>1.9E-3</v>
      </c>
      <c r="J125" s="50">
        <v>0.1024</v>
      </c>
      <c r="K125" s="29">
        <f>20299687*1517.2448</f>
        <v>30799594542.377598</v>
      </c>
      <c r="L125" s="30">
        <f t="shared" si="57"/>
        <v>1.7018785328389466E-2</v>
      </c>
      <c r="M125" s="29">
        <f>105.03*1517.2448</f>
        <v>159356.22134399999</v>
      </c>
      <c r="N125" s="29">
        <f>105.03*1517.2448</f>
        <v>159356.22134399999</v>
      </c>
      <c r="O125" s="32">
        <v>558</v>
      </c>
      <c r="P125" s="53">
        <v>1.6999999999999999E-3</v>
      </c>
      <c r="Q125" s="50">
        <v>0.1013</v>
      </c>
      <c r="R125" s="57">
        <f t="shared" si="58"/>
        <v>2.2947332929771677E-2</v>
      </c>
      <c r="S125" s="57">
        <f t="shared" si="59"/>
        <v>1.8427903806409057E-2</v>
      </c>
      <c r="T125" s="57">
        <f t="shared" si="60"/>
        <v>1.2704174228675136E-2</v>
      </c>
      <c r="U125" s="57">
        <f t="shared" si="61"/>
        <v>-2.0000000000000009E-4</v>
      </c>
      <c r="V125" s="58">
        <f t="shared" si="62"/>
        <v>-1.1000000000000038E-3</v>
      </c>
    </row>
    <row r="126" spans="1:24">
      <c r="A126" s="138">
        <v>111</v>
      </c>
      <c r="B126" s="135" t="s">
        <v>172</v>
      </c>
      <c r="C126" s="136" t="s">
        <v>45</v>
      </c>
      <c r="D126" s="29">
        <f>1728889.34*1492.491</f>
        <v>2580351779.94594</v>
      </c>
      <c r="E126" s="30">
        <f t="shared" si="68"/>
        <v>1.4388631023263519E-3</v>
      </c>
      <c r="F126" s="29">
        <f>138.193692*1492.491</f>
        <v>206252.841566772</v>
      </c>
      <c r="G126" s="29">
        <f>142.320649*1492.491</f>
        <v>212412.28774665901</v>
      </c>
      <c r="H126" s="32">
        <v>51</v>
      </c>
      <c r="I126" s="50">
        <v>-3.95E-2</v>
      </c>
      <c r="J126" s="50">
        <v>5.7000000000000002E-3</v>
      </c>
      <c r="K126" s="29">
        <f>1664258.23*1517.2448</f>
        <v>2525087145.3247037</v>
      </c>
      <c r="L126" s="30">
        <f t="shared" si="57"/>
        <v>1.3952753826881872E-3</v>
      </c>
      <c r="M126" s="29">
        <f>132.955159*1517.2448</f>
        <v>201725.5236259232</v>
      </c>
      <c r="N126" s="29">
        <f>137.117265*1517.2448</f>
        <v>208040.45731147198</v>
      </c>
      <c r="O126" s="32">
        <v>51</v>
      </c>
      <c r="P126" s="50">
        <v>3.5000000000000003E-2</v>
      </c>
      <c r="Q126" s="50">
        <v>3.2000000000000002E-3</v>
      </c>
      <c r="R126" s="57">
        <f t="shared" ref="R126:R127" si="71">((K126-D126)/D126)</f>
        <v>-2.1417480767833195E-2</v>
      </c>
      <c r="S126" s="57">
        <f t="shared" ref="S126:S127" si="72">((N126-G126)/G126)</f>
        <v>-2.0581815117971185E-2</v>
      </c>
      <c r="T126" s="57">
        <f t="shared" ref="T126:T127" si="73">((O126-H126)/H126)</f>
        <v>0</v>
      </c>
      <c r="U126" s="57">
        <f t="shared" ref="U126:U127" si="74">P126-I126</f>
        <v>7.4500000000000011E-2</v>
      </c>
      <c r="V126" s="58">
        <f t="shared" ref="V126:V127" si="75">Q126-J126</f>
        <v>-2.5000000000000001E-3</v>
      </c>
    </row>
    <row r="127" spans="1:24">
      <c r="A127" s="138">
        <v>112</v>
      </c>
      <c r="B127" s="135" t="s">
        <v>173</v>
      </c>
      <c r="C127" s="136" t="s">
        <v>52</v>
      </c>
      <c r="D127" s="33">
        <f>122480621.76*1504.67</f>
        <v>184292917143.61923</v>
      </c>
      <c r="E127" s="30">
        <f t="shared" si="68"/>
        <v>0.10276594089182554</v>
      </c>
      <c r="F127" s="29">
        <f>126.0453*1504.67</f>
        <v>189656.58155100001</v>
      </c>
      <c r="G127" s="29">
        <f>126.0453*1504.67</f>
        <v>189656.58155100001</v>
      </c>
      <c r="H127" s="32">
        <v>3548</v>
      </c>
      <c r="I127" s="50">
        <v>8.0600000000000005E-2</v>
      </c>
      <c r="J127" s="50">
        <v>7.6899999999999996E-2</v>
      </c>
      <c r="K127" s="33">
        <f>111151301.65*1520.6</f>
        <v>169016669288.98999</v>
      </c>
      <c r="L127" s="30">
        <f t="shared" si="57"/>
        <v>9.3392736309919844E-2</v>
      </c>
      <c r="M127" s="29">
        <f>126.12*1520.6</f>
        <v>191778.07199999999</v>
      </c>
      <c r="N127" s="29">
        <f>126.12*1520.6</f>
        <v>191778.07199999999</v>
      </c>
      <c r="O127" s="32">
        <v>3562</v>
      </c>
      <c r="P127" s="50">
        <v>3.1399999999999997E-2</v>
      </c>
      <c r="Q127" s="50">
        <v>7.1999999999999995E-2</v>
      </c>
      <c r="R127" s="57">
        <f t="shared" si="71"/>
        <v>-8.2891128380829099E-2</v>
      </c>
      <c r="S127" s="57">
        <f t="shared" si="72"/>
        <v>1.1185957437651545E-2</v>
      </c>
      <c r="T127" s="57">
        <f t="shared" si="73"/>
        <v>3.9458850056369784E-3</v>
      </c>
      <c r="U127" s="57">
        <f t="shared" si="74"/>
        <v>-4.9200000000000008E-2</v>
      </c>
      <c r="V127" s="58">
        <f t="shared" si="75"/>
        <v>-4.9000000000000016E-3</v>
      </c>
    </row>
    <row r="128" spans="1:24" ht="6" customHeight="1">
      <c r="A128" s="36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</row>
    <row r="129" spans="1:24">
      <c r="A129" s="180" t="s">
        <v>174</v>
      </c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</row>
    <row r="130" spans="1:24">
      <c r="A130" s="138">
        <v>113</v>
      </c>
      <c r="B130" s="135" t="s">
        <v>175</v>
      </c>
      <c r="C130" s="136" t="s">
        <v>118</v>
      </c>
      <c r="D130" s="33">
        <f>1306216.8*1492.491</f>
        <v>1949516818.0488</v>
      </c>
      <c r="E130" s="30">
        <f t="shared" ref="E130:E142" si="76">(D130/$D$145)</f>
        <v>1.087095115734128E-3</v>
      </c>
      <c r="F130" s="29">
        <f>114.63*1492.491</f>
        <v>171084.24333</v>
      </c>
      <c r="G130" s="29">
        <f>114.63*1492.491</f>
        <v>171084.24333</v>
      </c>
      <c r="H130" s="32">
        <v>24</v>
      </c>
      <c r="I130" s="50">
        <v>1.921E-3</v>
      </c>
      <c r="J130" s="50">
        <v>5.6300000000000003E-2</v>
      </c>
      <c r="K130" s="33">
        <f>1271014.81*1517.2448</f>
        <v>1928440611.195488</v>
      </c>
      <c r="L130" s="30">
        <f t="shared" ref="L130:L144" si="77">(K130/$K$145)</f>
        <v>1.0655892477846444E-3</v>
      </c>
      <c r="M130" s="29">
        <f>111.54*1517.2448</f>
        <v>169233.48499200001</v>
      </c>
      <c r="N130" s="29">
        <f>111.54*1517.2448</f>
        <v>169233.48499200001</v>
      </c>
      <c r="O130" s="32">
        <v>24</v>
      </c>
      <c r="P130" s="50">
        <v>9.1570000000000002E-3</v>
      </c>
      <c r="Q130" s="50">
        <v>4.9500000000000002E-2</v>
      </c>
      <c r="R130" s="57">
        <f>((K130-D130)/D130)</f>
        <v>-1.0810990014647024E-2</v>
      </c>
      <c r="S130" s="57">
        <f>((N130-G130)/G130)</f>
        <v>-1.0817818765636441E-2</v>
      </c>
      <c r="T130" s="57">
        <f>((O130-H130)/H130)</f>
        <v>0</v>
      </c>
      <c r="U130" s="57">
        <f>P130-I130</f>
        <v>7.2360000000000002E-3</v>
      </c>
      <c r="V130" s="58">
        <f>Q130-J130</f>
        <v>-6.8000000000000005E-3</v>
      </c>
    </row>
    <row r="131" spans="1:24">
      <c r="A131" s="138">
        <v>114</v>
      </c>
      <c r="B131" s="136" t="s">
        <v>176</v>
      </c>
      <c r="C131" s="136" t="s">
        <v>25</v>
      </c>
      <c r="D131" s="29">
        <f>10649366.66*1492.491</f>
        <v>15894083895.750059</v>
      </c>
      <c r="E131" s="30">
        <f t="shared" si="76"/>
        <v>8.862904291039482E-3</v>
      </c>
      <c r="F131" s="33">
        <f>134.94*1492.491</f>
        <v>201396.73553999999</v>
      </c>
      <c r="G131" s="33">
        <f>134.94*1492.491</f>
        <v>201396.73553999999</v>
      </c>
      <c r="H131" s="32">
        <v>540</v>
      </c>
      <c r="I131" s="50">
        <v>5.0000000000000001E-4</v>
      </c>
      <c r="J131" s="50">
        <v>8.9999999999999993E-3</v>
      </c>
      <c r="K131" s="29">
        <f>11607611.92*1517.2448</f>
        <v>17611588826.038013</v>
      </c>
      <c r="L131" s="30">
        <f t="shared" si="77"/>
        <v>9.7315517939628657E-3</v>
      </c>
      <c r="M131" s="33">
        <f>135.14*1517.2448</f>
        <v>205040.46227199998</v>
      </c>
      <c r="N131" s="33">
        <f>135.14*1517.2448</f>
        <v>205040.46227199998</v>
      </c>
      <c r="O131" s="32">
        <v>541</v>
      </c>
      <c r="P131" s="50">
        <v>5.0000000000000001E-4</v>
      </c>
      <c r="Q131" s="50">
        <v>1.04E-2</v>
      </c>
      <c r="R131" s="57">
        <f t="shared" ref="R131:R145" si="78">((K131-D131)/D131)</f>
        <v>0.10805938496066454</v>
      </c>
      <c r="S131" s="57">
        <f t="shared" ref="S131:S145" si="79">((N131-G131)/G131)</f>
        <v>1.8092282986763158E-2</v>
      </c>
      <c r="T131" s="57">
        <f t="shared" ref="T131:T145" si="80">((O131-H131)/H131)</f>
        <v>1.8518518518518519E-3</v>
      </c>
      <c r="U131" s="57">
        <f t="shared" ref="U131:U145" si="81">P131-I131</f>
        <v>0</v>
      </c>
      <c r="V131" s="58">
        <f t="shared" ref="V131:V145" si="82">Q131-J131</f>
        <v>1.4000000000000002E-3</v>
      </c>
    </row>
    <row r="132" spans="1:24">
      <c r="A132" s="138">
        <v>115</v>
      </c>
      <c r="B132" s="135" t="s">
        <v>177</v>
      </c>
      <c r="C132" s="136" t="s">
        <v>67</v>
      </c>
      <c r="D132" s="33">
        <v>16011781650.83</v>
      </c>
      <c r="E132" s="30">
        <f t="shared" si="76"/>
        <v>8.9285352481544532E-3</v>
      </c>
      <c r="F132" s="33">
        <v>176046.1</v>
      </c>
      <c r="G132" s="33">
        <v>176046.1</v>
      </c>
      <c r="H132" s="32">
        <v>668</v>
      </c>
      <c r="I132" s="50">
        <v>1.4E-3</v>
      </c>
      <c r="J132" s="50">
        <v>6.54E-2</v>
      </c>
      <c r="K132" s="33">
        <v>16120076946.51</v>
      </c>
      <c r="L132" s="30">
        <f t="shared" si="77"/>
        <v>8.9073941753453831E-3</v>
      </c>
      <c r="M132" s="33">
        <v>176852.68</v>
      </c>
      <c r="N132" s="33">
        <v>176852.68</v>
      </c>
      <c r="O132" s="32">
        <v>668</v>
      </c>
      <c r="P132" s="50">
        <v>1.6000000000000001E-3</v>
      </c>
      <c r="Q132" s="50">
        <v>6.54E-2</v>
      </c>
      <c r="R132" s="57">
        <f t="shared" si="78"/>
        <v>6.7634756732013407E-3</v>
      </c>
      <c r="S132" s="57">
        <f t="shared" si="79"/>
        <v>4.5816408315775652E-3</v>
      </c>
      <c r="T132" s="57">
        <f t="shared" si="80"/>
        <v>0</v>
      </c>
      <c r="U132" s="57">
        <f t="shared" si="81"/>
        <v>2.0000000000000009E-4</v>
      </c>
      <c r="V132" s="58">
        <f t="shared" si="82"/>
        <v>0</v>
      </c>
    </row>
    <row r="133" spans="1:24">
      <c r="A133" s="138">
        <v>116</v>
      </c>
      <c r="B133" s="135" t="s">
        <v>301</v>
      </c>
      <c r="C133" s="136" t="s">
        <v>302</v>
      </c>
      <c r="D133" s="29">
        <f>60318.17*1492.491</f>
        <v>90024325.861469999</v>
      </c>
      <c r="E133" s="30">
        <f t="shared" ref="E133" si="83">(D133/$D$107)</f>
        <v>4.6784030286838257E-4</v>
      </c>
      <c r="F133" s="35">
        <f>0.9874*1492.491</f>
        <v>1473.6856134</v>
      </c>
      <c r="G133" s="35">
        <f>0.9874*1492.491</f>
        <v>1473.6856134</v>
      </c>
      <c r="H133" s="32">
        <v>2</v>
      </c>
      <c r="I133" s="50">
        <v>1.1152793267770189E-3</v>
      </c>
      <c r="J133" s="50">
        <v>4.6057052552560651E-2</v>
      </c>
      <c r="K133" s="29">
        <f>60408.85*1517.2448</f>
        <v>91655013.536479995</v>
      </c>
      <c r="L133" s="30">
        <f t="shared" ref="L133" si="84">(K133/$K$107)</f>
        <v>4.7575508209747998E-4</v>
      </c>
      <c r="M133" s="35">
        <f>0.9874*1517.2448</f>
        <v>1498.1275155200001</v>
      </c>
      <c r="N133" s="35">
        <f>0.9874*1517.2448</f>
        <v>1498.1275155200001</v>
      </c>
      <c r="O133" s="32">
        <v>2</v>
      </c>
      <c r="P133" s="50">
        <v>1.0127607859022891E-3</v>
      </c>
      <c r="Q133" s="50">
        <v>4.7060564845586295E-2</v>
      </c>
      <c r="R133" s="56">
        <f t="shared" si="78"/>
        <v>1.8113855998425452E-2</v>
      </c>
      <c r="S133" s="56">
        <f t="shared" si="79"/>
        <v>1.658556064994705E-2</v>
      </c>
      <c r="T133" s="56">
        <f t="shared" si="80"/>
        <v>0</v>
      </c>
      <c r="U133" s="57">
        <f t="shared" si="81"/>
        <v>-1.0251854087472978E-4</v>
      </c>
      <c r="V133" s="58">
        <f t="shared" si="82"/>
        <v>1.0035122930256435E-3</v>
      </c>
    </row>
    <row r="134" spans="1:24">
      <c r="A134" s="138">
        <v>117</v>
      </c>
      <c r="B134" s="135" t="s">
        <v>178</v>
      </c>
      <c r="C134" s="136" t="s">
        <v>65</v>
      </c>
      <c r="D134" s="33">
        <v>6554479358.5172443</v>
      </c>
      <c r="E134" s="30">
        <f t="shared" si="76"/>
        <v>3.6549274316883041E-3</v>
      </c>
      <c r="F134" s="33">
        <v>1915.524575189098</v>
      </c>
      <c r="G134" s="33">
        <v>1915.524575189098</v>
      </c>
      <c r="H134" s="32">
        <v>234</v>
      </c>
      <c r="I134" s="50">
        <v>6.914847704050775E-2</v>
      </c>
      <c r="J134" s="50">
        <v>5.6628177538908787E-2</v>
      </c>
      <c r="K134" s="33">
        <v>6759785118.4012785</v>
      </c>
      <c r="L134" s="30">
        <f t="shared" si="77"/>
        <v>3.7352222815083937E-3</v>
      </c>
      <c r="M134" s="33">
        <v>1943.0981094949727</v>
      </c>
      <c r="N134" s="33">
        <v>1943.0981094949727</v>
      </c>
      <c r="O134" s="32">
        <v>234</v>
      </c>
      <c r="P134" s="50">
        <v>0.19646594235251458</v>
      </c>
      <c r="Q134" s="50">
        <v>7.1650191819181031E-2</v>
      </c>
      <c r="R134" s="57">
        <f t="shared" si="78"/>
        <v>3.1322969934636957E-2</v>
      </c>
      <c r="S134" s="57">
        <f t="shared" si="79"/>
        <v>1.439476927783751E-2</v>
      </c>
      <c r="T134" s="56">
        <f t="shared" si="80"/>
        <v>0</v>
      </c>
      <c r="U134" s="57">
        <f t="shared" si="81"/>
        <v>0.12731746531200683</v>
      </c>
      <c r="V134" s="58">
        <f t="shared" si="82"/>
        <v>1.5022014280272243E-2</v>
      </c>
    </row>
    <row r="135" spans="1:24">
      <c r="A135" s="138">
        <v>118</v>
      </c>
      <c r="B135" s="135" t="s">
        <v>179</v>
      </c>
      <c r="C135" s="136" t="s">
        <v>37</v>
      </c>
      <c r="D135" s="33">
        <v>86253758745</v>
      </c>
      <c r="E135" s="30">
        <f t="shared" si="76"/>
        <v>4.8097066399892009E-2</v>
      </c>
      <c r="F135" s="33">
        <f>100*1500</f>
        <v>150000</v>
      </c>
      <c r="G135" s="33">
        <f>100*1500</f>
        <v>150000</v>
      </c>
      <c r="H135" s="32">
        <v>1859</v>
      </c>
      <c r="I135" s="50">
        <v>4.7199999999999999E-2</v>
      </c>
      <c r="J135" s="50">
        <v>5.0121600000000002E-2</v>
      </c>
      <c r="K135" s="33">
        <v>86933186295</v>
      </c>
      <c r="L135" s="30">
        <f t="shared" si="77"/>
        <v>4.8036256887467557E-2</v>
      </c>
      <c r="M135" s="33">
        <f>100*1500</f>
        <v>150000</v>
      </c>
      <c r="N135" s="33">
        <f>100*1500</f>
        <v>150000</v>
      </c>
      <c r="O135" s="32">
        <v>1871</v>
      </c>
      <c r="P135" s="50">
        <v>5.8099999999999999E-2</v>
      </c>
      <c r="Q135" s="50">
        <v>5.0966600000000001E-2</v>
      </c>
      <c r="R135" s="57">
        <f t="shared" si="78"/>
        <v>7.8770775892637295E-3</v>
      </c>
      <c r="S135" s="57">
        <f t="shared" si="79"/>
        <v>0</v>
      </c>
      <c r="T135" s="57">
        <f t="shared" si="80"/>
        <v>6.4550833781603012E-3</v>
      </c>
      <c r="U135" s="57">
        <f t="shared" si="81"/>
        <v>1.09E-2</v>
      </c>
      <c r="V135" s="58">
        <f t="shared" si="82"/>
        <v>8.4499999999999853E-4</v>
      </c>
    </row>
    <row r="136" spans="1:24" ht="15.6">
      <c r="A136" s="138">
        <v>119</v>
      </c>
      <c r="B136" s="135" t="s">
        <v>180</v>
      </c>
      <c r="C136" s="136" t="s">
        <v>135</v>
      </c>
      <c r="D136" s="33">
        <f>1070864.09*1492.491</f>
        <v>1598255016.5481901</v>
      </c>
      <c r="E136" s="30">
        <f t="shared" si="76"/>
        <v>8.9122351041119022E-4</v>
      </c>
      <c r="F136" s="33">
        <f>1.1*1492.491</f>
        <v>1641.7401000000002</v>
      </c>
      <c r="G136" s="33">
        <f>1.13*1492.491</f>
        <v>1686.5148299999998</v>
      </c>
      <c r="H136" s="32">
        <v>47</v>
      </c>
      <c r="I136" s="50">
        <v>1.9E-3</v>
      </c>
      <c r="J136" s="50">
        <v>9.9599999999999994E-2</v>
      </c>
      <c r="K136" s="33">
        <f>1067060.98*1517.2448</f>
        <v>1618992723.1879039</v>
      </c>
      <c r="L136" s="30">
        <f t="shared" si="77"/>
        <v>8.9459910149949039E-4</v>
      </c>
      <c r="M136" s="33">
        <f>1.1*1517.2448</f>
        <v>1668.96928</v>
      </c>
      <c r="N136" s="33">
        <f>1.13*1517.2448</f>
        <v>1714.4866239999997</v>
      </c>
      <c r="O136" s="32">
        <v>47</v>
      </c>
      <c r="P136" s="50">
        <v>1.9E-3</v>
      </c>
      <c r="Q136" s="50">
        <v>9.9599999999999994E-2</v>
      </c>
      <c r="R136" s="57">
        <f t="shared" si="78"/>
        <v>1.2975217612331821E-2</v>
      </c>
      <c r="S136" s="57">
        <f t="shared" si="79"/>
        <v>1.6585560649946863E-2</v>
      </c>
      <c r="T136" s="57">
        <f t="shared" si="80"/>
        <v>0</v>
      </c>
      <c r="U136" s="57">
        <f t="shared" si="81"/>
        <v>0</v>
      </c>
      <c r="V136" s="58">
        <f t="shared" si="82"/>
        <v>0</v>
      </c>
      <c r="X136" s="67"/>
    </row>
    <row r="137" spans="1:24" ht="15.6">
      <c r="A137" s="138">
        <v>120</v>
      </c>
      <c r="B137" s="135" t="s">
        <v>181</v>
      </c>
      <c r="C137" s="136" t="s">
        <v>43</v>
      </c>
      <c r="D137" s="29">
        <f>2859578.23*1492.491</f>
        <v>4267894772.07093</v>
      </c>
      <c r="E137" s="30">
        <f t="shared" si="76"/>
        <v>2.379875627761519E-3</v>
      </c>
      <c r="F137" s="33">
        <f>10.47346*1492.491</f>
        <v>15631.544788859999</v>
      </c>
      <c r="G137" s="33">
        <f>10.47346*1492.491</f>
        <v>15631.544788859999</v>
      </c>
      <c r="H137" s="32">
        <v>68</v>
      </c>
      <c r="I137" s="50">
        <v>7.6300000000000007E-2</v>
      </c>
      <c r="J137" s="50">
        <v>9.64E-2</v>
      </c>
      <c r="K137" s="29">
        <f>2902704.12*1517.2448</f>
        <v>4404112732.0085764</v>
      </c>
      <c r="L137" s="30">
        <f t="shared" si="77"/>
        <v>2.4335596056289767E-3</v>
      </c>
      <c r="M137" s="33">
        <f>10.48869*1517.2448</f>
        <v>15913.910361311999</v>
      </c>
      <c r="N137" s="33">
        <f>10.48869*1517.2448</f>
        <v>15913.910361311999</v>
      </c>
      <c r="O137" s="32">
        <v>68</v>
      </c>
      <c r="P137" s="50">
        <v>7.6300000000000007E-2</v>
      </c>
      <c r="Q137" s="50">
        <v>9.6000000000000002E-2</v>
      </c>
      <c r="R137" s="57">
        <f t="shared" si="78"/>
        <v>3.1916897489848078E-2</v>
      </c>
      <c r="S137" s="57">
        <f t="shared" si="79"/>
        <v>1.8063830303786135E-2</v>
      </c>
      <c r="T137" s="57">
        <f t="shared" si="80"/>
        <v>0</v>
      </c>
      <c r="U137" s="57">
        <f t="shared" si="81"/>
        <v>0</v>
      </c>
      <c r="V137" s="58">
        <f t="shared" si="82"/>
        <v>-3.9999999999999758E-4</v>
      </c>
      <c r="X137" s="67"/>
    </row>
    <row r="138" spans="1:24" ht="15.6">
      <c r="A138" s="138">
        <v>121</v>
      </c>
      <c r="B138" s="136" t="s">
        <v>182</v>
      </c>
      <c r="C138" s="171" t="s">
        <v>47</v>
      </c>
      <c r="D138" s="33">
        <v>24851490210</v>
      </c>
      <c r="E138" s="30">
        <f t="shared" si="76"/>
        <v>1.3857758689686377E-2</v>
      </c>
      <c r="F138" s="33">
        <f>1.07*1492.491</f>
        <v>1596.9653700000001</v>
      </c>
      <c r="G138" s="33">
        <f>1.07*1492.491</f>
        <v>1596.9653700000001</v>
      </c>
      <c r="H138" s="32">
        <v>460</v>
      </c>
      <c r="I138" s="50">
        <v>-1.5E-3</v>
      </c>
      <c r="J138" s="50">
        <v>3.0499999999999999E-2</v>
      </c>
      <c r="K138" s="33">
        <v>25165503659.450001</v>
      </c>
      <c r="L138" s="30">
        <f t="shared" si="77"/>
        <v>1.3905582551474626E-2</v>
      </c>
      <c r="M138" s="33">
        <f>1.07*1517.2448</f>
        <v>1623.4519359999999</v>
      </c>
      <c r="N138" s="33">
        <f>1.07*1517.2448</f>
        <v>1623.4519359999999</v>
      </c>
      <c r="O138" s="32">
        <v>460</v>
      </c>
      <c r="P138" s="50">
        <v>-2.9999999999999997E-4</v>
      </c>
      <c r="Q138" s="50">
        <v>3.3300000000000003E-2</v>
      </c>
      <c r="R138" s="57">
        <f t="shared" si="78"/>
        <v>1.2635598380480411E-2</v>
      </c>
      <c r="S138" s="57">
        <f t="shared" si="79"/>
        <v>1.6585560649946849E-2</v>
      </c>
      <c r="T138" s="57">
        <f t="shared" si="80"/>
        <v>0</v>
      </c>
      <c r="U138" s="57">
        <f t="shared" si="81"/>
        <v>1.2000000000000001E-3</v>
      </c>
      <c r="V138" s="58">
        <f t="shared" si="82"/>
        <v>2.8000000000000039E-3</v>
      </c>
      <c r="X138" s="67"/>
    </row>
    <row r="139" spans="1:24">
      <c r="A139" s="138">
        <v>122</v>
      </c>
      <c r="B139" s="135" t="s">
        <v>183</v>
      </c>
      <c r="C139" s="136" t="s">
        <v>91</v>
      </c>
      <c r="D139" s="29">
        <f>275953.24*1504.67</f>
        <v>415218561.63080001</v>
      </c>
      <c r="E139" s="30">
        <f t="shared" si="76"/>
        <v>2.3153535590565689E-4</v>
      </c>
      <c r="F139" s="33">
        <f>1.15*1504.67</f>
        <v>1730.3705</v>
      </c>
      <c r="G139" s="33">
        <f>1.15*1504.67</f>
        <v>1730.3705</v>
      </c>
      <c r="H139" s="32">
        <v>3</v>
      </c>
      <c r="I139" s="50">
        <v>-2.52E-4</v>
      </c>
      <c r="J139" s="50">
        <v>3.5614E-2</v>
      </c>
      <c r="K139" s="29">
        <f>272958.44*1520.6</f>
        <v>415060603.86399996</v>
      </c>
      <c r="L139" s="30">
        <f t="shared" si="77"/>
        <v>2.2934806189457769E-4</v>
      </c>
      <c r="M139" s="33">
        <f>1.14*1520.6</f>
        <v>1733.4839999999997</v>
      </c>
      <c r="N139" s="33">
        <f>1.14*1520.6</f>
        <v>1733.4839999999997</v>
      </c>
      <c r="O139" s="32">
        <v>2</v>
      </c>
      <c r="P139" s="50">
        <v>-1.1266E-2</v>
      </c>
      <c r="Q139" s="50">
        <v>2.3947E-2</v>
      </c>
      <c r="R139" s="57">
        <f t="shared" si="78"/>
        <v>-3.8042077449441507E-4</v>
      </c>
      <c r="S139" s="57">
        <f t="shared" si="79"/>
        <v>1.799325635752403E-3</v>
      </c>
      <c r="T139" s="57">
        <f t="shared" si="80"/>
        <v>-0.33333333333333331</v>
      </c>
      <c r="U139" s="57">
        <f t="shared" si="81"/>
        <v>-1.1013999999999999E-2</v>
      </c>
      <c r="V139" s="58">
        <f t="shared" si="82"/>
        <v>-1.1667E-2</v>
      </c>
    </row>
    <row r="140" spans="1:24">
      <c r="A140" s="138">
        <v>123</v>
      </c>
      <c r="B140" s="135" t="s">
        <v>184</v>
      </c>
      <c r="C140" s="136" t="s">
        <v>49</v>
      </c>
      <c r="D140" s="29">
        <v>990987576052.29004</v>
      </c>
      <c r="E140" s="30">
        <f t="shared" si="76"/>
        <v>0.55259731216777852</v>
      </c>
      <c r="F140" s="33">
        <v>2395.4299999999998</v>
      </c>
      <c r="G140" s="33">
        <v>2395.4299999999998</v>
      </c>
      <c r="H140" s="32">
        <v>10013</v>
      </c>
      <c r="I140" s="50">
        <v>1.1999999999999999E-3</v>
      </c>
      <c r="J140" s="50">
        <v>1.11E-2</v>
      </c>
      <c r="K140" s="29">
        <v>1007057677361.21</v>
      </c>
      <c r="L140" s="30">
        <f t="shared" si="77"/>
        <v>0.55646506647141991</v>
      </c>
      <c r="M140" s="33">
        <v>2423.9899999999998</v>
      </c>
      <c r="N140" s="33">
        <v>2423.9899999999998</v>
      </c>
      <c r="O140" s="32">
        <v>10097</v>
      </c>
      <c r="P140" s="50">
        <v>1.2999999999999999E-3</v>
      </c>
      <c r="Q140" s="50">
        <v>1.24E-2</v>
      </c>
      <c r="R140" s="57">
        <f t="shared" si="78"/>
        <v>1.6216249019929161E-2</v>
      </c>
      <c r="S140" s="57">
        <f t="shared" si="79"/>
        <v>1.1922702813273586E-2</v>
      </c>
      <c r="T140" s="57">
        <f t="shared" si="80"/>
        <v>8.3890941775691605E-3</v>
      </c>
      <c r="U140" s="57">
        <f t="shared" si="81"/>
        <v>1.0000000000000005E-4</v>
      </c>
      <c r="V140" s="58">
        <f t="shared" si="82"/>
        <v>1.2999999999999991E-3</v>
      </c>
    </row>
    <row r="141" spans="1:24">
      <c r="A141" s="138">
        <v>124</v>
      </c>
      <c r="B141" s="135" t="s">
        <v>293</v>
      </c>
      <c r="C141" s="135" t="s">
        <v>101</v>
      </c>
      <c r="D141" s="29">
        <f>270315.54*1492.491</f>
        <v>403443510.61013997</v>
      </c>
      <c r="E141" s="30">
        <f t="shared" si="76"/>
        <v>2.2496931844777471E-4</v>
      </c>
      <c r="F141" s="33">
        <f>101.39*1492.491</f>
        <v>151323.66248999999</v>
      </c>
      <c r="G141" s="33">
        <f>101.39*1492.491</f>
        <v>151323.66248999999</v>
      </c>
      <c r="H141" s="32">
        <v>14</v>
      </c>
      <c r="I141" s="50">
        <v>9.9599999999999994E-2</v>
      </c>
      <c r="J141" s="50">
        <v>9.9599999999999994E-2</v>
      </c>
      <c r="K141" s="29">
        <f>269918.4*1517.2448</f>
        <v>409532288.82432002</v>
      </c>
      <c r="L141" s="30">
        <f t="shared" si="77"/>
        <v>2.2629330717179825E-4</v>
      </c>
      <c r="M141" s="33">
        <f>101.24*1517.2448</f>
        <v>153605.863552</v>
      </c>
      <c r="N141" s="33">
        <f>101.24*1517.2448</f>
        <v>153605.863552</v>
      </c>
      <c r="O141" s="32">
        <v>15</v>
      </c>
      <c r="P141" s="50">
        <v>0</v>
      </c>
      <c r="Q141" s="50">
        <v>7.5899999999999995E-2</v>
      </c>
      <c r="R141" s="57">
        <f t="shared" ref="R141" si="85">((K141-D141)/D141)</f>
        <v>1.5092021693376123E-2</v>
      </c>
      <c r="S141" s="57">
        <f t="shared" ref="S141" si="86">((N141-G141)/G141)</f>
        <v>1.5081587535266162E-2</v>
      </c>
      <c r="T141" s="57">
        <f t="shared" ref="T141" si="87">((O141-H141)/H141)</f>
        <v>7.1428571428571425E-2</v>
      </c>
      <c r="U141" s="57">
        <f t="shared" ref="U141" si="88">P141-I141</f>
        <v>-9.9599999999999994E-2</v>
      </c>
      <c r="V141" s="58">
        <f t="shared" ref="V141" si="89">Q141-J141</f>
        <v>-2.3699999999999999E-2</v>
      </c>
    </row>
    <row r="142" spans="1:24" ht="16.5" customHeight="1">
      <c r="A142" s="138">
        <v>125</v>
      </c>
      <c r="B142" s="135" t="s">
        <v>185</v>
      </c>
      <c r="C142" s="136" t="s">
        <v>52</v>
      </c>
      <c r="D142" s="29">
        <f>133544562.67*1504.67</f>
        <v>200940497112.66891</v>
      </c>
      <c r="E142" s="30">
        <f t="shared" si="76"/>
        <v>0.11204901180744879</v>
      </c>
      <c r="F142" s="33">
        <f>1.1841*1504.67</f>
        <v>1781.6797469999999</v>
      </c>
      <c r="G142" s="33">
        <f>1.1841*1504.67</f>
        <v>1781.6797469999999</v>
      </c>
      <c r="H142" s="32">
        <v>587</v>
      </c>
      <c r="I142" s="50">
        <v>6.3600000000000004E-2</v>
      </c>
      <c r="J142" s="50">
        <v>8.43E-2</v>
      </c>
      <c r="K142" s="29">
        <f>134346024.49*1520.6</f>
        <v>204286564839.49399</v>
      </c>
      <c r="L142" s="30">
        <f t="shared" si="77"/>
        <v>0.11288165458456961</v>
      </c>
      <c r="M142" s="33">
        <f>1.1855*1520.6</f>
        <v>1802.6713</v>
      </c>
      <c r="N142" s="33">
        <f>1.1855*1520.6</f>
        <v>1802.6713</v>
      </c>
      <c r="O142" s="32">
        <v>587</v>
      </c>
      <c r="P142" s="50">
        <v>6.3500000000000001E-2</v>
      </c>
      <c r="Q142" s="50">
        <v>8.2100000000000006E-2</v>
      </c>
      <c r="R142" s="57">
        <f t="shared" si="78"/>
        <v>1.6652032690796553E-2</v>
      </c>
      <c r="S142" s="57">
        <f t="shared" si="79"/>
        <v>1.1781888992870764E-2</v>
      </c>
      <c r="T142" s="57">
        <f t="shared" si="80"/>
        <v>0</v>
      </c>
      <c r="U142" s="57">
        <f t="shared" si="81"/>
        <v>-1.0000000000000286E-4</v>
      </c>
      <c r="V142" s="58">
        <f t="shared" si="82"/>
        <v>-2.1999999999999936E-3</v>
      </c>
    </row>
    <row r="143" spans="1:24" ht="16.5" customHeight="1">
      <c r="A143" s="138">
        <v>126</v>
      </c>
      <c r="B143" s="135" t="s">
        <v>186</v>
      </c>
      <c r="C143" s="136" t="s">
        <v>96</v>
      </c>
      <c r="D143" s="33">
        <v>949254890.78837204</v>
      </c>
      <c r="E143" s="30">
        <v>0</v>
      </c>
      <c r="F143" s="33">
        <v>156560.9135</v>
      </c>
      <c r="G143" s="33">
        <v>156560.9135</v>
      </c>
      <c r="H143" s="32">
        <v>23</v>
      </c>
      <c r="I143" s="50">
        <v>1.2999999999999999E-3</v>
      </c>
      <c r="J143" s="50">
        <v>5.8999999999999997E-2</v>
      </c>
      <c r="K143" s="33">
        <v>945136515.10343814</v>
      </c>
      <c r="L143" s="30">
        <f t="shared" si="77"/>
        <v>5.2224958463124762E-4</v>
      </c>
      <c r="M143" s="33">
        <v>158385.696</v>
      </c>
      <c r="N143" s="33">
        <v>158385.696</v>
      </c>
      <c r="O143" s="32">
        <v>23</v>
      </c>
      <c r="P143" s="50">
        <v>1.1000000000000001E-3</v>
      </c>
      <c r="Q143" s="50">
        <v>5.91E-2</v>
      </c>
      <c r="R143" s="57">
        <f t="shared" si="78"/>
        <v>-4.3385351235994381E-3</v>
      </c>
      <c r="S143" s="57">
        <f t="shared" si="79"/>
        <v>1.1655415513400165E-2</v>
      </c>
      <c r="T143" s="57">
        <f t="shared" si="80"/>
        <v>0</v>
      </c>
      <c r="U143" s="57">
        <f t="shared" si="81"/>
        <v>-1.9999999999999987E-4</v>
      </c>
      <c r="V143" s="58">
        <f t="shared" si="82"/>
        <v>1.0000000000000286E-4</v>
      </c>
    </row>
    <row r="144" spans="1:24">
      <c r="A144" s="138">
        <v>127</v>
      </c>
      <c r="B144" s="135" t="s">
        <v>187</v>
      </c>
      <c r="C144" s="136" t="s">
        <v>110</v>
      </c>
      <c r="D144" s="33">
        <f>1326087.32*1492.491</f>
        <v>1979173390.3141201</v>
      </c>
      <c r="E144" s="30">
        <f>(D144/$D$145)</f>
        <v>1.1036322979531112E-3</v>
      </c>
      <c r="F144" s="33">
        <f>1.2891*1492.491</f>
        <v>1923.9701481</v>
      </c>
      <c r="G144" s="33">
        <f>1.2891*1492.491</f>
        <v>1923.9701481</v>
      </c>
      <c r="H144" s="32">
        <v>87</v>
      </c>
      <c r="I144" s="50">
        <v>2.019E-3</v>
      </c>
      <c r="J144" s="50">
        <v>3.6437999999999998E-2</v>
      </c>
      <c r="K144" s="33">
        <f>1314125.4*1517.2448</f>
        <v>1993849929.6979198</v>
      </c>
      <c r="L144" s="30">
        <f t="shared" si="77"/>
        <v>1.1017321635148334E-3</v>
      </c>
      <c r="M144" s="33">
        <f>1.2437*1517.2448</f>
        <v>1886.9973577599999</v>
      </c>
      <c r="N144" s="33">
        <f>1.2437*1517.2448</f>
        <v>1886.9973577599999</v>
      </c>
      <c r="O144" s="32">
        <v>89</v>
      </c>
      <c r="P144" s="50">
        <v>-3.5389999999999998E-2</v>
      </c>
      <c r="Q144" s="50">
        <v>1.26E-4</v>
      </c>
      <c r="R144" s="57">
        <f t="shared" si="78"/>
        <v>7.4154894440402906E-3</v>
      </c>
      <c r="S144" s="57">
        <f t="shared" si="79"/>
        <v>-1.921692515682337E-2</v>
      </c>
      <c r="T144" s="57">
        <f t="shared" si="80"/>
        <v>2.2988505747126436E-2</v>
      </c>
      <c r="U144" s="57">
        <f t="shared" si="81"/>
        <v>-3.7408999999999998E-2</v>
      </c>
      <c r="V144" s="58">
        <f t="shared" si="82"/>
        <v>-3.6311999999999997E-2</v>
      </c>
    </row>
    <row r="145" spans="1:22">
      <c r="A145" s="36"/>
      <c r="B145" s="37"/>
      <c r="C145" s="71" t="s">
        <v>53</v>
      </c>
      <c r="D145" s="48">
        <f>SUM(D111:D144)</f>
        <v>1793326811823.8843</v>
      </c>
      <c r="E145" s="40">
        <f>(D145/$D$216)</f>
        <v>0.40954357984825956</v>
      </c>
      <c r="F145" s="41"/>
      <c r="G145" s="45"/>
      <c r="H145" s="43">
        <f>SUM(H111:H144)</f>
        <v>22870</v>
      </c>
      <c r="I145" s="80"/>
      <c r="J145" s="80"/>
      <c r="K145" s="48">
        <f>SUM(K111:K144)</f>
        <v>1809741056607.6074</v>
      </c>
      <c r="L145" s="40">
        <f>(K145/$K$216)</f>
        <v>0.40461987729592275</v>
      </c>
      <c r="M145" s="41"/>
      <c r="N145" s="45"/>
      <c r="O145" s="43">
        <f>SUM(O111:O144)</f>
        <v>23310</v>
      </c>
      <c r="P145" s="80"/>
      <c r="Q145" s="80"/>
      <c r="R145" s="57">
        <f t="shared" si="78"/>
        <v>9.1529578855898599E-3</v>
      </c>
      <c r="S145" s="57" t="e">
        <f t="shared" si="79"/>
        <v>#DIV/0!</v>
      </c>
      <c r="T145" s="57">
        <f t="shared" si="80"/>
        <v>1.9239177962396152E-2</v>
      </c>
      <c r="U145" s="57">
        <f t="shared" si="81"/>
        <v>0</v>
      </c>
      <c r="V145" s="58">
        <f t="shared" si="82"/>
        <v>0</v>
      </c>
    </row>
    <row r="146" spans="1:22" ht="6" customHeight="1">
      <c r="A146" s="36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</row>
    <row r="147" spans="1:22">
      <c r="A147" s="179" t="s">
        <v>188</v>
      </c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</row>
    <row r="148" spans="1:22">
      <c r="A148" s="138">
        <v>128</v>
      </c>
      <c r="B148" s="135" t="s">
        <v>189</v>
      </c>
      <c r="C148" s="136" t="s">
        <v>190</v>
      </c>
      <c r="D148" s="72">
        <v>2301916231.5700002</v>
      </c>
      <c r="E148" s="30">
        <f>(D148/$D$153)</f>
        <v>2.2762379916020852E-2</v>
      </c>
      <c r="F148" s="60">
        <v>108.48</v>
      </c>
      <c r="G148" s="60">
        <v>108.48</v>
      </c>
      <c r="H148" s="32">
        <v>8</v>
      </c>
      <c r="I148" s="50">
        <v>3.3935993614597759E-3</v>
      </c>
      <c r="J148" s="50">
        <v>2.9100000000000001E-2</v>
      </c>
      <c r="K148" s="72">
        <v>2309698905.4692993</v>
      </c>
      <c r="L148" s="30">
        <f>(K148/$K$153)</f>
        <v>2.2827536257554716E-2</v>
      </c>
      <c r="M148" s="60">
        <v>108.84537726057019</v>
      </c>
      <c r="N148" s="60">
        <v>108.84537726057019</v>
      </c>
      <c r="O148" s="32">
        <v>8</v>
      </c>
      <c r="P148" s="50">
        <v>3.3681532132208147E-3</v>
      </c>
      <c r="Q148" s="50">
        <v>3.2500000000000001E-2</v>
      </c>
      <c r="R148" s="57">
        <f t="shared" ref="R148:R153" si="90">((K148-D148)/D148)</f>
        <v>3.3809544381165624E-3</v>
      </c>
      <c r="S148" s="57">
        <f t="shared" ref="S148:T153" si="91">((N148-G148)/G148)</f>
        <v>3.368153213220728E-3</v>
      </c>
      <c r="T148" s="57">
        <f t="shared" si="91"/>
        <v>0</v>
      </c>
      <c r="U148" s="57">
        <f t="shared" ref="U148:V153" si="92">P148-I148</f>
        <v>-2.5446148238961186E-5</v>
      </c>
      <c r="V148" s="58">
        <f t="shared" si="92"/>
        <v>3.4000000000000002E-3</v>
      </c>
    </row>
    <row r="149" spans="1:22">
      <c r="A149" s="138">
        <v>129</v>
      </c>
      <c r="B149" s="135" t="s">
        <v>191</v>
      </c>
      <c r="C149" s="136" t="s">
        <v>47</v>
      </c>
      <c r="D149" s="29">
        <v>54160728474</v>
      </c>
      <c r="E149" s="30">
        <f>(D149/$D$153)</f>
        <v>0.53556556973960701</v>
      </c>
      <c r="F149" s="60">
        <v>102.07</v>
      </c>
      <c r="G149" s="60">
        <v>102.07</v>
      </c>
      <c r="H149" s="32">
        <v>645</v>
      </c>
      <c r="I149" s="50">
        <v>8.3900000000000002E-2</v>
      </c>
      <c r="J149" s="50">
        <v>8.3900000000000002E-2</v>
      </c>
      <c r="K149" s="29">
        <v>54160728474</v>
      </c>
      <c r="L149" s="30">
        <f>(K149/$K$153)</f>
        <v>0.5352888162384094</v>
      </c>
      <c r="M149" s="60">
        <v>102.07</v>
      </c>
      <c r="N149" s="60">
        <v>102.07</v>
      </c>
      <c r="O149" s="32">
        <v>645</v>
      </c>
      <c r="P149" s="50">
        <v>8.3900000000000002E-2</v>
      </c>
      <c r="Q149" s="50">
        <v>8.3900000000000002E-2</v>
      </c>
      <c r="R149" s="57">
        <f t="shared" si="90"/>
        <v>0</v>
      </c>
      <c r="S149" s="57">
        <f t="shared" si="91"/>
        <v>0</v>
      </c>
      <c r="T149" s="57">
        <f t="shared" si="91"/>
        <v>0</v>
      </c>
      <c r="U149" s="57">
        <f t="shared" si="92"/>
        <v>0</v>
      </c>
      <c r="V149" s="58">
        <f t="shared" si="92"/>
        <v>0</v>
      </c>
    </row>
    <row r="150" spans="1:22" ht="15.75" customHeight="1">
      <c r="A150" s="138">
        <v>130</v>
      </c>
      <c r="B150" s="135" t="s">
        <v>192</v>
      </c>
      <c r="C150" s="136" t="s">
        <v>145</v>
      </c>
      <c r="D150" s="29">
        <v>2837364378.79</v>
      </c>
      <c r="E150" s="30">
        <f>(D150/$D$153)</f>
        <v>2.8057131299757499E-2</v>
      </c>
      <c r="F150" s="60">
        <v>197.35</v>
      </c>
      <c r="G150" s="60">
        <v>197.35</v>
      </c>
      <c r="H150" s="32">
        <v>3040</v>
      </c>
      <c r="I150" s="50">
        <v>0.2600093191262427</v>
      </c>
      <c r="J150" s="50">
        <v>5.4543919466724523E-2</v>
      </c>
      <c r="K150" s="29">
        <v>2842857609.4057155</v>
      </c>
      <c r="L150" s="30">
        <f>(K150/$K$153)</f>
        <v>2.8096924235493988E-2</v>
      </c>
      <c r="M150" s="60">
        <v>206</v>
      </c>
      <c r="N150" s="60">
        <v>206</v>
      </c>
      <c r="O150" s="32">
        <v>3040</v>
      </c>
      <c r="P150" s="50">
        <v>0.12822485210450213</v>
      </c>
      <c r="Q150" s="50">
        <v>5.1509140419245376E-2</v>
      </c>
      <c r="R150" s="57">
        <f t="shared" si="90"/>
        <v>1.9360328397645223E-3</v>
      </c>
      <c r="S150" s="57">
        <f t="shared" si="91"/>
        <v>4.3830757537370188E-2</v>
      </c>
      <c r="T150" s="57">
        <f t="shared" si="91"/>
        <v>0</v>
      </c>
      <c r="U150" s="57">
        <f t="shared" si="92"/>
        <v>-0.13178446702174057</v>
      </c>
      <c r="V150" s="58">
        <f t="shared" si="92"/>
        <v>-3.034779047479147E-3</v>
      </c>
    </row>
    <row r="151" spans="1:22">
      <c r="A151" s="138">
        <v>131</v>
      </c>
      <c r="B151" s="135" t="s">
        <v>193</v>
      </c>
      <c r="C151" s="136" t="s">
        <v>145</v>
      </c>
      <c r="D151" s="29">
        <v>10815567032.85</v>
      </c>
      <c r="E151" s="30">
        <f>(D151/$D$153)</f>
        <v>0.10694917670440678</v>
      </c>
      <c r="F151" s="60">
        <v>36.6</v>
      </c>
      <c r="G151" s="60">
        <v>36.6</v>
      </c>
      <c r="H151" s="32">
        <v>5264</v>
      </c>
      <c r="I151" s="50">
        <v>7.7503833903506542E-2</v>
      </c>
      <c r="J151" s="50">
        <v>5.7663228689430912E-2</v>
      </c>
      <c r="K151" s="29">
        <v>10841766819.23</v>
      </c>
      <c r="L151" s="30">
        <f>(K151/$K$153)</f>
        <v>0.10715285207776454</v>
      </c>
      <c r="M151" s="60">
        <v>56.9</v>
      </c>
      <c r="N151" s="60">
        <v>56.9</v>
      </c>
      <c r="O151" s="32">
        <v>5264</v>
      </c>
      <c r="P151" s="50">
        <v>0.12038258575197937</v>
      </c>
      <c r="Q151" s="50">
        <v>0.11324128230935696</v>
      </c>
      <c r="R151" s="57">
        <f t="shared" si="90"/>
        <v>2.422414497586936E-3</v>
      </c>
      <c r="S151" s="57">
        <f t="shared" si="91"/>
        <v>0.55464480874316935</v>
      </c>
      <c r="T151" s="57">
        <f t="shared" si="91"/>
        <v>0</v>
      </c>
      <c r="U151" s="57">
        <f t="shared" si="92"/>
        <v>4.2878751848472826E-2</v>
      </c>
      <c r="V151" s="58">
        <f t="shared" si="92"/>
        <v>5.5578053619926043E-2</v>
      </c>
    </row>
    <row r="152" spans="1:22">
      <c r="A152" s="138">
        <v>132</v>
      </c>
      <c r="B152" s="135" t="s">
        <v>194</v>
      </c>
      <c r="C152" s="136" t="s">
        <v>49</v>
      </c>
      <c r="D152" s="29">
        <v>31012523846.970001</v>
      </c>
      <c r="E152" s="30">
        <f>(D152/$D$153)</f>
        <v>0.30666574234020777</v>
      </c>
      <c r="F152" s="60">
        <v>6.3</v>
      </c>
      <c r="G152" s="60">
        <v>6.3</v>
      </c>
      <c r="H152" s="32">
        <v>208048</v>
      </c>
      <c r="I152" s="50">
        <v>-6.6699999999999995E-2</v>
      </c>
      <c r="J152" s="50">
        <v>0.26</v>
      </c>
      <c r="K152" s="29">
        <v>31025333118.669998</v>
      </c>
      <c r="L152" s="30">
        <f>(K152/$K$153)</f>
        <v>0.30663387119077734</v>
      </c>
      <c r="M152" s="60">
        <v>5.9</v>
      </c>
      <c r="N152" s="60">
        <v>5.9</v>
      </c>
      <c r="O152" s="32">
        <v>208137</v>
      </c>
      <c r="P152" s="50">
        <v>-6.3500000000000001E-2</v>
      </c>
      <c r="Q152" s="50">
        <v>0.18</v>
      </c>
      <c r="R152" s="57">
        <f t="shared" si="90"/>
        <v>4.1303544862081402E-4</v>
      </c>
      <c r="S152" s="57">
        <f t="shared" si="91"/>
        <v>-6.3492063492063405E-2</v>
      </c>
      <c r="T152" s="57">
        <f t="shared" si="91"/>
        <v>4.277858955625625E-4</v>
      </c>
      <c r="U152" s="57">
        <f t="shared" si="92"/>
        <v>3.1999999999999945E-3</v>
      </c>
      <c r="V152" s="58">
        <f t="shared" si="92"/>
        <v>-8.0000000000000016E-2</v>
      </c>
    </row>
    <row r="153" spans="1:22">
      <c r="A153" s="36"/>
      <c r="B153" s="73"/>
      <c r="C153" s="38" t="s">
        <v>53</v>
      </c>
      <c r="D153" s="39">
        <f>SUM(D148:D152)</f>
        <v>101128099964.18001</v>
      </c>
      <c r="E153" s="40">
        <f>(D153/$D$216)</f>
        <v>2.3094710796444765E-2</v>
      </c>
      <c r="F153" s="41"/>
      <c r="G153" s="74"/>
      <c r="H153" s="43">
        <f>SUM(H148:H152)</f>
        <v>217005</v>
      </c>
      <c r="I153" s="81"/>
      <c r="J153" s="81"/>
      <c r="K153" s="39">
        <f>SUM(K148:K152)</f>
        <v>101180384926.77501</v>
      </c>
      <c r="L153" s="40">
        <f>(K153/$K$216)</f>
        <v>2.2621797071105825E-2</v>
      </c>
      <c r="M153" s="41"/>
      <c r="N153" s="74"/>
      <c r="O153" s="43">
        <f>SUM(O148:O152)</f>
        <v>217094</v>
      </c>
      <c r="P153" s="81"/>
      <c r="Q153" s="81"/>
      <c r="R153" s="57">
        <f t="shared" si="90"/>
        <v>5.1701715560285193E-4</v>
      </c>
      <c r="S153" s="57" t="e">
        <f t="shared" si="91"/>
        <v>#DIV/0!</v>
      </c>
      <c r="T153" s="57">
        <f t="shared" si="91"/>
        <v>4.1012879887560196E-4</v>
      </c>
      <c r="U153" s="57">
        <f t="shared" si="92"/>
        <v>0</v>
      </c>
      <c r="V153" s="58">
        <f t="shared" si="92"/>
        <v>0</v>
      </c>
    </row>
    <row r="154" spans="1:22" ht="5.25" customHeight="1">
      <c r="A154" s="36"/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</row>
    <row r="155" spans="1:22" ht="15" customHeight="1">
      <c r="A155" s="179" t="s">
        <v>195</v>
      </c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</row>
    <row r="156" spans="1:22">
      <c r="A156" s="139">
        <v>133</v>
      </c>
      <c r="B156" s="135" t="s">
        <v>196</v>
      </c>
      <c r="C156" s="136" t="s">
        <v>57</v>
      </c>
      <c r="D156" s="33">
        <v>269921007.68000001</v>
      </c>
      <c r="E156" s="30">
        <f t="shared" ref="E156:E183" si="93">(D156/$D$184)</f>
        <v>4.6700013516748854E-3</v>
      </c>
      <c r="F156" s="33">
        <v>6.0602999999999998</v>
      </c>
      <c r="G156" s="33">
        <v>6.141</v>
      </c>
      <c r="H156" s="34">
        <v>11836</v>
      </c>
      <c r="I156" s="51">
        <v>1.2707E-2</v>
      </c>
      <c r="J156" s="51">
        <v>6.0548999999999999E-2</v>
      </c>
      <c r="K156" s="33">
        <v>266427757.58000001</v>
      </c>
      <c r="L156" s="54">
        <f t="shared" ref="L156:L182" si="94">(K156/$K$184)</f>
        <v>4.6474798867898008E-3</v>
      </c>
      <c r="M156" s="33">
        <v>5.9897</v>
      </c>
      <c r="N156" s="33">
        <v>6.0547000000000004</v>
      </c>
      <c r="O156" s="34">
        <v>11837</v>
      </c>
      <c r="P156" s="51">
        <v>-1.2357E-2</v>
      </c>
      <c r="Q156" s="51">
        <v>4.8191999999999999E-2</v>
      </c>
      <c r="R156" s="57">
        <f>((K156-D156)/D156)</f>
        <v>-1.294174962528798E-2</v>
      </c>
      <c r="S156" s="57">
        <f>((N156-G156)/G156)</f>
        <v>-1.4053085816642176E-2</v>
      </c>
      <c r="T156" s="57">
        <f>((O156-H156)/H156)</f>
        <v>8.448800270361608E-5</v>
      </c>
      <c r="U156" s="57">
        <f>P156-I156</f>
        <v>-2.5063999999999999E-2</v>
      </c>
      <c r="V156" s="58">
        <f>Q156-J156</f>
        <v>-1.2357E-2</v>
      </c>
    </row>
    <row r="157" spans="1:22">
      <c r="A157" s="139">
        <v>134</v>
      </c>
      <c r="B157" s="135" t="s">
        <v>197</v>
      </c>
      <c r="C157" s="135" t="s">
        <v>198</v>
      </c>
      <c r="D157" s="33">
        <v>712003750.49749184</v>
      </c>
      <c r="E157" s="30">
        <f t="shared" si="93"/>
        <v>1.2318635388183043E-2</v>
      </c>
      <c r="F157" s="33">
        <v>1632.3560086144832</v>
      </c>
      <c r="G157" s="33">
        <v>1652.0353880764428</v>
      </c>
      <c r="H157" s="34">
        <v>174</v>
      </c>
      <c r="I157" s="51">
        <v>-1.4614526843117901E-2</v>
      </c>
      <c r="J157" s="51">
        <v>0.45937417793205398</v>
      </c>
      <c r="K157" s="33">
        <v>704599306.86569548</v>
      </c>
      <c r="L157" s="54">
        <f t="shared" si="94"/>
        <v>1.2290803092921316E-2</v>
      </c>
      <c r="M157" s="33">
        <v>1615.3512066531134</v>
      </c>
      <c r="N157" s="33">
        <v>1634.7382676077214</v>
      </c>
      <c r="O157" s="34">
        <v>173</v>
      </c>
      <c r="P157" s="51">
        <v>-1.0449463826625902E-2</v>
      </c>
      <c r="Q157" s="51">
        <v>0.44412450025024108</v>
      </c>
      <c r="R157" s="57">
        <f>((K157-D157)/D157)</f>
        <v>-1.0399444703237478E-2</v>
      </c>
      <c r="S157" s="57">
        <f>((N157-G157)/G157)</f>
        <v>-1.0470187620412578E-2</v>
      </c>
      <c r="T157" s="57">
        <f>((O157-H157)/H157)</f>
        <v>-5.7471264367816091E-3</v>
      </c>
      <c r="U157" s="57">
        <f>P157-I157</f>
        <v>4.1650630164919988E-3</v>
      </c>
      <c r="V157" s="58">
        <f>Q157-J157</f>
        <v>-1.5249677681812901E-2</v>
      </c>
    </row>
    <row r="158" spans="1:22">
      <c r="A158" s="139">
        <v>135</v>
      </c>
      <c r="B158" s="135" t="s">
        <v>199</v>
      </c>
      <c r="C158" s="136" t="s">
        <v>23</v>
      </c>
      <c r="D158" s="33">
        <v>7037114133.5100002</v>
      </c>
      <c r="E158" s="30">
        <f t="shared" si="93"/>
        <v>0.12175166652586995</v>
      </c>
      <c r="F158" s="33">
        <v>823.83510000000001</v>
      </c>
      <c r="G158" s="33">
        <v>848.67439999999999</v>
      </c>
      <c r="H158" s="34">
        <v>21389</v>
      </c>
      <c r="I158" s="51">
        <v>-0.1603</v>
      </c>
      <c r="J158" s="51">
        <v>0.2253</v>
      </c>
      <c r="K158" s="33">
        <v>7018029946.1899996</v>
      </c>
      <c r="L158" s="54">
        <f t="shared" si="94"/>
        <v>0.12242025123832269</v>
      </c>
      <c r="M158" s="33">
        <v>821.33370000000002</v>
      </c>
      <c r="N158" s="33">
        <v>846.09749999999997</v>
      </c>
      <c r="O158" s="34">
        <v>21394</v>
      </c>
      <c r="P158" s="51">
        <v>-0.1583</v>
      </c>
      <c r="Q158" s="51">
        <v>0.184</v>
      </c>
      <c r="R158" s="57">
        <f t="shared" ref="R158:R183" si="95">((K158-D158)/D158)</f>
        <v>-2.7119337498199367E-3</v>
      </c>
      <c r="S158" s="57">
        <f t="shared" ref="S158:T183" si="96">((N158-G158)/G158)</f>
        <v>-3.0363823864606064E-3</v>
      </c>
      <c r="T158" s="57">
        <f t="shared" si="96"/>
        <v>2.337650194024966E-4</v>
      </c>
      <c r="U158" s="57">
        <f t="shared" ref="U158:V183" si="97">P158-I158</f>
        <v>2.0000000000000018E-3</v>
      </c>
      <c r="V158" s="58">
        <f t="shared" si="97"/>
        <v>-4.1300000000000003E-2</v>
      </c>
    </row>
    <row r="159" spans="1:22">
      <c r="A159" s="139">
        <v>136</v>
      </c>
      <c r="B159" s="135" t="s">
        <v>200</v>
      </c>
      <c r="C159" s="136" t="s">
        <v>112</v>
      </c>
      <c r="D159" s="33">
        <v>4015967984.6999998</v>
      </c>
      <c r="E159" s="30">
        <f t="shared" si="93"/>
        <v>6.9481720144829243E-2</v>
      </c>
      <c r="F159" s="33">
        <v>23.819900000000001</v>
      </c>
      <c r="G159" s="33">
        <v>24.117899999999999</v>
      </c>
      <c r="H159" s="32">
        <v>6157</v>
      </c>
      <c r="I159" s="50">
        <v>1E-3</v>
      </c>
      <c r="J159" s="50">
        <v>0.1203</v>
      </c>
      <c r="K159" s="33">
        <v>3971999311.4200001</v>
      </c>
      <c r="L159" s="54">
        <f t="shared" si="94"/>
        <v>6.9286275115776882E-2</v>
      </c>
      <c r="M159" s="33">
        <v>23.453600000000002</v>
      </c>
      <c r="N159" s="33">
        <v>23.743400000000001</v>
      </c>
      <c r="O159" s="32">
        <v>6157</v>
      </c>
      <c r="P159" s="50">
        <v>-4.8999999999999998E-3</v>
      </c>
      <c r="Q159" s="50">
        <v>0.10299999999999999</v>
      </c>
      <c r="R159" s="57">
        <f t="shared" si="95"/>
        <v>-1.0948462101169931E-2</v>
      </c>
      <c r="S159" s="57">
        <f t="shared" si="96"/>
        <v>-1.5527885927049935E-2</v>
      </c>
      <c r="T159" s="57">
        <f t="shared" si="96"/>
        <v>0</v>
      </c>
      <c r="U159" s="57">
        <f t="shared" si="97"/>
        <v>-5.8999999999999999E-3</v>
      </c>
      <c r="V159" s="58">
        <f t="shared" si="97"/>
        <v>-1.730000000000001E-2</v>
      </c>
    </row>
    <row r="160" spans="1:22">
      <c r="A160" s="139">
        <v>137</v>
      </c>
      <c r="B160" s="135" t="s">
        <v>201</v>
      </c>
      <c r="C160" s="136" t="s">
        <v>121</v>
      </c>
      <c r="D160" s="29">
        <v>1995501581.1836014</v>
      </c>
      <c r="E160" s="30">
        <f t="shared" si="93"/>
        <v>3.4524897344947514E-2</v>
      </c>
      <c r="F160" s="33">
        <v>4.7531999999999996</v>
      </c>
      <c r="G160" s="33">
        <v>4.8601999999999999</v>
      </c>
      <c r="H160" s="32">
        <v>2741</v>
      </c>
      <c r="I160" s="50">
        <v>-0.44359999999999999</v>
      </c>
      <c r="J160" s="50">
        <v>0.2591</v>
      </c>
      <c r="K160" s="29">
        <v>1977725231.3396208</v>
      </c>
      <c r="L160" s="54">
        <f t="shared" si="94"/>
        <v>3.4498801167471033E-2</v>
      </c>
      <c r="M160" s="33">
        <v>4.7114000000000003</v>
      </c>
      <c r="N160" s="33">
        <v>4.8163</v>
      </c>
      <c r="O160" s="32">
        <v>2741</v>
      </c>
      <c r="P160" s="50">
        <v>-0.47099999999999997</v>
      </c>
      <c r="Q160" s="50">
        <v>0.17960000000000001</v>
      </c>
      <c r="R160" s="57">
        <f t="shared" si="95"/>
        <v>-8.9082113547796736E-3</v>
      </c>
      <c r="S160" s="57">
        <f t="shared" si="96"/>
        <v>-9.0325501008188605E-3</v>
      </c>
      <c r="T160" s="57">
        <f t="shared" si="96"/>
        <v>0</v>
      </c>
      <c r="U160" s="57">
        <f t="shared" si="97"/>
        <v>-2.739999999999998E-2</v>
      </c>
      <c r="V160" s="58">
        <f t="shared" si="97"/>
        <v>-7.9499999999999987E-2</v>
      </c>
    </row>
    <row r="161" spans="1:22">
      <c r="A161" s="139">
        <v>138</v>
      </c>
      <c r="B161" s="135" t="s">
        <v>202</v>
      </c>
      <c r="C161" s="136" t="s">
        <v>65</v>
      </c>
      <c r="D161" s="33">
        <v>4039899628.9818802</v>
      </c>
      <c r="E161" s="30">
        <f t="shared" si="93"/>
        <v>6.9895770211197847E-2</v>
      </c>
      <c r="F161" s="33">
        <v>8680.8609843118993</v>
      </c>
      <c r="G161" s="33">
        <v>8762.5657328155794</v>
      </c>
      <c r="H161" s="32">
        <v>999</v>
      </c>
      <c r="I161" s="50">
        <v>0.63502377819742095</v>
      </c>
      <c r="J161" s="50">
        <v>0.84147877696267726</v>
      </c>
      <c r="K161" s="33">
        <v>3840631715.9860802</v>
      </c>
      <c r="L161" s="54">
        <f t="shared" si="94"/>
        <v>6.6994741143864209E-2</v>
      </c>
      <c r="M161" s="33">
        <v>8586.5326473697205</v>
      </c>
      <c r="N161" s="33">
        <v>8669.5816883710995</v>
      </c>
      <c r="O161" s="32">
        <v>998</v>
      </c>
      <c r="P161" s="50">
        <v>-0.56659690860021283</v>
      </c>
      <c r="Q161" s="50">
        <v>0.68396349192146033</v>
      </c>
      <c r="R161" s="57">
        <f t="shared" si="95"/>
        <v>-4.9324966285367526E-2</v>
      </c>
      <c r="S161" s="57">
        <f t="shared" si="96"/>
        <v>-1.0611508920983847E-2</v>
      </c>
      <c r="T161" s="57">
        <f t="shared" si="96"/>
        <v>-1.001001001001001E-3</v>
      </c>
      <c r="U161" s="57">
        <f t="shared" si="97"/>
        <v>-1.2016206867976338</v>
      </c>
      <c r="V161" s="58">
        <f t="shared" si="97"/>
        <v>-0.15751528504121692</v>
      </c>
    </row>
    <row r="162" spans="1:22">
      <c r="A162" s="139">
        <v>139</v>
      </c>
      <c r="B162" s="135" t="s">
        <v>203</v>
      </c>
      <c r="C162" s="136" t="s">
        <v>67</v>
      </c>
      <c r="D162" s="33">
        <v>885654994.71000004</v>
      </c>
      <c r="E162" s="30">
        <f t="shared" si="93"/>
        <v>1.5323038610305893E-2</v>
      </c>
      <c r="F162" s="33">
        <v>220.28</v>
      </c>
      <c r="G162" s="33">
        <v>222.24</v>
      </c>
      <c r="H162" s="32">
        <v>687</v>
      </c>
      <c r="I162" s="50">
        <v>-1.06E-2</v>
      </c>
      <c r="J162" s="50">
        <v>6.9900000000000004E-2</v>
      </c>
      <c r="K162" s="33">
        <v>872327255.73000002</v>
      </c>
      <c r="L162" s="54">
        <f t="shared" si="94"/>
        <v>1.5216595344748906E-2</v>
      </c>
      <c r="M162" s="33">
        <v>214.26</v>
      </c>
      <c r="N162" s="33">
        <v>216.1</v>
      </c>
      <c r="O162" s="32">
        <v>688</v>
      </c>
      <c r="P162" s="50">
        <v>-1.9400000000000001E-2</v>
      </c>
      <c r="Q162" s="50">
        <v>4.9099999999999998E-2</v>
      </c>
      <c r="R162" s="57">
        <f t="shared" si="95"/>
        <v>-1.5048454600952225E-2</v>
      </c>
      <c r="S162" s="57">
        <f t="shared" si="96"/>
        <v>-2.7627789776817919E-2</v>
      </c>
      <c r="T162" s="57">
        <f t="shared" si="96"/>
        <v>1.455604075691412E-3</v>
      </c>
      <c r="U162" s="57">
        <f t="shared" si="97"/>
        <v>-8.8000000000000005E-3</v>
      </c>
      <c r="V162" s="58">
        <f t="shared" si="97"/>
        <v>-2.0800000000000006E-2</v>
      </c>
    </row>
    <row r="163" spans="1:22">
      <c r="A163" s="139">
        <v>140</v>
      </c>
      <c r="B163" s="135" t="s">
        <v>204</v>
      </c>
      <c r="C163" s="136" t="s">
        <v>69</v>
      </c>
      <c r="D163" s="33">
        <v>3734808.11</v>
      </c>
      <c r="E163" s="30">
        <f t="shared" si="93"/>
        <v>6.4617271074446535E-5</v>
      </c>
      <c r="F163" s="33">
        <v>102.747</v>
      </c>
      <c r="G163" s="33">
        <v>102.99</v>
      </c>
      <c r="H163" s="32">
        <v>0</v>
      </c>
      <c r="I163" s="50">
        <v>0</v>
      </c>
      <c r="J163" s="50">
        <v>0</v>
      </c>
      <c r="K163" s="33">
        <v>3734808.11</v>
      </c>
      <c r="L163" s="54">
        <f t="shared" si="94"/>
        <v>6.5148788286567796E-5</v>
      </c>
      <c r="M163" s="33">
        <v>102.747</v>
      </c>
      <c r="N163" s="33">
        <v>102.99</v>
      </c>
      <c r="O163" s="32">
        <v>0</v>
      </c>
      <c r="P163" s="50">
        <v>0</v>
      </c>
      <c r="Q163" s="50">
        <v>0</v>
      </c>
      <c r="R163" s="57">
        <f t="shared" si="95"/>
        <v>0</v>
      </c>
      <c r="S163" s="57">
        <f t="shared" si="96"/>
        <v>0</v>
      </c>
      <c r="T163" s="57" t="e">
        <f t="shared" si="96"/>
        <v>#DIV/0!</v>
      </c>
      <c r="U163" s="57">
        <f t="shared" si="97"/>
        <v>0</v>
      </c>
      <c r="V163" s="58">
        <f t="shared" si="97"/>
        <v>0</v>
      </c>
    </row>
    <row r="164" spans="1:22">
      <c r="A164" s="139">
        <v>141</v>
      </c>
      <c r="B164" s="135" t="s">
        <v>205</v>
      </c>
      <c r="C164" s="136" t="s">
        <v>126</v>
      </c>
      <c r="D164" s="33">
        <v>229564789.25</v>
      </c>
      <c r="E164" s="30">
        <f t="shared" si="93"/>
        <v>3.9717837648466066E-3</v>
      </c>
      <c r="F164" s="33">
        <v>1.6014999999999999</v>
      </c>
      <c r="G164" s="33">
        <v>1.6174999999999999</v>
      </c>
      <c r="H164" s="32">
        <v>379</v>
      </c>
      <c r="I164" s="50">
        <v>-6.9448750542568938E-3</v>
      </c>
      <c r="J164" s="50">
        <v>9.3995491495320715E-2</v>
      </c>
      <c r="K164" s="33">
        <v>227262919.41</v>
      </c>
      <c r="L164" s="54">
        <f t="shared" si="94"/>
        <v>3.9643010794547648E-3</v>
      </c>
      <c r="M164" s="33">
        <v>1.5852999999999999</v>
      </c>
      <c r="N164" s="33">
        <v>1.6008</v>
      </c>
      <c r="O164" s="32">
        <v>382</v>
      </c>
      <c r="P164" s="50">
        <v>-1.0115516703090854E-2</v>
      </c>
      <c r="Q164" s="50">
        <v>8.2929161827993703E-2</v>
      </c>
      <c r="R164" s="57">
        <f t="shared" si="95"/>
        <v>-1.0027103230945526E-2</v>
      </c>
      <c r="S164" s="57">
        <f t="shared" si="96"/>
        <v>-1.0324574961360085E-2</v>
      </c>
      <c r="T164" s="57">
        <f t="shared" si="96"/>
        <v>7.9155672823219003E-3</v>
      </c>
      <c r="U164" s="57">
        <f t="shared" si="97"/>
        <v>-3.1706416488339606E-3</v>
      </c>
      <c r="V164" s="58">
        <f t="shared" si="97"/>
        <v>-1.1066329667327013E-2</v>
      </c>
    </row>
    <row r="165" spans="1:22">
      <c r="A165" s="139">
        <v>142</v>
      </c>
      <c r="B165" s="135" t="s">
        <v>206</v>
      </c>
      <c r="C165" s="136" t="s">
        <v>29</v>
      </c>
      <c r="D165" s="44">
        <v>130414086.06999999</v>
      </c>
      <c r="E165" s="30">
        <f t="shared" si="93"/>
        <v>2.2563414513714843E-3</v>
      </c>
      <c r="F165" s="33">
        <v>165.66849999999999</v>
      </c>
      <c r="G165" s="33">
        <v>166.49180000000001</v>
      </c>
      <c r="H165" s="32">
        <v>106</v>
      </c>
      <c r="I165" s="50">
        <v>-2.6440000000000001E-3</v>
      </c>
      <c r="J165" s="50">
        <v>3.6499999999999998E-2</v>
      </c>
      <c r="K165" s="44">
        <v>130212917.98</v>
      </c>
      <c r="L165" s="54">
        <f t="shared" si="94"/>
        <v>2.2713921507617261E-3</v>
      </c>
      <c r="M165" s="33">
        <v>165.09800000000001</v>
      </c>
      <c r="N165" s="33">
        <v>165.9092</v>
      </c>
      <c r="O165" s="32">
        <v>106</v>
      </c>
      <c r="P165" s="50">
        <v>2.4510000000000001E-3</v>
      </c>
      <c r="Q165" s="50">
        <v>3.2899999999999999E-2</v>
      </c>
      <c r="R165" s="57">
        <f t="shared" si="95"/>
        <v>-1.5425334491245934E-3</v>
      </c>
      <c r="S165" s="57">
        <f t="shared" si="96"/>
        <v>-3.4992714355903025E-3</v>
      </c>
      <c r="T165" s="57">
        <f t="shared" si="96"/>
        <v>0</v>
      </c>
      <c r="U165" s="57">
        <f t="shared" si="97"/>
        <v>5.0950000000000006E-3</v>
      </c>
      <c r="V165" s="58">
        <f t="shared" si="97"/>
        <v>-3.599999999999999E-3</v>
      </c>
    </row>
    <row r="166" spans="1:22">
      <c r="A166" s="139">
        <v>143</v>
      </c>
      <c r="B166" s="135" t="s">
        <v>207</v>
      </c>
      <c r="C166" s="136" t="s">
        <v>72</v>
      </c>
      <c r="D166" s="44">
        <v>253484181.83000001</v>
      </c>
      <c r="E166" s="30">
        <f t="shared" si="93"/>
        <v>4.3856218600728603E-3</v>
      </c>
      <c r="F166" s="33">
        <v>128.36000000000001</v>
      </c>
      <c r="G166" s="33">
        <v>128.36000000000001</v>
      </c>
      <c r="H166" s="32">
        <v>34</v>
      </c>
      <c r="I166" s="50">
        <v>-2.3999999999999998E-3</v>
      </c>
      <c r="J166" s="50">
        <v>7.9799999999999996E-2</v>
      </c>
      <c r="K166" s="44">
        <v>253379775.08000001</v>
      </c>
      <c r="L166" s="54">
        <f t="shared" si="94"/>
        <v>4.4198750877150386E-3</v>
      </c>
      <c r="M166" s="33">
        <v>128.24</v>
      </c>
      <c r="N166" s="33">
        <v>128.97</v>
      </c>
      <c r="O166" s="32">
        <v>34</v>
      </c>
      <c r="P166" s="50">
        <v>2.0999999999999999E-3</v>
      </c>
      <c r="Q166" s="50">
        <v>8.1900000000000001E-2</v>
      </c>
      <c r="R166" s="57">
        <f t="shared" si="95"/>
        <v>-4.1188664809869963E-4</v>
      </c>
      <c r="S166" s="57">
        <f t="shared" si="96"/>
        <v>4.7522592708007568E-3</v>
      </c>
      <c r="T166" s="57">
        <f t="shared" si="96"/>
        <v>0</v>
      </c>
      <c r="U166" s="57">
        <f t="shared" si="97"/>
        <v>4.4999999999999997E-3</v>
      </c>
      <c r="V166" s="58">
        <f t="shared" si="97"/>
        <v>2.1000000000000046E-3</v>
      </c>
    </row>
    <row r="167" spans="1:22" ht="15.75" customHeight="1">
      <c r="A167" s="139">
        <v>144</v>
      </c>
      <c r="B167" s="135" t="s">
        <v>208</v>
      </c>
      <c r="C167" s="136" t="s">
        <v>75</v>
      </c>
      <c r="D167" s="29">
        <v>336437598.10000002</v>
      </c>
      <c r="E167" s="30">
        <f t="shared" si="93"/>
        <v>5.8208290321141555E-3</v>
      </c>
      <c r="F167" s="33">
        <v>1.3476999999999999</v>
      </c>
      <c r="G167" s="33">
        <v>1.3606</v>
      </c>
      <c r="H167" s="32">
        <v>101</v>
      </c>
      <c r="I167" s="50">
        <v>6.9999999999999999E-4</v>
      </c>
      <c r="J167" s="50">
        <v>0.41270000000000001</v>
      </c>
      <c r="K167" s="29">
        <v>336437598.10000002</v>
      </c>
      <c r="L167" s="54">
        <f t="shared" si="94"/>
        <v>5.8687089683593643E-3</v>
      </c>
      <c r="M167" s="33">
        <v>1.3454999999999999</v>
      </c>
      <c r="N167" s="33">
        <v>1.3584000000000001</v>
      </c>
      <c r="O167" s="32">
        <v>102</v>
      </c>
      <c r="P167" s="50">
        <v>-2E-3</v>
      </c>
      <c r="Q167" s="50">
        <v>0.34960000000000002</v>
      </c>
      <c r="R167" s="57">
        <f t="shared" si="95"/>
        <v>0</v>
      </c>
      <c r="S167" s="57">
        <f t="shared" si="96"/>
        <v>-1.6169337057180507E-3</v>
      </c>
      <c r="T167" s="57">
        <f t="shared" si="96"/>
        <v>9.9009900990099011E-3</v>
      </c>
      <c r="U167" s="57">
        <f t="shared" si="97"/>
        <v>-2.7000000000000001E-3</v>
      </c>
      <c r="V167" s="58">
        <f t="shared" si="97"/>
        <v>-6.3099999999999989E-2</v>
      </c>
    </row>
    <row r="168" spans="1:22">
      <c r="A168" s="139">
        <v>145</v>
      </c>
      <c r="B168" s="135" t="s">
        <v>209</v>
      </c>
      <c r="C168" s="136" t="s">
        <v>31</v>
      </c>
      <c r="D168" s="33">
        <v>10003660835.639999</v>
      </c>
      <c r="E168" s="30">
        <f t="shared" si="93"/>
        <v>0.17307696805696776</v>
      </c>
      <c r="F168" s="33">
        <v>344.31</v>
      </c>
      <c r="G168" s="33">
        <v>346.98</v>
      </c>
      <c r="H168" s="32">
        <v>5478</v>
      </c>
      <c r="I168" s="50">
        <v>1E-4</v>
      </c>
      <c r="J168" s="50">
        <v>6.2300000000000001E-2</v>
      </c>
      <c r="K168" s="33">
        <v>9947419138.1900005</v>
      </c>
      <c r="L168" s="54">
        <f t="shared" si="94"/>
        <v>0.17351957164720119</v>
      </c>
      <c r="M168" s="33">
        <v>342.43</v>
      </c>
      <c r="N168" s="33">
        <v>345.05</v>
      </c>
      <c r="O168" s="32">
        <v>5477</v>
      </c>
      <c r="P168" s="50">
        <v>-5.4999999999999997E-3</v>
      </c>
      <c r="Q168" s="50">
        <v>5.6500000000000002E-2</v>
      </c>
      <c r="R168" s="57">
        <f t="shared" si="95"/>
        <v>-5.6221115823546115E-3</v>
      </c>
      <c r="S168" s="57">
        <f t="shared" si="96"/>
        <v>-5.5622802467001171E-3</v>
      </c>
      <c r="T168" s="57">
        <f t="shared" si="96"/>
        <v>-1.8254837531945966E-4</v>
      </c>
      <c r="U168" s="57">
        <f t="shared" si="97"/>
        <v>-5.5999999999999999E-3</v>
      </c>
      <c r="V168" s="58">
        <f t="shared" si="97"/>
        <v>-5.7999999999999996E-3</v>
      </c>
    </row>
    <row r="169" spans="1:22">
      <c r="A169" s="139">
        <v>146</v>
      </c>
      <c r="B169" s="135" t="s">
        <v>210</v>
      </c>
      <c r="C169" s="136" t="s">
        <v>80</v>
      </c>
      <c r="D169" s="33">
        <v>3497062667.4899998</v>
      </c>
      <c r="E169" s="30">
        <f t="shared" si="93"/>
        <v>6.0503950857472136E-2</v>
      </c>
      <c r="F169" s="33">
        <v>2.4506999999999999</v>
      </c>
      <c r="G169" s="33">
        <v>2.4933000000000001</v>
      </c>
      <c r="H169" s="32">
        <v>10305</v>
      </c>
      <c r="I169" s="50">
        <v>-3.5000000000000001E-3</v>
      </c>
      <c r="J169" s="50">
        <v>5.6899999999999999E-2</v>
      </c>
      <c r="K169" s="33">
        <v>3520267208.73</v>
      </c>
      <c r="L169" s="54">
        <f t="shared" si="94"/>
        <v>6.1406405989007491E-2</v>
      </c>
      <c r="M169" s="33">
        <v>2.4662000000000002</v>
      </c>
      <c r="N169" s="33">
        <v>2.5104000000000002</v>
      </c>
      <c r="O169" s="32">
        <v>10305</v>
      </c>
      <c r="P169" s="50">
        <v>-3.0000000000000001E-3</v>
      </c>
      <c r="Q169" s="50">
        <v>6.3899999999999998E-2</v>
      </c>
      <c r="R169" s="57">
        <f t="shared" si="95"/>
        <v>6.6354376361963214E-3</v>
      </c>
      <c r="S169" s="57">
        <f t="shared" si="96"/>
        <v>6.8583804596318593E-3</v>
      </c>
      <c r="T169" s="57">
        <f t="shared" si="96"/>
        <v>0</v>
      </c>
      <c r="U169" s="57">
        <f t="shared" si="97"/>
        <v>5.0000000000000001E-4</v>
      </c>
      <c r="V169" s="58">
        <f t="shared" si="97"/>
        <v>6.9999999999999993E-3</v>
      </c>
    </row>
    <row r="170" spans="1:22">
      <c r="A170" s="139">
        <v>147</v>
      </c>
      <c r="B170" s="135" t="s">
        <v>211</v>
      </c>
      <c r="C170" s="136" t="s">
        <v>82</v>
      </c>
      <c r="D170" s="33">
        <v>263294401.38901412</v>
      </c>
      <c r="E170" s="30">
        <f t="shared" si="93"/>
        <v>4.5553520303719319E-3</v>
      </c>
      <c r="F170" s="33">
        <v>334.56</v>
      </c>
      <c r="G170" s="33">
        <v>345.35</v>
      </c>
      <c r="H170" s="32">
        <v>40</v>
      </c>
      <c r="I170" s="50">
        <v>-2.5700000000000001E-2</v>
      </c>
      <c r="J170" s="50">
        <v>2.4E-2</v>
      </c>
      <c r="K170" s="33">
        <v>264268432.81132922</v>
      </c>
      <c r="L170" s="54">
        <f t="shared" si="94"/>
        <v>4.6098133218545343E-3</v>
      </c>
      <c r="M170" s="33">
        <v>343.850999997722</v>
      </c>
      <c r="N170" s="33">
        <v>346.78127767424598</v>
      </c>
      <c r="O170" s="32">
        <v>40</v>
      </c>
      <c r="P170" s="50">
        <v>2.7770803436519609E-2</v>
      </c>
      <c r="Q170" s="50">
        <v>2.7494397124524284E-2</v>
      </c>
      <c r="R170" s="57">
        <f t="shared" si="95"/>
        <v>3.69940043227874E-3</v>
      </c>
      <c r="S170" s="57">
        <f t="shared" si="96"/>
        <v>4.1444264492426861E-3</v>
      </c>
      <c r="T170" s="57">
        <f t="shared" si="96"/>
        <v>0</v>
      </c>
      <c r="U170" s="57">
        <f t="shared" si="97"/>
        <v>5.3470803436519609E-2</v>
      </c>
      <c r="V170" s="58">
        <f t="shared" si="97"/>
        <v>3.494397124524283E-3</v>
      </c>
    </row>
    <row r="171" spans="1:22">
      <c r="A171" s="139">
        <v>148</v>
      </c>
      <c r="B171" s="135" t="s">
        <v>212</v>
      </c>
      <c r="C171" s="135" t="s">
        <v>84</v>
      </c>
      <c r="D171" s="140">
        <v>61603732.581407815</v>
      </c>
      <c r="E171" s="30">
        <f t="shared" si="93"/>
        <v>1.065828543306484E-3</v>
      </c>
      <c r="F171" s="33">
        <v>1.2002134898667105</v>
      </c>
      <c r="G171" s="33">
        <v>1.2142734035323717</v>
      </c>
      <c r="H171" s="32">
        <v>29</v>
      </c>
      <c r="I171" s="50">
        <v>1.0773178916380377E-3</v>
      </c>
      <c r="J171" s="50">
        <v>8.2363836558675945E-3</v>
      </c>
      <c r="K171" s="140">
        <v>61670489.530653201</v>
      </c>
      <c r="L171" s="54">
        <f t="shared" si="94"/>
        <v>1.0757601321481336E-3</v>
      </c>
      <c r="M171" s="33">
        <v>1.2015293385104999</v>
      </c>
      <c r="N171" s="33">
        <v>1.21558925217616</v>
      </c>
      <c r="O171" s="32">
        <v>29</v>
      </c>
      <c r="P171" s="50">
        <v>1.07731789163804E-3</v>
      </c>
      <c r="Q171" s="50">
        <v>9.3289600675670707E-3</v>
      </c>
      <c r="R171" s="57">
        <f t="shared" si="95"/>
        <v>1.0836510459357014E-3</v>
      </c>
      <c r="S171" s="57">
        <f t="shared" si="96"/>
        <v>1.0836510459345074E-3</v>
      </c>
      <c r="T171" s="57">
        <f t="shared" si="96"/>
        <v>0</v>
      </c>
      <c r="U171" s="57">
        <f t="shared" si="97"/>
        <v>2.3852447794681098E-18</v>
      </c>
      <c r="V171" s="58">
        <f t="shared" si="97"/>
        <v>1.0925764116994762E-3</v>
      </c>
    </row>
    <row r="172" spans="1:22" ht="13.5" customHeight="1">
      <c r="A172" s="139">
        <v>149</v>
      </c>
      <c r="B172" s="135" t="s">
        <v>213</v>
      </c>
      <c r="C172" s="136" t="s">
        <v>37</v>
      </c>
      <c r="D172" s="29">
        <v>3276148094.0300002</v>
      </c>
      <c r="E172" s="30">
        <f t="shared" si="93"/>
        <v>5.6681827616564713E-2</v>
      </c>
      <c r="F172" s="33">
        <v>4.6233680000000001</v>
      </c>
      <c r="G172" s="33">
        <v>4.7487300000000001</v>
      </c>
      <c r="H172" s="32">
        <v>2356</v>
      </c>
      <c r="I172" s="50">
        <v>-3.7444418945664637E-3</v>
      </c>
      <c r="J172" s="50">
        <v>9.0600634163394478E-2</v>
      </c>
      <c r="K172" s="29">
        <v>3264083475.6100001</v>
      </c>
      <c r="L172" s="54">
        <f t="shared" si="94"/>
        <v>5.6937619561450589E-2</v>
      </c>
      <c r="M172" s="33">
        <v>4.6057079999999999</v>
      </c>
      <c r="N172" s="33">
        <v>4.7335330000000004</v>
      </c>
      <c r="O172" s="32">
        <v>2356</v>
      </c>
      <c r="P172" s="50">
        <v>-3.8197262255568187E-3</v>
      </c>
      <c r="Q172" s="50">
        <v>8.6434838319471741E-2</v>
      </c>
      <c r="R172" s="57">
        <f t="shared" si="95"/>
        <v>-3.6825619824650082E-3</v>
      </c>
      <c r="S172" s="57">
        <f t="shared" si="96"/>
        <v>-3.2002240599064767E-3</v>
      </c>
      <c r="T172" s="57">
        <f t="shared" si="96"/>
        <v>0</v>
      </c>
      <c r="U172" s="57">
        <f t="shared" si="97"/>
        <v>-7.5284330990355031E-5</v>
      </c>
      <c r="V172" s="58">
        <f t="shared" si="97"/>
        <v>-4.1657958439227372E-3</v>
      </c>
    </row>
    <row r="173" spans="1:22" ht="13.5" customHeight="1">
      <c r="A173" s="139">
        <v>150</v>
      </c>
      <c r="B173" s="135" t="s">
        <v>214</v>
      </c>
      <c r="C173" s="136" t="s">
        <v>215</v>
      </c>
      <c r="D173" s="29">
        <v>79806907.5</v>
      </c>
      <c r="E173" s="30">
        <f t="shared" si="93"/>
        <v>1.3807682814367616E-3</v>
      </c>
      <c r="F173" s="33">
        <v>2.294</v>
      </c>
      <c r="G173" s="33">
        <v>2.3050000000000002</v>
      </c>
      <c r="H173" s="32">
        <v>84</v>
      </c>
      <c r="I173" s="50">
        <v>-1E-4</v>
      </c>
      <c r="J173" s="50">
        <v>8.6699999999999999E-2</v>
      </c>
      <c r="K173" s="29">
        <v>78105182.099999994</v>
      </c>
      <c r="L173" s="54">
        <f t="shared" si="94"/>
        <v>1.3624416095414135E-3</v>
      </c>
      <c r="M173" s="33">
        <v>2.294</v>
      </c>
      <c r="N173" s="33">
        <v>2.3050000000000002</v>
      </c>
      <c r="O173" s="32">
        <v>84</v>
      </c>
      <c r="P173" s="50">
        <v>-2.0000000000000001E-4</v>
      </c>
      <c r="Q173" s="50">
        <v>8.43E-2</v>
      </c>
      <c r="R173" s="57">
        <f t="shared" si="95"/>
        <v>-2.1323033974220914E-2</v>
      </c>
      <c r="S173" s="57">
        <f t="shared" si="96"/>
        <v>0</v>
      </c>
      <c r="T173" s="57">
        <f t="shared" si="96"/>
        <v>0</v>
      </c>
      <c r="U173" s="57">
        <f t="shared" si="97"/>
        <v>-1E-4</v>
      </c>
      <c r="V173" s="58">
        <f t="shared" si="97"/>
        <v>-2.3999999999999994E-3</v>
      </c>
    </row>
    <row r="174" spans="1:22">
      <c r="A174" s="139">
        <v>151</v>
      </c>
      <c r="B174" s="135" t="s">
        <v>216</v>
      </c>
      <c r="C174" s="136" t="s">
        <v>135</v>
      </c>
      <c r="D174" s="29">
        <v>538304133.29999995</v>
      </c>
      <c r="E174" s="30">
        <f t="shared" si="93"/>
        <v>9.3133952474846425E-3</v>
      </c>
      <c r="F174" s="33">
        <v>255.12</v>
      </c>
      <c r="G174" s="33">
        <v>257.70999999999998</v>
      </c>
      <c r="H174" s="32">
        <v>143</v>
      </c>
      <c r="I174" s="50">
        <v>1.37E-2</v>
      </c>
      <c r="J174" s="50">
        <v>0.25030000000000002</v>
      </c>
      <c r="K174" s="29">
        <v>528393175.60000002</v>
      </c>
      <c r="L174" s="54">
        <f t="shared" si="94"/>
        <v>9.217120161290334E-3</v>
      </c>
      <c r="M174" s="33">
        <v>253.59</v>
      </c>
      <c r="N174" s="33">
        <v>256.3</v>
      </c>
      <c r="O174" s="32">
        <v>143</v>
      </c>
      <c r="P174" s="50">
        <v>1.37E-2</v>
      </c>
      <c r="Q174" s="50">
        <v>0.25030000000000002</v>
      </c>
      <c r="R174" s="57">
        <f t="shared" si="95"/>
        <v>-1.8411446405291663E-2</v>
      </c>
      <c r="S174" s="57">
        <f t="shared" si="96"/>
        <v>-5.4712661518760168E-3</v>
      </c>
      <c r="T174" s="57">
        <f t="shared" si="96"/>
        <v>0</v>
      </c>
      <c r="U174" s="57">
        <f t="shared" si="97"/>
        <v>0</v>
      </c>
      <c r="V174" s="58">
        <f t="shared" si="97"/>
        <v>0</v>
      </c>
    </row>
    <row r="175" spans="1:22">
      <c r="A175" s="139">
        <v>152</v>
      </c>
      <c r="B175" s="135" t="s">
        <v>217</v>
      </c>
      <c r="C175" s="136" t="s">
        <v>33</v>
      </c>
      <c r="D175" s="29">
        <v>2222140067.4499998</v>
      </c>
      <c r="E175" s="30">
        <f t="shared" si="93"/>
        <v>3.8446052079448206E-2</v>
      </c>
      <c r="F175" s="33">
        <v>552.22</v>
      </c>
      <c r="G175" s="33">
        <v>552.22</v>
      </c>
      <c r="H175" s="32">
        <v>823</v>
      </c>
      <c r="I175" s="50">
        <v>9.6139999999999993E-3</v>
      </c>
      <c r="J175" s="50">
        <v>0.4214</v>
      </c>
      <c r="K175" s="29">
        <v>2205241678.02</v>
      </c>
      <c r="L175" s="54">
        <f t="shared" si="94"/>
        <v>3.8467524694873946E-2</v>
      </c>
      <c r="M175" s="33">
        <v>552.22</v>
      </c>
      <c r="N175" s="33">
        <v>552.22</v>
      </c>
      <c r="O175" s="32">
        <v>823</v>
      </c>
      <c r="P175" s="50">
        <v>1.9E-3</v>
      </c>
      <c r="Q175" s="50">
        <v>0.41060000000000002</v>
      </c>
      <c r="R175" s="57">
        <f t="shared" si="95"/>
        <v>-7.6045563812687329E-3</v>
      </c>
      <c r="S175" s="57">
        <f t="shared" si="96"/>
        <v>0</v>
      </c>
      <c r="T175" s="57">
        <f t="shared" si="96"/>
        <v>0</v>
      </c>
      <c r="U175" s="57">
        <f t="shared" si="97"/>
        <v>-7.7139999999999995E-3</v>
      </c>
      <c r="V175" s="58">
        <f t="shared" si="97"/>
        <v>-1.0799999999999976E-2</v>
      </c>
    </row>
    <row r="176" spans="1:22">
      <c r="A176" s="139">
        <v>153</v>
      </c>
      <c r="B176" s="135" t="s">
        <v>218</v>
      </c>
      <c r="C176" s="136" t="s">
        <v>91</v>
      </c>
      <c r="D176" s="33">
        <v>31413133.920000002</v>
      </c>
      <c r="E176" s="30">
        <f t="shared" si="93"/>
        <v>5.4349003483515818E-4</v>
      </c>
      <c r="F176" s="33">
        <v>2.0099999999999998</v>
      </c>
      <c r="G176" s="33">
        <v>2.0099999999999998</v>
      </c>
      <c r="H176" s="32">
        <v>8</v>
      </c>
      <c r="I176" s="50">
        <v>-7.5880000000000001E-3</v>
      </c>
      <c r="J176" s="50">
        <v>7.4429999999999996E-2</v>
      </c>
      <c r="K176" s="33">
        <v>29761171.52</v>
      </c>
      <c r="L176" s="54">
        <f t="shared" si="94"/>
        <v>5.191442787449423E-4</v>
      </c>
      <c r="M176" s="33">
        <v>1.9</v>
      </c>
      <c r="N176" s="33">
        <v>1.9</v>
      </c>
      <c r="O176" s="32">
        <v>8</v>
      </c>
      <c r="P176" s="50">
        <v>-5.5751000000000002E-2</v>
      </c>
      <c r="Q176" s="50">
        <v>1.4529E-2</v>
      </c>
      <c r="R176" s="57">
        <f t="shared" si="95"/>
        <v>-5.2588271014508255E-2</v>
      </c>
      <c r="S176" s="57">
        <f t="shared" si="96"/>
        <v>-5.4726368159203925E-2</v>
      </c>
      <c r="T176" s="57">
        <f t="shared" si="96"/>
        <v>0</v>
      </c>
      <c r="U176" s="57">
        <f t="shared" si="97"/>
        <v>-4.8163000000000004E-2</v>
      </c>
      <c r="V176" s="58">
        <f t="shared" si="97"/>
        <v>-5.9900999999999996E-2</v>
      </c>
    </row>
    <row r="177" spans="1:22">
      <c r="A177" s="139">
        <v>154</v>
      </c>
      <c r="B177" s="135" t="s">
        <v>219</v>
      </c>
      <c r="C177" s="136" t="s">
        <v>45</v>
      </c>
      <c r="D177" s="33">
        <v>273165728.98000002</v>
      </c>
      <c r="E177" s="30">
        <f t="shared" si="93"/>
        <v>4.7261394529180926E-3</v>
      </c>
      <c r="F177" s="33">
        <v>2.7432259999999999</v>
      </c>
      <c r="G177" s="33">
        <v>2.8007719999999998</v>
      </c>
      <c r="H177" s="32">
        <v>121</v>
      </c>
      <c r="I177" s="50">
        <v>0.35630000000000001</v>
      </c>
      <c r="J177" s="50">
        <v>4.6600000000000003E-2</v>
      </c>
      <c r="K177" s="33">
        <v>243535576.78999999</v>
      </c>
      <c r="L177" s="54">
        <f t="shared" si="94"/>
        <v>4.2481560672574647E-3</v>
      </c>
      <c r="M177" s="33">
        <v>2.443346</v>
      </c>
      <c r="N177" s="33">
        <v>2.5017049999999998</v>
      </c>
      <c r="O177" s="32">
        <v>121</v>
      </c>
      <c r="P177" s="50">
        <v>0.10630000000000001</v>
      </c>
      <c r="Q177" s="50">
        <v>4.2099999999999999E-2</v>
      </c>
      <c r="R177" s="57">
        <f t="shared" si="95"/>
        <v>-0.1084695078721585</v>
      </c>
      <c r="S177" s="57">
        <f t="shared" si="96"/>
        <v>-0.10678020203001172</v>
      </c>
      <c r="T177" s="57">
        <f t="shared" si="96"/>
        <v>0</v>
      </c>
      <c r="U177" s="57">
        <f t="shared" si="97"/>
        <v>-0.25</v>
      </c>
      <c r="V177" s="58">
        <f t="shared" si="97"/>
        <v>-4.500000000000004E-3</v>
      </c>
    </row>
    <row r="178" spans="1:22">
      <c r="A178" s="139">
        <v>155</v>
      </c>
      <c r="B178" s="135" t="s">
        <v>220</v>
      </c>
      <c r="C178" s="136" t="s">
        <v>49</v>
      </c>
      <c r="D178" s="29">
        <v>2663347245.6700001</v>
      </c>
      <c r="E178" s="30">
        <f t="shared" si="93"/>
        <v>4.6079537654971768E-2</v>
      </c>
      <c r="F178" s="33">
        <v>6841.73</v>
      </c>
      <c r="G178" s="33">
        <v>6909.77</v>
      </c>
      <c r="H178" s="32">
        <v>2302</v>
      </c>
      <c r="I178" s="50">
        <v>0</v>
      </c>
      <c r="J178" s="50">
        <v>7.3499999999999996E-2</v>
      </c>
      <c r="K178" s="29">
        <v>2620359277.0900002</v>
      </c>
      <c r="L178" s="30">
        <f t="shared" si="94"/>
        <v>4.5708702227777981E-2</v>
      </c>
      <c r="M178" s="33">
        <v>6730.83</v>
      </c>
      <c r="N178" s="33">
        <v>6797.03</v>
      </c>
      <c r="O178" s="32">
        <v>2307</v>
      </c>
      <c r="P178" s="50">
        <v>-1.6299999999999999E-2</v>
      </c>
      <c r="Q178" s="50">
        <v>5.6000000000000001E-2</v>
      </c>
      <c r="R178" s="57">
        <f t="shared" si="95"/>
        <v>-1.6140579734726154E-2</v>
      </c>
      <c r="S178" s="57">
        <f t="shared" si="96"/>
        <v>-1.631602788515402E-2</v>
      </c>
      <c r="T178" s="57">
        <f t="shared" si="96"/>
        <v>2.1720243266724589E-3</v>
      </c>
      <c r="U178" s="57">
        <f t="shared" si="97"/>
        <v>-1.6299999999999999E-2</v>
      </c>
      <c r="V178" s="58">
        <f t="shared" si="97"/>
        <v>-1.7499999999999995E-2</v>
      </c>
    </row>
    <row r="179" spans="1:22">
      <c r="A179" s="139">
        <v>156</v>
      </c>
      <c r="B179" s="135" t="s">
        <v>221</v>
      </c>
      <c r="C179" s="135" t="s">
        <v>101</v>
      </c>
      <c r="D179" s="29">
        <v>109744677.3</v>
      </c>
      <c r="E179" s="30">
        <f t="shared" si="93"/>
        <v>1.8987325059845602E-3</v>
      </c>
      <c r="F179" s="33">
        <v>1156.04</v>
      </c>
      <c r="G179" s="33">
        <v>1172.57</v>
      </c>
      <c r="H179" s="32">
        <v>10</v>
      </c>
      <c r="I179" s="50">
        <v>-2.3233817223327069E-3</v>
      </c>
      <c r="J179" s="50">
        <v>4.5175E-2</v>
      </c>
      <c r="K179" s="29">
        <v>108901483.06999999</v>
      </c>
      <c r="L179" s="30">
        <f t="shared" si="94"/>
        <v>1.8996423526082247E-3</v>
      </c>
      <c r="M179" s="33">
        <v>1147.31</v>
      </c>
      <c r="N179" s="33">
        <v>1163.46</v>
      </c>
      <c r="O179" s="32">
        <v>10</v>
      </c>
      <c r="P179" s="50">
        <v>-7.981345640037607E-3</v>
      </c>
      <c r="Q179" s="50">
        <v>3.6575999999999997E-2</v>
      </c>
      <c r="R179" s="57">
        <f t="shared" si="95"/>
        <v>-7.6832357681915946E-3</v>
      </c>
      <c r="S179" s="57">
        <f t="shared" si="96"/>
        <v>-7.7692589781419453E-3</v>
      </c>
      <c r="T179" s="57">
        <f t="shared" si="96"/>
        <v>0</v>
      </c>
      <c r="U179" s="57">
        <f t="shared" si="97"/>
        <v>-5.6579639177049001E-3</v>
      </c>
      <c r="V179" s="58">
        <f t="shared" si="97"/>
        <v>-8.5990000000000025E-3</v>
      </c>
    </row>
    <row r="180" spans="1:22">
      <c r="A180" s="139">
        <v>157</v>
      </c>
      <c r="B180" s="135" t="s">
        <v>222</v>
      </c>
      <c r="C180" s="135" t="s">
        <v>84</v>
      </c>
      <c r="D180" s="29">
        <v>728917424.48961902</v>
      </c>
      <c r="E180" s="30">
        <f t="shared" si="93"/>
        <v>1.2611265002616995E-2</v>
      </c>
      <c r="F180" s="33">
        <v>1.3913465199588</v>
      </c>
      <c r="G180" s="33">
        <v>1.3913465199588</v>
      </c>
      <c r="H180" s="32">
        <v>43</v>
      </c>
      <c r="I180" s="50">
        <v>2.74227300472204E-3</v>
      </c>
      <c r="J180" s="50">
        <v>3.39E-2</v>
      </c>
      <c r="K180" s="29">
        <v>738209401.35844898</v>
      </c>
      <c r="L180" s="30">
        <f t="shared" si="94"/>
        <v>1.2877086742819446E-2</v>
      </c>
      <c r="M180" s="33">
        <v>1.40881399214109</v>
      </c>
      <c r="N180" s="33">
        <v>1.40881399214109</v>
      </c>
      <c r="O180" s="32">
        <v>44</v>
      </c>
      <c r="P180" s="50">
        <v>1.27476399337508E-2</v>
      </c>
      <c r="Q180" s="50">
        <v>4.7118099853079999E-2</v>
      </c>
      <c r="R180" s="57">
        <f t="shared" si="95"/>
        <v>1.274763993374986E-2</v>
      </c>
      <c r="S180" s="57">
        <f t="shared" si="96"/>
        <v>1.2554365092893822E-2</v>
      </c>
      <c r="T180" s="57">
        <f t="shared" si="96"/>
        <v>2.3255813953488372E-2</v>
      </c>
      <c r="U180" s="57">
        <f t="shared" si="97"/>
        <v>1.000536692902876E-2</v>
      </c>
      <c r="V180" s="58">
        <f t="shared" si="97"/>
        <v>1.321809985308E-2</v>
      </c>
    </row>
    <row r="181" spans="1:22">
      <c r="A181" s="139">
        <v>158</v>
      </c>
      <c r="B181" s="135" t="s">
        <v>223</v>
      </c>
      <c r="C181" s="136" t="s">
        <v>52</v>
      </c>
      <c r="D181" s="33">
        <v>2348784664.52</v>
      </c>
      <c r="E181" s="30">
        <f t="shared" si="93"/>
        <v>4.0637176233076083E-2</v>
      </c>
      <c r="F181" s="33">
        <v>2.1227999999999998</v>
      </c>
      <c r="G181" s="33">
        <v>2.1374</v>
      </c>
      <c r="H181" s="32">
        <v>2265</v>
      </c>
      <c r="I181" s="50">
        <v>-1.4E-3</v>
      </c>
      <c r="J181" s="50">
        <v>7.3599999999999999E-2</v>
      </c>
      <c r="K181" s="33">
        <v>2336523774.8400002</v>
      </c>
      <c r="L181" s="54">
        <f t="shared" si="94"/>
        <v>4.0757567256536613E-2</v>
      </c>
      <c r="M181" s="33">
        <v>2.0968</v>
      </c>
      <c r="N181" s="33">
        <v>2.1109</v>
      </c>
      <c r="O181" s="32">
        <v>2275</v>
      </c>
      <c r="P181" s="50">
        <v>-1.2200000000000001E-2</v>
      </c>
      <c r="Q181" s="50">
        <v>6.0400000000000002E-2</v>
      </c>
      <c r="R181" s="57">
        <f t="shared" si="95"/>
        <v>-5.2200995115512117E-3</v>
      </c>
      <c r="S181" s="57">
        <f t="shared" si="96"/>
        <v>-1.2398240853373243E-2</v>
      </c>
      <c r="T181" s="57">
        <f t="shared" si="96"/>
        <v>4.4150110375275938E-3</v>
      </c>
      <c r="U181" s="57">
        <f t="shared" si="97"/>
        <v>-1.0800000000000001E-2</v>
      </c>
      <c r="V181" s="58">
        <f t="shared" si="97"/>
        <v>-1.3199999999999996E-2</v>
      </c>
    </row>
    <row r="182" spans="1:22">
      <c r="A182" s="139">
        <v>159</v>
      </c>
      <c r="B182" s="135" t="s">
        <v>224</v>
      </c>
      <c r="C182" s="136" t="s">
        <v>52</v>
      </c>
      <c r="D182" s="33">
        <v>1329679784.9100001</v>
      </c>
      <c r="E182" s="30">
        <f t="shared" si="93"/>
        <v>2.3005272713660579E-2</v>
      </c>
      <c r="F182" s="33">
        <v>1.6291</v>
      </c>
      <c r="G182" s="33">
        <v>1.639</v>
      </c>
      <c r="H182" s="32">
        <v>856</v>
      </c>
      <c r="I182" s="50">
        <v>-5.0000000000000001E-4</v>
      </c>
      <c r="J182" s="50">
        <v>7.2300000000000003E-2</v>
      </c>
      <c r="K182" s="33">
        <v>1366117819.9100001</v>
      </c>
      <c r="L182" s="54">
        <f t="shared" si="94"/>
        <v>2.3830118710924657E-2</v>
      </c>
      <c r="M182" s="33">
        <v>1.6180000000000001</v>
      </c>
      <c r="N182" s="33">
        <v>1.6275999999999999</v>
      </c>
      <c r="O182" s="32">
        <v>863</v>
      </c>
      <c r="P182" s="50">
        <v>-6.7999999999999996E-3</v>
      </c>
      <c r="Q182" s="50">
        <v>6.4899999999999999E-2</v>
      </c>
      <c r="R182" s="57">
        <f t="shared" si="95"/>
        <v>2.7403616580112426E-2</v>
      </c>
      <c r="S182" s="57">
        <f t="shared" si="96"/>
        <v>-6.9554606467358612E-3</v>
      </c>
      <c r="T182" s="57">
        <f t="shared" si="96"/>
        <v>8.1775700934579431E-3</v>
      </c>
      <c r="U182" s="57">
        <f t="shared" si="97"/>
        <v>-6.3E-3</v>
      </c>
      <c r="V182" s="58">
        <f t="shared" si="97"/>
        <v>-7.4000000000000038E-3</v>
      </c>
    </row>
    <row r="183" spans="1:22">
      <c r="A183" s="139">
        <v>160</v>
      </c>
      <c r="B183" s="135" t="s">
        <v>225</v>
      </c>
      <c r="C183" s="136" t="s">
        <v>106</v>
      </c>
      <c r="D183" s="29">
        <v>10462142207.74</v>
      </c>
      <c r="E183" s="30">
        <f t="shared" si="93"/>
        <v>0.18100932073239609</v>
      </c>
      <c r="F183" s="33">
        <v>568.19000000000005</v>
      </c>
      <c r="G183" s="33">
        <v>575.1</v>
      </c>
      <c r="H183" s="32">
        <v>39</v>
      </c>
      <c r="I183" s="50">
        <v>-6.1000000000000004E-3</v>
      </c>
      <c r="J183" s="50">
        <v>9.8900000000000002E-2</v>
      </c>
      <c r="K183" s="29">
        <v>10411735250.6</v>
      </c>
      <c r="L183" s="54">
        <v>5.2058</v>
      </c>
      <c r="M183" s="33">
        <v>565.49</v>
      </c>
      <c r="N183" s="33">
        <v>572.30999999999995</v>
      </c>
      <c r="O183" s="32">
        <v>39</v>
      </c>
      <c r="P183" s="50">
        <v>-4.8180856647110915E-3</v>
      </c>
      <c r="Q183" s="50">
        <v>9.3377687459933467E-2</v>
      </c>
      <c r="R183" s="57">
        <f t="shared" si="95"/>
        <v>-4.8180340258334288E-3</v>
      </c>
      <c r="S183" s="57">
        <f t="shared" si="96"/>
        <v>-4.8513302034430134E-3</v>
      </c>
      <c r="T183" s="57">
        <f t="shared" si="96"/>
        <v>0</v>
      </c>
      <c r="U183" s="57">
        <f t="shared" si="97"/>
        <v>1.2819143352889089E-3</v>
      </c>
      <c r="V183" s="58">
        <f t="shared" si="97"/>
        <v>-5.5223125400665346E-3</v>
      </c>
    </row>
    <row r="184" spans="1:22">
      <c r="A184" s="36"/>
      <c r="B184" s="37"/>
      <c r="C184" s="38" t="s">
        <v>53</v>
      </c>
      <c r="D184" s="75">
        <f>SUM(D156:D183)</f>
        <v>57798914251.53302</v>
      </c>
      <c r="E184" s="40">
        <f>(D184/$D$216)</f>
        <v>1.3199587547481599E-2</v>
      </c>
      <c r="F184" s="41"/>
      <c r="G184" s="76"/>
      <c r="H184" s="43">
        <f>SUM(H156:H183)</f>
        <v>69505</v>
      </c>
      <c r="I184" s="82"/>
      <c r="J184" s="82"/>
      <c r="K184" s="75">
        <f>SUM(K156:K183)</f>
        <v>57327361079.561821</v>
      </c>
      <c r="L184" s="40">
        <f>(K184/$K$216)</f>
        <v>1.2817187144547791E-2</v>
      </c>
      <c r="M184" s="41"/>
      <c r="N184" s="76"/>
      <c r="O184" s="43">
        <f>SUM(O156:O183)</f>
        <v>69536</v>
      </c>
      <c r="P184" s="82"/>
      <c r="Q184" s="82"/>
      <c r="R184" s="57">
        <f t="shared" ref="R184" si="98">((K184-D184)/D184)</f>
        <v>-8.1585126308612605E-3</v>
      </c>
      <c r="S184" s="57" t="e">
        <f t="shared" ref="S184" si="99">((N184-G184)/G184)</f>
        <v>#DIV/0!</v>
      </c>
      <c r="T184" s="57">
        <f t="shared" ref="T184" si="100">((O184-H184)/H184)</f>
        <v>4.4601107833968777E-4</v>
      </c>
      <c r="U184" s="57">
        <f t="shared" ref="U184" si="101">P184-I184</f>
        <v>0</v>
      </c>
      <c r="V184" s="58">
        <f t="shared" ref="V184" si="102">Q184-J184</f>
        <v>0</v>
      </c>
    </row>
    <row r="185" spans="1:22" ht="5.25" customHeight="1">
      <c r="A185" s="36"/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</row>
    <row r="186" spans="1:22" ht="15" customHeight="1">
      <c r="A186" s="179" t="s">
        <v>226</v>
      </c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</row>
    <row r="187" spans="1:22" ht="16.2" customHeight="1">
      <c r="A187" s="138">
        <v>161</v>
      </c>
      <c r="B187" s="135" t="s">
        <v>227</v>
      </c>
      <c r="C187" s="136" t="s">
        <v>23</v>
      </c>
      <c r="D187" s="78">
        <v>1049239635.6900001</v>
      </c>
      <c r="E187" s="30">
        <f>(D187/$D$190)</f>
        <v>0.1563585690207735</v>
      </c>
      <c r="F187" s="77">
        <v>72.199399999999997</v>
      </c>
      <c r="G187" s="77">
        <v>74.376300000000001</v>
      </c>
      <c r="H187" s="34">
        <v>1699</v>
      </c>
      <c r="I187" s="51">
        <v>0.12889999999999999</v>
      </c>
      <c r="J187" s="51">
        <v>0.3276</v>
      </c>
      <c r="K187" s="78">
        <v>1067837480.96</v>
      </c>
      <c r="L187" s="54">
        <f>(K187/$K$190)</f>
        <v>0.1602508131371769</v>
      </c>
      <c r="M187" s="77">
        <v>72.427899999999994</v>
      </c>
      <c r="N187" s="77">
        <v>74.611699999999999</v>
      </c>
      <c r="O187" s="34">
        <v>1706</v>
      </c>
      <c r="P187" s="51">
        <v>0.16500000000000001</v>
      </c>
      <c r="Q187" s="51">
        <v>0.31130000000000002</v>
      </c>
      <c r="R187" s="57">
        <f>((K187-D187)/D187)</f>
        <v>1.7725069314379914E-2</v>
      </c>
      <c r="S187" s="57">
        <f t="shared" ref="S187:T190" si="103">((N187-G187)/G187)</f>
        <v>3.1649866960308391E-3</v>
      </c>
      <c r="T187" s="57">
        <f t="shared" si="103"/>
        <v>4.1200706297822246E-3</v>
      </c>
      <c r="U187" s="57">
        <f t="shared" ref="U187:V190" si="104">P187-I187</f>
        <v>3.6100000000000021E-2</v>
      </c>
      <c r="V187" s="58">
        <f t="shared" si="104"/>
        <v>-1.6299999999999981E-2</v>
      </c>
    </row>
    <row r="188" spans="1:22">
      <c r="A188" s="138">
        <v>162</v>
      </c>
      <c r="B188" s="135" t="s">
        <v>228</v>
      </c>
      <c r="C188" s="136" t="s">
        <v>229</v>
      </c>
      <c r="D188" s="78">
        <v>1049570775.45</v>
      </c>
      <c r="E188" s="30">
        <f>(D188/$D$190)</f>
        <v>0.15640791574506629</v>
      </c>
      <c r="F188" s="77">
        <v>29.892199999999999</v>
      </c>
      <c r="G188" s="77">
        <v>30.189800000000002</v>
      </c>
      <c r="H188" s="32">
        <v>1483</v>
      </c>
      <c r="I188" s="50">
        <v>-1.2999999999999999E-3</v>
      </c>
      <c r="J188" s="50">
        <v>0.1188</v>
      </c>
      <c r="K188" s="78">
        <v>1043582191.7</v>
      </c>
      <c r="L188" s="54">
        <f>(K188/$K$190)</f>
        <v>0.15661081182977005</v>
      </c>
      <c r="M188" s="77">
        <v>29.391999999999999</v>
      </c>
      <c r="N188" s="77">
        <v>29.6782</v>
      </c>
      <c r="O188" s="32">
        <v>1483</v>
      </c>
      <c r="P188" s="50">
        <v>-8.0000000000000004E-4</v>
      </c>
      <c r="Q188" s="50">
        <v>0.1041</v>
      </c>
      <c r="R188" s="57">
        <f>((K188-D188)/D188)</f>
        <v>-5.705745520050722E-3</v>
      </c>
      <c r="S188" s="57">
        <f t="shared" si="103"/>
        <v>-1.6946120875262552E-2</v>
      </c>
      <c r="T188" s="57">
        <f t="shared" si="103"/>
        <v>0</v>
      </c>
      <c r="U188" s="57">
        <f t="shared" si="104"/>
        <v>4.999999999999999E-4</v>
      </c>
      <c r="V188" s="58">
        <f t="shared" si="104"/>
        <v>-1.4700000000000005E-2</v>
      </c>
    </row>
    <row r="189" spans="1:22">
      <c r="A189" s="138">
        <v>163</v>
      </c>
      <c r="B189" s="135" t="s">
        <v>230</v>
      </c>
      <c r="C189" s="136" t="s">
        <v>49</v>
      </c>
      <c r="D189" s="44">
        <v>4611660542.0100002</v>
      </c>
      <c r="E189" s="30">
        <f>(D189/$D$190)</f>
        <v>0.68723351523416021</v>
      </c>
      <c r="F189" s="77">
        <v>3.16</v>
      </c>
      <c r="G189" s="77">
        <v>3.2</v>
      </c>
      <c r="H189" s="32">
        <v>10293</v>
      </c>
      <c r="I189" s="50">
        <v>-9.2999999999999992E-3</v>
      </c>
      <c r="J189" s="50">
        <v>0.10340000000000001</v>
      </c>
      <c r="K189" s="44">
        <v>4552118939.4399996</v>
      </c>
      <c r="L189" s="54">
        <f>(K189/$K$190)</f>
        <v>0.68313837503305308</v>
      </c>
      <c r="M189" s="77">
        <v>3.12</v>
      </c>
      <c r="N189" s="77">
        <v>3.16</v>
      </c>
      <c r="O189" s="32">
        <v>10300</v>
      </c>
      <c r="P189" s="50">
        <v>-1.2500000000000001E-2</v>
      </c>
      <c r="Q189" s="50">
        <v>8.9700000000000002E-2</v>
      </c>
      <c r="R189" s="57">
        <f>((K189-D189)/D189)</f>
        <v>-1.2911098296937817E-2</v>
      </c>
      <c r="S189" s="57">
        <f t="shared" si="103"/>
        <v>-1.2500000000000011E-2</v>
      </c>
      <c r="T189" s="57">
        <f t="shared" si="103"/>
        <v>6.8007383658797241E-4</v>
      </c>
      <c r="U189" s="57">
        <f t="shared" si="104"/>
        <v>-3.2000000000000015E-3</v>
      </c>
      <c r="V189" s="58">
        <f t="shared" si="104"/>
        <v>-1.3700000000000004E-2</v>
      </c>
    </row>
    <row r="190" spans="1:22">
      <c r="A190" s="36"/>
      <c r="B190" s="37"/>
      <c r="C190" s="71" t="s">
        <v>53</v>
      </c>
      <c r="D190" s="75">
        <f>SUM(D187:D189)</f>
        <v>6710470953.1500006</v>
      </c>
      <c r="E190" s="40">
        <f>(D190/$D$216)</f>
        <v>1.5324759985190623E-3</v>
      </c>
      <c r="F190" s="41"/>
      <c r="G190" s="76"/>
      <c r="H190" s="43">
        <f>SUM(H187:H189)</f>
        <v>13475</v>
      </c>
      <c r="I190" s="82"/>
      <c r="J190" s="82"/>
      <c r="K190" s="75">
        <f>SUM(K187:K189)</f>
        <v>6663538612.0999994</v>
      </c>
      <c r="L190" s="40">
        <f>(K190/$K$216)</f>
        <v>1.4898264951996069E-3</v>
      </c>
      <c r="M190" s="41"/>
      <c r="N190" s="76"/>
      <c r="O190" s="43">
        <f>SUM(O187:O189)</f>
        <v>13489</v>
      </c>
      <c r="P190" s="82"/>
      <c r="Q190" s="82"/>
      <c r="R190" s="57">
        <f>((K190-D190)/D190)</f>
        <v>-6.9938967589108433E-3</v>
      </c>
      <c r="S190" s="57" t="e">
        <f t="shared" si="103"/>
        <v>#DIV/0!</v>
      </c>
      <c r="T190" s="57">
        <f t="shared" si="103"/>
        <v>1.038961038961039E-3</v>
      </c>
      <c r="U190" s="57">
        <f t="shared" si="104"/>
        <v>0</v>
      </c>
      <c r="V190" s="58">
        <f t="shared" si="104"/>
        <v>0</v>
      </c>
    </row>
    <row r="191" spans="1:22" ht="6" customHeight="1">
      <c r="A191" s="36"/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</row>
    <row r="192" spans="1:22" ht="15" customHeight="1">
      <c r="A192" s="175" t="s">
        <v>231</v>
      </c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</row>
    <row r="193" spans="1:24">
      <c r="A193" s="178" t="s">
        <v>232</v>
      </c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</row>
    <row r="194" spans="1:24">
      <c r="A194" s="138">
        <v>164</v>
      </c>
      <c r="B194" s="135" t="s">
        <v>233</v>
      </c>
      <c r="C194" s="136" t="s">
        <v>234</v>
      </c>
      <c r="D194" s="47">
        <v>5370337782.9300003</v>
      </c>
      <c r="E194" s="30">
        <f>(D194/$D$215)</f>
        <v>9.8587366794658016E-2</v>
      </c>
      <c r="F194" s="79">
        <v>2.35</v>
      </c>
      <c r="G194" s="79">
        <v>2.4</v>
      </c>
      <c r="H194" s="46">
        <v>15010</v>
      </c>
      <c r="I194" s="53">
        <v>3.0000000000000001E-3</v>
      </c>
      <c r="J194" s="53">
        <v>3.8199999999999998E-2</v>
      </c>
      <c r="K194" s="47">
        <v>5367421550.7700005</v>
      </c>
      <c r="L194" s="30">
        <f>(K194/$K$215)</f>
        <v>9.7555633037387693E-2</v>
      </c>
      <c r="M194" s="79">
        <v>2.35</v>
      </c>
      <c r="N194" s="79">
        <v>2.39</v>
      </c>
      <c r="O194" s="46">
        <v>15018</v>
      </c>
      <c r="P194" s="53">
        <v>-1.2999999999999999E-3</v>
      </c>
      <c r="Q194" s="53">
        <v>3.6900000000000002E-2</v>
      </c>
      <c r="R194" s="57">
        <f>((K194-D194)/D194)</f>
        <v>-5.4302583522200379E-4</v>
      </c>
      <c r="S194" s="57">
        <f>((N194-G194)/G194)</f>
        <v>-4.1666666666665781E-3</v>
      </c>
      <c r="T194" s="57">
        <f>((O194-H194)/H194)</f>
        <v>5.3297801465689541E-4</v>
      </c>
      <c r="U194" s="57">
        <f>P194-I194</f>
        <v>-4.3E-3</v>
      </c>
      <c r="V194" s="58">
        <f>Q194-J194</f>
        <v>-1.2999999999999956E-3</v>
      </c>
    </row>
    <row r="195" spans="1:24">
      <c r="A195" s="138">
        <v>165</v>
      </c>
      <c r="B195" s="135" t="s">
        <v>235</v>
      </c>
      <c r="C195" s="136" t="s">
        <v>49</v>
      </c>
      <c r="D195" s="47">
        <v>928638697.49000001</v>
      </c>
      <c r="E195" s="30">
        <f>(D195/$D$215)</f>
        <v>1.7047725411270174E-2</v>
      </c>
      <c r="F195" s="79">
        <v>564.57000000000005</v>
      </c>
      <c r="G195" s="79">
        <v>571.53</v>
      </c>
      <c r="H195" s="46">
        <v>899</v>
      </c>
      <c r="I195" s="53">
        <v>-5.8999999999999999E-3</v>
      </c>
      <c r="J195" s="53">
        <v>0.13239999999999999</v>
      </c>
      <c r="K195" s="47">
        <v>908832282.94000006</v>
      </c>
      <c r="L195" s="30">
        <f>(K195/$K$215)</f>
        <v>1.6518491765251178E-2</v>
      </c>
      <c r="M195" s="79">
        <v>558.55999999999995</v>
      </c>
      <c r="N195" s="79">
        <v>565.49</v>
      </c>
      <c r="O195" s="46">
        <v>907</v>
      </c>
      <c r="P195" s="53">
        <v>-1.06E-2</v>
      </c>
      <c r="Q195" s="53">
        <v>0.1205</v>
      </c>
      <c r="R195" s="57">
        <f>((K195-D195)/D195)</f>
        <v>-2.1328439794221731E-2</v>
      </c>
      <c r="S195" s="57">
        <f>((N195-G195)/G195)</f>
        <v>-1.0568124157961899E-2</v>
      </c>
      <c r="T195" s="57">
        <f>((O195-H195)/H195)</f>
        <v>8.8987764182424916E-3</v>
      </c>
      <c r="U195" s="57">
        <f>P195-I195</f>
        <v>-4.7000000000000002E-3</v>
      </c>
      <c r="V195" s="58">
        <f>Q195-J195</f>
        <v>-1.1899999999999994E-2</v>
      </c>
    </row>
    <row r="196" spans="1:24" ht="6" customHeight="1">
      <c r="A196" s="36"/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</row>
    <row r="197" spans="1:24" ht="15" customHeight="1">
      <c r="A197" s="178" t="s">
        <v>174</v>
      </c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8"/>
    </row>
    <row r="198" spans="1:24">
      <c r="A198" s="138">
        <v>166</v>
      </c>
      <c r="B198" s="135" t="s">
        <v>295</v>
      </c>
      <c r="C198" s="136" t="s">
        <v>23</v>
      </c>
      <c r="D198" s="29">
        <v>1116008260.22</v>
      </c>
      <c r="E198" s="30">
        <f>(D198/$D$215)</f>
        <v>2.0487410688746131E-2</v>
      </c>
      <c r="F198" s="77">
        <v>1.0407999999999999</v>
      </c>
      <c r="G198" s="77">
        <v>1.0407999999999999</v>
      </c>
      <c r="H198" s="32">
        <v>482</v>
      </c>
      <c r="I198" s="50">
        <v>0.1255</v>
      </c>
      <c r="J198" s="50">
        <v>0.1691</v>
      </c>
      <c r="K198" s="29">
        <v>1144277426.72</v>
      </c>
      <c r="L198" s="30">
        <f t="shared" ref="L198:L210" si="105">(K198/$K$215)</f>
        <v>2.079782772382547E-2</v>
      </c>
      <c r="M198" s="77">
        <v>1.0438000000000001</v>
      </c>
      <c r="N198" s="77">
        <v>1.0438000000000001</v>
      </c>
      <c r="O198" s="32">
        <v>503</v>
      </c>
      <c r="P198" s="50">
        <v>0.15029999999999999</v>
      </c>
      <c r="Q198" s="50">
        <v>0.1676</v>
      </c>
      <c r="R198" s="57">
        <f>((K198-D198)/D198)</f>
        <v>2.533060686703812E-2</v>
      </c>
      <c r="S198" s="57">
        <f>((N198-G198)/G198)</f>
        <v>2.8823981552652902E-3</v>
      </c>
      <c r="T198" s="57">
        <f>((O198-H198)/H198)</f>
        <v>4.3568464730290454E-2</v>
      </c>
      <c r="U198" s="57">
        <f>P198-I198</f>
        <v>2.4799999999999989E-2</v>
      </c>
      <c r="V198" s="58">
        <f>Q198-J198</f>
        <v>-1.5000000000000013E-3</v>
      </c>
      <c r="X198" s="83"/>
    </row>
    <row r="199" spans="1:24">
      <c r="A199" s="138">
        <v>167</v>
      </c>
      <c r="B199" s="135" t="s">
        <v>236</v>
      </c>
      <c r="C199" s="136" t="s">
        <v>237</v>
      </c>
      <c r="D199" s="29">
        <v>347372138.30000001</v>
      </c>
      <c r="E199" s="30">
        <f>(D199/$D$215)</f>
        <v>6.3769739999747716E-3</v>
      </c>
      <c r="F199" s="77">
        <v>1061.5999999999999</v>
      </c>
      <c r="G199" s="77">
        <v>1061.5999999999999</v>
      </c>
      <c r="H199" s="32">
        <v>18</v>
      </c>
      <c r="I199" s="50">
        <v>2.5000000000000001E-3</v>
      </c>
      <c r="J199" s="50">
        <v>2.01E-2</v>
      </c>
      <c r="K199" s="29">
        <v>347675745.82999998</v>
      </c>
      <c r="L199" s="30">
        <f t="shared" si="105"/>
        <v>6.3191845759395923E-3</v>
      </c>
      <c r="M199" s="77">
        <v>1062.52</v>
      </c>
      <c r="N199" s="77">
        <v>1062.52</v>
      </c>
      <c r="O199" s="32">
        <v>18</v>
      </c>
      <c r="P199" s="50">
        <v>1.4E-3</v>
      </c>
      <c r="Q199" s="50">
        <v>2.1499999999999998E-2</v>
      </c>
      <c r="R199" s="57">
        <f>((K199-D199)/D199)</f>
        <v>8.740123243210936E-4</v>
      </c>
      <c r="S199" s="57">
        <f>((N199-G199)/G199)</f>
        <v>8.6661642803322612E-4</v>
      </c>
      <c r="T199" s="57">
        <f>((O199-H199)/H199)</f>
        <v>0</v>
      </c>
      <c r="U199" s="57">
        <f>P199-I199</f>
        <v>-1.1000000000000001E-3</v>
      </c>
      <c r="V199" s="58">
        <f>Q199-J199</f>
        <v>1.3999999999999985E-3</v>
      </c>
      <c r="X199" s="83"/>
    </row>
    <row r="200" spans="1:24">
      <c r="A200" s="138">
        <v>168</v>
      </c>
      <c r="B200" s="135" t="s">
        <v>238</v>
      </c>
      <c r="C200" s="136" t="s">
        <v>67</v>
      </c>
      <c r="D200" s="29">
        <v>133914195.16</v>
      </c>
      <c r="E200" s="30">
        <f>(D200/$D$215)</f>
        <v>2.4583645221003822E-3</v>
      </c>
      <c r="F200" s="77">
        <v>117.88</v>
      </c>
      <c r="G200" s="77">
        <v>117.88</v>
      </c>
      <c r="H200" s="32">
        <v>75</v>
      </c>
      <c r="I200" s="50">
        <v>1.6000000000000001E-3</v>
      </c>
      <c r="J200" s="50">
        <v>0.123</v>
      </c>
      <c r="K200" s="29">
        <v>135258320.43000001</v>
      </c>
      <c r="L200" s="30">
        <f t="shared" si="105"/>
        <v>2.4583891815297271E-3</v>
      </c>
      <c r="M200" s="77">
        <v>118.27</v>
      </c>
      <c r="N200" s="77">
        <v>118.27</v>
      </c>
      <c r="O200" s="32">
        <v>75</v>
      </c>
      <c r="P200" s="50">
        <v>1.5E-3</v>
      </c>
      <c r="Q200" s="50">
        <v>0.123</v>
      </c>
      <c r="R200" s="57">
        <f t="shared" ref="R200:R216" si="106">((K200-D200)/D200)</f>
        <v>1.0037212771910078E-2</v>
      </c>
      <c r="S200" s="57">
        <f t="shared" ref="S200:S215" si="107">((N200-G200)/G200)</f>
        <v>3.3084492704445246E-3</v>
      </c>
      <c r="T200" s="57">
        <f t="shared" ref="T200:T215" si="108">((O200-H200)/H200)</f>
        <v>0</v>
      </c>
      <c r="U200" s="57">
        <f t="shared" ref="U200:U215" si="109">P200-I200</f>
        <v>-1.0000000000000005E-4</v>
      </c>
      <c r="V200" s="58">
        <f t="shared" ref="V200:V215" si="110">Q200-J200</f>
        <v>0</v>
      </c>
    </row>
    <row r="201" spans="1:24">
      <c r="A201" s="138">
        <v>169</v>
      </c>
      <c r="B201" s="173" t="s">
        <v>239</v>
      </c>
      <c r="C201" s="136" t="s">
        <v>72</v>
      </c>
      <c r="D201" s="44">
        <v>61183686.909999996</v>
      </c>
      <c r="E201" s="30">
        <f>(D201/$D$215)</f>
        <v>1.1231953793332387E-3</v>
      </c>
      <c r="F201" s="77">
        <v>100.75</v>
      </c>
      <c r="G201" s="77">
        <v>100.75</v>
      </c>
      <c r="H201" s="32">
        <v>15</v>
      </c>
      <c r="I201" s="50">
        <v>-2.1999999999999999E-2</v>
      </c>
      <c r="J201" s="50">
        <v>3.7900000000000003E-2</v>
      </c>
      <c r="K201" s="44">
        <v>61318411.369999997</v>
      </c>
      <c r="L201" s="30">
        <f t="shared" si="105"/>
        <v>1.1144935014819435E-3</v>
      </c>
      <c r="M201" s="77">
        <v>100.84</v>
      </c>
      <c r="N201" s="77">
        <v>100.84</v>
      </c>
      <c r="O201" s="32">
        <v>15</v>
      </c>
      <c r="P201" s="50">
        <v>1E-3</v>
      </c>
      <c r="Q201" s="50">
        <v>3.8899999999999997E-2</v>
      </c>
      <c r="R201" s="57">
        <f t="shared" si="106"/>
        <v>2.2019670079408246E-3</v>
      </c>
      <c r="S201" s="57">
        <f t="shared" si="107"/>
        <v>8.9330024813899164E-4</v>
      </c>
      <c r="T201" s="57">
        <f t="shared" si="108"/>
        <v>0</v>
      </c>
      <c r="U201" s="57">
        <f t="shared" si="109"/>
        <v>2.3E-2</v>
      </c>
      <c r="V201" s="58">
        <f t="shared" si="110"/>
        <v>9.9999999999999395E-4</v>
      </c>
    </row>
    <row r="202" spans="1:24">
      <c r="A202" s="138">
        <v>170</v>
      </c>
      <c r="B202" s="135" t="s">
        <v>240</v>
      </c>
      <c r="C202" s="136" t="s">
        <v>75</v>
      </c>
      <c r="D202" s="44">
        <v>114243382.09999999</v>
      </c>
      <c r="E202" s="30">
        <v>0</v>
      </c>
      <c r="F202" s="77">
        <v>1.0620000000000001</v>
      </c>
      <c r="G202" s="77">
        <v>1.0620000000000001</v>
      </c>
      <c r="H202" s="32">
        <v>26</v>
      </c>
      <c r="I202" s="50">
        <v>1.6000000000000001E-3</v>
      </c>
      <c r="J202" s="50">
        <v>0.1221</v>
      </c>
      <c r="K202" s="44">
        <v>114527695.06999999</v>
      </c>
      <c r="L202" s="30">
        <f t="shared" si="105"/>
        <v>2.0815994583589068E-3</v>
      </c>
      <c r="M202" s="77">
        <v>1.0643</v>
      </c>
      <c r="N202" s="77">
        <v>1.0643</v>
      </c>
      <c r="O202" s="32">
        <v>27</v>
      </c>
      <c r="P202" s="50">
        <v>1.6000000000000001E-3</v>
      </c>
      <c r="Q202" s="50">
        <v>0.12189999999999999</v>
      </c>
      <c r="R202" s="57">
        <f t="shared" ref="R202:R203" si="111">((K202-D202)/D202)</f>
        <v>2.4886603037638784E-3</v>
      </c>
      <c r="S202" s="57">
        <f t="shared" ref="S202:S203" si="112">((N202-G202)/G202)</f>
        <v>2.1657250470809497E-3</v>
      </c>
      <c r="T202" s="57">
        <f t="shared" ref="T202" si="113">((O202-H202)/H202)</f>
        <v>3.8461538461538464E-2</v>
      </c>
      <c r="U202" s="57">
        <f t="shared" ref="U202" si="114">P202-I202</f>
        <v>0</v>
      </c>
      <c r="V202" s="58">
        <f t="shared" ref="V202" si="115">Q202-J202</f>
        <v>-2.0000000000000573E-4</v>
      </c>
    </row>
    <row r="203" spans="1:24">
      <c r="A203" s="138">
        <v>171</v>
      </c>
      <c r="B203" s="135" t="s">
        <v>241</v>
      </c>
      <c r="C203" s="136" t="s">
        <v>31</v>
      </c>
      <c r="D203" s="29">
        <v>5210589319.9399996</v>
      </c>
      <c r="E203" s="30">
        <f t="shared" ref="E203:E210" si="116">(D203/$D$215)</f>
        <v>9.5654743009662979E-2</v>
      </c>
      <c r="F203" s="77">
        <v>147.65</v>
      </c>
      <c r="G203" s="77">
        <v>147.65</v>
      </c>
      <c r="H203" s="32">
        <v>697</v>
      </c>
      <c r="I203" s="50">
        <v>2.8E-3</v>
      </c>
      <c r="J203" s="50">
        <v>2.9100000000000001E-2</v>
      </c>
      <c r="K203" s="29">
        <v>5284156692.1099997</v>
      </c>
      <c r="L203" s="30">
        <f t="shared" si="105"/>
        <v>9.6042251627056749E-2</v>
      </c>
      <c r="M203" s="77">
        <v>148.04</v>
      </c>
      <c r="N203" s="77">
        <v>148.04</v>
      </c>
      <c r="O203" s="32">
        <v>697</v>
      </c>
      <c r="P203" s="50">
        <v>2.5999999999999999E-3</v>
      </c>
      <c r="Q203" s="50">
        <v>3.1899999999999998E-2</v>
      </c>
      <c r="R203" s="57">
        <f t="shared" si="111"/>
        <v>1.4118819897870441E-2</v>
      </c>
      <c r="S203" s="57">
        <f t="shared" si="112"/>
        <v>2.641381645783856E-3</v>
      </c>
      <c r="T203" s="57">
        <f t="shared" si="108"/>
        <v>0</v>
      </c>
      <c r="U203" s="57">
        <f t="shared" si="109"/>
        <v>-2.0000000000000009E-4</v>
      </c>
      <c r="V203" s="58">
        <f t="shared" si="110"/>
        <v>2.7999999999999969E-3</v>
      </c>
    </row>
    <row r="204" spans="1:24">
      <c r="A204" s="138">
        <v>172</v>
      </c>
      <c r="B204" s="135" t="s">
        <v>242</v>
      </c>
      <c r="C204" s="136" t="s">
        <v>65</v>
      </c>
      <c r="D204" s="29">
        <v>810210337.11308706</v>
      </c>
      <c r="E204" s="30">
        <f t="shared" si="116"/>
        <v>1.4873646112109479E-2</v>
      </c>
      <c r="F204" s="35">
        <v>1218.15929073764</v>
      </c>
      <c r="G204" s="35">
        <v>1218.15929073764</v>
      </c>
      <c r="H204" s="32">
        <v>141</v>
      </c>
      <c r="I204" s="50">
        <v>0.11296407613828378</v>
      </c>
      <c r="J204" s="50">
        <v>0.16241713770957758</v>
      </c>
      <c r="K204" s="29">
        <v>811779452.87102103</v>
      </c>
      <c r="L204" s="30">
        <f t="shared" si="105"/>
        <v>1.4754506919661585E-2</v>
      </c>
      <c r="M204" s="35">
        <v>1221.14241416754</v>
      </c>
      <c r="N204" s="35">
        <v>1221.14241416754</v>
      </c>
      <c r="O204" s="32">
        <v>146</v>
      </c>
      <c r="P204" s="50">
        <v>0.12769149324518297</v>
      </c>
      <c r="Q204" s="50">
        <v>0.15908967004081565</v>
      </c>
      <c r="R204" s="57">
        <f t="shared" si="106"/>
        <v>1.9366770405879938E-3</v>
      </c>
      <c r="S204" s="57">
        <f t="shared" si="107"/>
        <v>2.4488779526473446E-3</v>
      </c>
      <c r="T204" s="57">
        <f t="shared" si="108"/>
        <v>3.5460992907801421E-2</v>
      </c>
      <c r="U204" s="57">
        <f t="shared" si="109"/>
        <v>1.472741710689919E-2</v>
      </c>
      <c r="V204" s="58">
        <f t="shared" si="110"/>
        <v>-3.3274676687619353E-3</v>
      </c>
    </row>
    <row r="205" spans="1:24">
      <c r="A205" s="138">
        <v>173</v>
      </c>
      <c r="B205" s="135" t="s">
        <v>243</v>
      </c>
      <c r="C205" s="136" t="s">
        <v>234</v>
      </c>
      <c r="D205" s="29">
        <v>28070162549.389999</v>
      </c>
      <c r="E205" s="30">
        <f t="shared" si="116"/>
        <v>0.51530527931383485</v>
      </c>
      <c r="F205" s="35">
        <v>1247.18</v>
      </c>
      <c r="G205" s="35">
        <v>1247.18</v>
      </c>
      <c r="H205" s="32">
        <v>9775</v>
      </c>
      <c r="I205" s="50">
        <v>2.7000000000000001E-3</v>
      </c>
      <c r="J205" s="50">
        <v>2.01E-2</v>
      </c>
      <c r="K205" s="29">
        <v>28458696557.400002</v>
      </c>
      <c r="L205" s="30">
        <f t="shared" si="105"/>
        <v>0.51725137141087774</v>
      </c>
      <c r="M205" s="35">
        <v>1250.6099999999999</v>
      </c>
      <c r="N205" s="35">
        <v>1250.6099999999999</v>
      </c>
      <c r="O205" s="32">
        <v>9774</v>
      </c>
      <c r="P205" s="50">
        <v>1.2999999999999999E-3</v>
      </c>
      <c r="Q205" s="50">
        <v>2.41E-2</v>
      </c>
      <c r="R205" s="57">
        <f t="shared" si="106"/>
        <v>1.3841530391082308E-2</v>
      </c>
      <c r="S205" s="57">
        <f t="shared" si="107"/>
        <v>2.7502044612644815E-3</v>
      </c>
      <c r="T205" s="57">
        <f t="shared" si="108"/>
        <v>-1.0230179028132993E-4</v>
      </c>
      <c r="U205" s="57">
        <f t="shared" si="109"/>
        <v>-1.4000000000000002E-3</v>
      </c>
      <c r="V205" s="58">
        <f t="shared" si="110"/>
        <v>4.0000000000000001E-3</v>
      </c>
    </row>
    <row r="206" spans="1:24">
      <c r="A206" s="138">
        <v>174</v>
      </c>
      <c r="B206" s="135" t="s">
        <v>244</v>
      </c>
      <c r="C206" s="136" t="s">
        <v>245</v>
      </c>
      <c r="D206" s="29">
        <v>479823442.83999997</v>
      </c>
      <c r="E206" s="30">
        <f t="shared" si="116"/>
        <v>8.8084831286224692E-3</v>
      </c>
      <c r="F206" s="79">
        <v>121.49</v>
      </c>
      <c r="G206" s="79">
        <v>122.52</v>
      </c>
      <c r="H206" s="46">
        <v>145</v>
      </c>
      <c r="I206" s="50">
        <v>-9.5999999999999992E-3</v>
      </c>
      <c r="J206" s="50">
        <v>-1.2E-2</v>
      </c>
      <c r="K206" s="29">
        <v>508194991.35000002</v>
      </c>
      <c r="L206" s="30">
        <f t="shared" si="105"/>
        <v>9.2367039962543557E-3</v>
      </c>
      <c r="M206" s="79">
        <v>122.71</v>
      </c>
      <c r="N206" s="79">
        <v>123.68</v>
      </c>
      <c r="O206" s="46">
        <v>148</v>
      </c>
      <c r="P206" s="50">
        <v>9.4999999999999998E-3</v>
      </c>
      <c r="Q206" s="50">
        <v>-2.5999999999999999E-3</v>
      </c>
      <c r="R206" s="57">
        <f t="shared" si="106"/>
        <v>5.9129142048736275E-2</v>
      </c>
      <c r="S206" s="57">
        <f t="shared" si="107"/>
        <v>9.4678419849821317E-3</v>
      </c>
      <c r="T206" s="57">
        <f t="shared" si="108"/>
        <v>2.0689655172413793E-2</v>
      </c>
      <c r="U206" s="57">
        <f t="shared" si="109"/>
        <v>1.9099999999999999E-2</v>
      </c>
      <c r="V206" s="58">
        <f t="shared" si="110"/>
        <v>9.4000000000000004E-3</v>
      </c>
    </row>
    <row r="207" spans="1:24">
      <c r="A207" s="138">
        <v>175</v>
      </c>
      <c r="B207" s="135" t="s">
        <v>246</v>
      </c>
      <c r="C207" s="136" t="s">
        <v>245</v>
      </c>
      <c r="D207" s="29">
        <v>136493254.72999999</v>
      </c>
      <c r="E207" s="30">
        <f t="shared" si="116"/>
        <v>2.5057102761460691E-3</v>
      </c>
      <c r="F207" s="79">
        <v>115.99</v>
      </c>
      <c r="G207" s="79">
        <v>115.99</v>
      </c>
      <c r="H207" s="46">
        <v>72</v>
      </c>
      <c r="I207" s="50">
        <v>2E-3</v>
      </c>
      <c r="J207" s="50">
        <v>3.4099999999999998E-2</v>
      </c>
      <c r="K207" s="29">
        <v>156533080.71000001</v>
      </c>
      <c r="L207" s="30">
        <f t="shared" si="105"/>
        <v>2.8450688352894228E-3</v>
      </c>
      <c r="M207" s="79">
        <v>116.5</v>
      </c>
      <c r="N207" s="79">
        <v>116.5</v>
      </c>
      <c r="O207" s="46">
        <v>72</v>
      </c>
      <c r="P207" s="50">
        <v>4.4000000000000003E-3</v>
      </c>
      <c r="Q207" s="50">
        <v>4.3099999999999999E-2</v>
      </c>
      <c r="R207" s="57">
        <f t="shared" si="106"/>
        <v>0.14681916714229723</v>
      </c>
      <c r="S207" s="57">
        <f t="shared" si="107"/>
        <v>4.3969307698940004E-3</v>
      </c>
      <c r="T207" s="57">
        <f t="shared" si="108"/>
        <v>0</v>
      </c>
      <c r="U207" s="57">
        <f t="shared" si="109"/>
        <v>2.4000000000000002E-3</v>
      </c>
      <c r="V207" s="58">
        <f t="shared" si="110"/>
        <v>9.0000000000000011E-3</v>
      </c>
    </row>
    <row r="208" spans="1:24" ht="13.5" customHeight="1">
      <c r="A208" s="138">
        <v>176</v>
      </c>
      <c r="B208" s="135" t="s">
        <v>247</v>
      </c>
      <c r="C208" s="136" t="s">
        <v>89</v>
      </c>
      <c r="D208" s="29">
        <v>1434550514</v>
      </c>
      <c r="E208" s="30">
        <f t="shared" si="116"/>
        <v>2.633513261655978E-2</v>
      </c>
      <c r="F208" s="60">
        <v>105.23</v>
      </c>
      <c r="G208" s="60">
        <v>105.23</v>
      </c>
      <c r="H208" s="32">
        <v>615</v>
      </c>
      <c r="I208" s="50">
        <v>2.7000000000000001E-3</v>
      </c>
      <c r="J208" s="50">
        <v>0.14219999999999999</v>
      </c>
      <c r="K208" s="29">
        <v>1444813829</v>
      </c>
      <c r="L208" s="30">
        <f t="shared" si="105"/>
        <v>2.626023061092465E-2</v>
      </c>
      <c r="M208" s="60">
        <v>105.51</v>
      </c>
      <c r="N208" s="60">
        <v>105.51</v>
      </c>
      <c r="O208" s="32">
        <v>617</v>
      </c>
      <c r="P208" s="50">
        <v>2.7000000000000001E-3</v>
      </c>
      <c r="Q208" s="50">
        <v>0.14230000000000001</v>
      </c>
      <c r="R208" s="57">
        <f t="shared" si="106"/>
        <v>7.15437685870154E-3</v>
      </c>
      <c r="S208" s="57">
        <f t="shared" si="107"/>
        <v>2.6608381640216773E-3</v>
      </c>
      <c r="T208" s="57">
        <f t="shared" si="108"/>
        <v>3.2520325203252032E-3</v>
      </c>
      <c r="U208" s="57">
        <f t="shared" si="109"/>
        <v>0</v>
      </c>
      <c r="V208" s="58">
        <f t="shared" si="110"/>
        <v>1.0000000000001674E-4</v>
      </c>
    </row>
    <row r="209" spans="1:22" ht="15.75" customHeight="1">
      <c r="A209" s="138">
        <v>177</v>
      </c>
      <c r="B209" s="135" t="s">
        <v>248</v>
      </c>
      <c r="C209" s="136" t="s">
        <v>49</v>
      </c>
      <c r="D209" s="29">
        <v>6118836759.3900003</v>
      </c>
      <c r="E209" s="30">
        <f t="shared" si="116"/>
        <v>0.11232813062002538</v>
      </c>
      <c r="F209" s="60">
        <v>135.68</v>
      </c>
      <c r="G209" s="60">
        <v>135.68</v>
      </c>
      <c r="H209" s="32">
        <v>1282</v>
      </c>
      <c r="I209" s="50">
        <v>2.0000000000000001E-4</v>
      </c>
      <c r="J209" s="50">
        <v>1.03E-2</v>
      </c>
      <c r="K209" s="29">
        <v>6118111296.5299997</v>
      </c>
      <c r="L209" s="30">
        <f t="shared" si="105"/>
        <v>0.11119980327249553</v>
      </c>
      <c r="M209" s="60">
        <v>135.71</v>
      </c>
      <c r="N209" s="60">
        <v>135.71</v>
      </c>
      <c r="O209" s="32">
        <v>1282</v>
      </c>
      <c r="P209" s="50">
        <v>2.0000000000000001E-4</v>
      </c>
      <c r="Q209" s="50">
        <v>1.0500000000000001E-2</v>
      </c>
      <c r="R209" s="57">
        <f t="shared" si="106"/>
        <v>-1.1856221836402338E-4</v>
      </c>
      <c r="S209" s="57">
        <f t="shared" si="107"/>
        <v>2.2110849056604612E-4</v>
      </c>
      <c r="T209" s="57">
        <f t="shared" si="108"/>
        <v>0</v>
      </c>
      <c r="U209" s="57">
        <f t="shared" si="109"/>
        <v>0</v>
      </c>
      <c r="V209" s="58">
        <f t="shared" si="110"/>
        <v>2.0000000000000052E-4</v>
      </c>
    </row>
    <row r="210" spans="1:22">
      <c r="A210" s="138">
        <v>178</v>
      </c>
      <c r="B210" s="135" t="s">
        <v>249</v>
      </c>
      <c r="C210" s="136" t="s">
        <v>52</v>
      </c>
      <c r="D210" s="29">
        <v>3900057377.0799999</v>
      </c>
      <c r="E210" s="30">
        <f t="shared" si="116"/>
        <v>7.159631343424E-2</v>
      </c>
      <c r="F210" s="60">
        <v>1.2351000000000001</v>
      </c>
      <c r="G210" s="60">
        <v>1.2351000000000001</v>
      </c>
      <c r="H210" s="32">
        <v>1354</v>
      </c>
      <c r="I210" s="50">
        <v>0.12559999999999999</v>
      </c>
      <c r="J210" s="50">
        <v>8.7900000000000006E-2</v>
      </c>
      <c r="K210" s="29">
        <v>3911802581.8200002</v>
      </c>
      <c r="L210" s="30">
        <f t="shared" si="105"/>
        <v>7.1099013479198669E-2</v>
      </c>
      <c r="M210" s="60">
        <v>1.2378</v>
      </c>
      <c r="N210" s="60">
        <v>1.2378</v>
      </c>
      <c r="O210" s="32">
        <v>1396</v>
      </c>
      <c r="P210" s="50">
        <v>0.1206</v>
      </c>
      <c r="Q210" s="50">
        <v>9.1300000000000006E-2</v>
      </c>
      <c r="R210" s="57">
        <f t="shared" si="106"/>
        <v>3.0115466528838519E-3</v>
      </c>
      <c r="S210" s="57">
        <f t="shared" si="107"/>
        <v>2.1860578090842236E-3</v>
      </c>
      <c r="T210" s="57">
        <f t="shared" si="108"/>
        <v>3.10192023633678E-2</v>
      </c>
      <c r="U210" s="57">
        <f t="shared" si="109"/>
        <v>-4.9999999999999906E-3</v>
      </c>
      <c r="V210" s="58">
        <f t="shared" si="110"/>
        <v>3.4000000000000002E-3</v>
      </c>
    </row>
    <row r="211" spans="1:22" ht="6" customHeight="1">
      <c r="A211" s="36"/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</row>
    <row r="212" spans="1:22">
      <c r="A212" s="178" t="s">
        <v>250</v>
      </c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  <c r="V212" s="178"/>
    </row>
    <row r="213" spans="1:22">
      <c r="A213" s="174">
        <v>179</v>
      </c>
      <c r="B213" s="135" t="s">
        <v>251</v>
      </c>
      <c r="C213" s="136" t="s">
        <v>234</v>
      </c>
      <c r="D213" s="29">
        <v>195477184.75</v>
      </c>
      <c r="E213" s="30">
        <f t="shared" ref="E213" si="117">(D213/$D$215)</f>
        <v>3.5885230486230246E-3</v>
      </c>
      <c r="F213" s="35">
        <v>1040.74</v>
      </c>
      <c r="G213" s="35">
        <v>1040.74</v>
      </c>
      <c r="H213" s="32">
        <v>96</v>
      </c>
      <c r="I213" s="50">
        <v>-3.1600000000000003E-2</v>
      </c>
      <c r="J213" s="50">
        <v>-0.16159999999999999</v>
      </c>
      <c r="K213" s="29">
        <v>200413531.91999999</v>
      </c>
      <c r="L213" s="30">
        <f t="shared" ref="L213" si="118">(K213/$K$215)</f>
        <v>3.6426184883707313E-3</v>
      </c>
      <c r="M213" s="35">
        <v>1044.96</v>
      </c>
      <c r="N213" s="35">
        <v>1044.96</v>
      </c>
      <c r="O213" s="32">
        <v>96</v>
      </c>
      <c r="P213" s="50">
        <v>4.1000000000000003E-3</v>
      </c>
      <c r="Q213" s="50">
        <v>-0.15820000000000001</v>
      </c>
      <c r="R213" s="57">
        <f t="shared" ref="R213" si="119">((K213-D213)/D213)</f>
        <v>2.5252804701035511E-2</v>
      </c>
      <c r="S213" s="57">
        <f t="shared" ref="S213" si="120">((N213-G213)/G213)</f>
        <v>4.0548071564464007E-3</v>
      </c>
      <c r="T213" s="57">
        <f t="shared" ref="T213" si="121">((O213-H213)/H213)</f>
        <v>0</v>
      </c>
      <c r="U213" s="57">
        <f t="shared" ref="U213" si="122">P213-I213</f>
        <v>3.5700000000000003E-2</v>
      </c>
      <c r="V213" s="58">
        <f t="shared" ref="V213" si="123">Q213-J213</f>
        <v>3.3999999999999864E-3</v>
      </c>
    </row>
    <row r="214" spans="1:22">
      <c r="A214" s="174">
        <v>180</v>
      </c>
      <c r="B214" s="135" t="s">
        <v>296</v>
      </c>
      <c r="C214" s="136" t="s">
        <v>297</v>
      </c>
      <c r="D214" s="29">
        <v>44980935.1650685</v>
      </c>
      <c r="E214" s="30">
        <f t="shared" ref="E214" si="124">(D214/$D$215)</f>
        <v>8.2574916758139079E-4</v>
      </c>
      <c r="F214" s="35">
        <v>99.92</v>
      </c>
      <c r="G214" s="35">
        <v>101.97969000000001</v>
      </c>
      <c r="H214" s="32">
        <v>140</v>
      </c>
      <c r="I214" s="50">
        <v>9.4999999999999998E-3</v>
      </c>
      <c r="J214" s="50">
        <v>1.2699999999999999E-2</v>
      </c>
      <c r="K214" s="29">
        <v>45270368.780000001</v>
      </c>
      <c r="L214" s="30">
        <f t="shared" ref="L214" si="125">(K214/$K$215)</f>
        <v>8.2281211609610335E-4</v>
      </c>
      <c r="M214" s="35">
        <v>100.16</v>
      </c>
      <c r="N214" s="35">
        <v>102.22</v>
      </c>
      <c r="O214" s="32">
        <v>140</v>
      </c>
      <c r="P214" s="50">
        <v>1.1900000000000001E-2</v>
      </c>
      <c r="Q214" s="50">
        <v>1.29E-2</v>
      </c>
      <c r="R214" s="57">
        <f t="shared" ref="R214" si="126">((K214-D214)/D214)</f>
        <v>6.4345842048270955E-3</v>
      </c>
      <c r="S214" s="57">
        <f t="shared" ref="S214" si="127">((N214-G214)/G214)</f>
        <v>2.3564496028571353E-3</v>
      </c>
      <c r="T214" s="57">
        <f t="shared" ref="T214" si="128">((O214-H214)/H214)</f>
        <v>0</v>
      </c>
      <c r="U214" s="57">
        <f t="shared" ref="U214" si="129">P214-I214</f>
        <v>2.4000000000000011E-3</v>
      </c>
      <c r="V214" s="58">
        <f t="shared" ref="V214" si="130">Q214-J214</f>
        <v>2.0000000000000052E-4</v>
      </c>
    </row>
    <row r="215" spans="1:22">
      <c r="A215" s="36"/>
      <c r="B215" s="37"/>
      <c r="C215" s="71" t="s">
        <v>53</v>
      </c>
      <c r="D215" s="48">
        <f>SUM(D194:D214)</f>
        <v>54472879817.508156</v>
      </c>
      <c r="E215" s="40">
        <f>(D215/$D$216)</f>
        <v>1.2440018215317454E-2</v>
      </c>
      <c r="F215" s="41"/>
      <c r="G215" s="74"/>
      <c r="H215" s="84">
        <f>SUM(H194:H214)</f>
        <v>30842</v>
      </c>
      <c r="I215" s="81"/>
      <c r="J215" s="81"/>
      <c r="K215" s="48">
        <f>SUM(K194:K214)</f>
        <v>55019083815.621017</v>
      </c>
      <c r="L215" s="40">
        <f>(K215/$K$216)</f>
        <v>1.2301105100715814E-2</v>
      </c>
      <c r="M215" s="41"/>
      <c r="N215" s="74"/>
      <c r="O215" s="43">
        <f>SUM(O194:O214)</f>
        <v>30931</v>
      </c>
      <c r="P215" s="81"/>
      <c r="Q215" s="81"/>
      <c r="R215" s="57">
        <f t="shared" si="106"/>
        <v>1.0027081364942007E-2</v>
      </c>
      <c r="S215" s="57" t="e">
        <f t="shared" si="107"/>
        <v>#DIV/0!</v>
      </c>
      <c r="T215" s="57">
        <f t="shared" si="108"/>
        <v>2.8856753777316648E-3</v>
      </c>
      <c r="U215" s="57">
        <f t="shared" si="109"/>
        <v>0</v>
      </c>
      <c r="V215" s="58">
        <f t="shared" si="110"/>
        <v>0</v>
      </c>
    </row>
    <row r="216" spans="1:22">
      <c r="A216" s="85"/>
      <c r="B216" s="85"/>
      <c r="C216" s="86" t="s">
        <v>252</v>
      </c>
      <c r="D216" s="87">
        <f>SUM(D25,D67,D107,D145,D153,D184,D190,D215)</f>
        <v>4378842448191.5498</v>
      </c>
      <c r="E216" s="88"/>
      <c r="F216" s="88"/>
      <c r="G216" s="89"/>
      <c r="H216" s="87">
        <f>SUM(H25,H67,H107,H145,H153,H184,H190,H215)</f>
        <v>840920</v>
      </c>
      <c r="I216" s="111"/>
      <c r="J216" s="111"/>
      <c r="K216" s="87">
        <f>SUM(K25,K67,K107,K145,K153,K184,K190,K215)</f>
        <v>4472694393320.7598</v>
      </c>
      <c r="L216" s="88"/>
      <c r="M216" s="88"/>
      <c r="N216" s="89"/>
      <c r="O216" s="87">
        <f>SUM(O25,O67,O107,O145,O153,O184,O190,O215)</f>
        <v>846065</v>
      </c>
      <c r="P216" s="112"/>
      <c r="Q216" s="87"/>
      <c r="R216" s="118">
        <f t="shared" si="106"/>
        <v>2.143304908537428E-2</v>
      </c>
      <c r="S216" s="118"/>
      <c r="T216" s="118"/>
      <c r="U216" s="118"/>
      <c r="V216" s="118"/>
    </row>
    <row r="217" spans="1:22" ht="6.75" customHeight="1">
      <c r="A217" s="36"/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37"/>
    </row>
    <row r="218" spans="1:22" ht="14.4" customHeight="1">
      <c r="A218" s="175" t="s">
        <v>253</v>
      </c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</row>
    <row r="219" spans="1:22" ht="14.4" customHeight="1">
      <c r="A219" s="138">
        <v>1</v>
      </c>
      <c r="B219" s="135" t="s">
        <v>254</v>
      </c>
      <c r="C219" s="136" t="s">
        <v>190</v>
      </c>
      <c r="D219" s="29">
        <v>3913930539.60079</v>
      </c>
      <c r="E219" s="30">
        <f t="shared" ref="E219" si="131">(D219/$D$215)</f>
        <v>7.1850993608434333E-2</v>
      </c>
      <c r="F219" s="35">
        <v>123.2</v>
      </c>
      <c r="G219" s="35">
        <v>123.2</v>
      </c>
      <c r="H219" s="32">
        <v>9</v>
      </c>
      <c r="I219" s="50">
        <v>0.31355037805354202</v>
      </c>
      <c r="J219" s="50">
        <v>0.21903078678045601</v>
      </c>
      <c r="K219" s="29">
        <v>3939141675.2735901</v>
      </c>
      <c r="L219" s="30">
        <f>(K219/$K$221)</f>
        <v>0.25874317329363378</v>
      </c>
      <c r="M219" s="35">
        <v>123.2</v>
      </c>
      <c r="N219" s="35">
        <v>123.2</v>
      </c>
      <c r="O219" s="32">
        <v>9</v>
      </c>
      <c r="P219" s="50">
        <v>0.33535215219587</v>
      </c>
      <c r="Q219" s="50">
        <v>0.24759116569348499</v>
      </c>
      <c r="R219" s="57">
        <f t="shared" ref="R219" si="132">((K219-D219)/D219)</f>
        <v>6.4413855631100516E-3</v>
      </c>
      <c r="S219" s="57">
        <f t="shared" ref="S219" si="133">((N219-G219)/G219)</f>
        <v>0</v>
      </c>
      <c r="T219" s="57">
        <f t="shared" ref="T219" si="134">((O219-H219)/H219)</f>
        <v>0</v>
      </c>
      <c r="U219" s="57">
        <f t="shared" ref="U219" si="135">P219-I219</f>
        <v>2.1801774142327979E-2</v>
      </c>
      <c r="V219" s="58">
        <f t="shared" ref="V219" si="136">Q219-J219</f>
        <v>2.8560378913028983E-2</v>
      </c>
    </row>
    <row r="220" spans="1:22" ht="14.4" customHeight="1">
      <c r="A220" s="138">
        <v>2</v>
      </c>
      <c r="B220" s="135" t="s">
        <v>303</v>
      </c>
      <c r="C220" s="136" t="s">
        <v>41</v>
      </c>
      <c r="D220" s="29">
        <v>11225740199.190001</v>
      </c>
      <c r="E220" s="30">
        <f t="shared" ref="E220" si="137">(D220/$D$215)</f>
        <v>0.20607943322985339</v>
      </c>
      <c r="F220" s="35">
        <v>1.08</v>
      </c>
      <c r="G220" s="35">
        <v>1.08</v>
      </c>
      <c r="H220" s="32">
        <v>16</v>
      </c>
      <c r="I220" s="50">
        <v>3.8999999999999998E-3</v>
      </c>
      <c r="J220" s="50">
        <v>0.2087</v>
      </c>
      <c r="K220" s="29">
        <v>11284995932.42</v>
      </c>
      <c r="L220" s="30">
        <f>(K220/$K$221)</f>
        <v>0.74125682670636617</v>
      </c>
      <c r="M220" s="35">
        <v>1.08</v>
      </c>
      <c r="N220" s="35">
        <v>1.08</v>
      </c>
      <c r="O220" s="32">
        <v>16</v>
      </c>
      <c r="P220" s="50">
        <v>5.3E-3</v>
      </c>
      <c r="Q220" s="50">
        <v>0.2167</v>
      </c>
      <c r="R220" s="57">
        <f t="shared" ref="R220:R221" si="138">((K220-D220)/D220)</f>
        <v>5.2785591131242439E-3</v>
      </c>
      <c r="S220" s="57">
        <f t="shared" ref="S220" si="139">((N220-G220)/G220)</f>
        <v>0</v>
      </c>
      <c r="T220" s="57">
        <f t="shared" ref="T220" si="140">((O220-H220)/H220)</f>
        <v>0</v>
      </c>
      <c r="U220" s="57">
        <f t="shared" ref="U220" si="141">P220-I220</f>
        <v>1.4000000000000002E-3</v>
      </c>
      <c r="V220" s="58">
        <f t="shared" ref="V220" si="142">Q220-J220</f>
        <v>8.0000000000000071E-3</v>
      </c>
    </row>
    <row r="221" spans="1:22" ht="14.4" customHeight="1">
      <c r="A221" s="90"/>
      <c r="B221" s="90"/>
      <c r="C221" s="90" t="s">
        <v>53</v>
      </c>
      <c r="D221" s="90">
        <f>SUM(D219:D220)</f>
        <v>15139670738.790791</v>
      </c>
      <c r="E221" s="90"/>
      <c r="F221" s="90"/>
      <c r="G221" s="90"/>
      <c r="H221" s="90">
        <f>SUM(H219:H220)</f>
        <v>25</v>
      </c>
      <c r="I221" s="90"/>
      <c r="J221" s="90"/>
      <c r="K221" s="90">
        <f>SUM(K219:K220)</f>
        <v>15224137607.69359</v>
      </c>
      <c r="L221" s="40"/>
      <c r="M221" s="90"/>
      <c r="N221" s="90"/>
      <c r="O221" s="90">
        <f>SUM(O219:O220)</f>
        <v>25</v>
      </c>
      <c r="P221" s="90"/>
      <c r="Q221" s="90"/>
      <c r="R221" s="118">
        <f t="shared" si="138"/>
        <v>5.5791747627891939E-3</v>
      </c>
      <c r="S221" s="90"/>
      <c r="T221" s="90"/>
      <c r="U221" s="90"/>
      <c r="V221" s="90"/>
    </row>
    <row r="222" spans="1:22" ht="6" customHeight="1">
      <c r="A222" s="36"/>
      <c r="B222" s="142"/>
      <c r="C222" s="71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37"/>
    </row>
    <row r="223" spans="1:22" ht="15.6">
      <c r="A223" s="175" t="s">
        <v>255</v>
      </c>
      <c r="B223" s="175"/>
      <c r="C223" s="175"/>
      <c r="D223" s="175"/>
      <c r="E223" s="175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</row>
    <row r="224" spans="1:22">
      <c r="A224" s="138">
        <v>1</v>
      </c>
      <c r="B224" s="135" t="s">
        <v>256</v>
      </c>
      <c r="C224" s="136" t="s">
        <v>257</v>
      </c>
      <c r="D224" s="29">
        <v>117431274879</v>
      </c>
      <c r="E224" s="30">
        <f>(D224/$D$226)</f>
        <v>0.89925869266435943</v>
      </c>
      <c r="F224" s="60">
        <v>111.28</v>
      </c>
      <c r="G224" s="60">
        <v>111.28</v>
      </c>
      <c r="H224" s="32">
        <v>0</v>
      </c>
      <c r="I224" s="50">
        <v>0.23899999999999999</v>
      </c>
      <c r="J224" s="50">
        <v>0.23899999999999999</v>
      </c>
      <c r="K224" s="29">
        <v>117431274879</v>
      </c>
      <c r="L224" s="30">
        <f>(K224/$K$226)</f>
        <v>0.89891108209867709</v>
      </c>
      <c r="M224" s="60">
        <v>111.28</v>
      </c>
      <c r="N224" s="60">
        <v>111.28</v>
      </c>
      <c r="O224" s="32">
        <v>0</v>
      </c>
      <c r="P224" s="50">
        <v>0.23899999999999999</v>
      </c>
      <c r="Q224" s="50">
        <v>0.23899999999999999</v>
      </c>
      <c r="R224" s="57">
        <f>((K224-D224)/D224)</f>
        <v>0</v>
      </c>
      <c r="S224" s="57">
        <f>((N224-G224)/G224)</f>
        <v>0</v>
      </c>
      <c r="T224" s="57" t="e">
        <f>((O224-H224)/H224)</f>
        <v>#DIV/0!</v>
      </c>
      <c r="U224" s="57">
        <f>P224-I224</f>
        <v>0</v>
      </c>
      <c r="V224" s="58">
        <f>Q224-J224</f>
        <v>0</v>
      </c>
    </row>
    <row r="225" spans="1:22">
      <c r="A225" s="138">
        <v>2</v>
      </c>
      <c r="B225" s="135" t="s">
        <v>258</v>
      </c>
      <c r="C225" s="136" t="s">
        <v>52</v>
      </c>
      <c r="D225" s="29">
        <v>13155480452.85</v>
      </c>
      <c r="E225" s="30">
        <f>(D225/$D$226)</f>
        <v>0.10074130733564056</v>
      </c>
      <c r="F225" s="91">
        <v>1000000</v>
      </c>
      <c r="G225" s="91">
        <v>1000000</v>
      </c>
      <c r="H225" s="32">
        <v>26</v>
      </c>
      <c r="I225" s="50">
        <v>0.224</v>
      </c>
      <c r="J225" s="50">
        <v>0.224</v>
      </c>
      <c r="K225" s="29">
        <v>13205978590.870001</v>
      </c>
      <c r="L225" s="30">
        <f>(K225/$K$226)</f>
        <v>0.10108891790132292</v>
      </c>
      <c r="M225" s="91">
        <v>1000000</v>
      </c>
      <c r="N225" s="91">
        <v>1000000</v>
      </c>
      <c r="O225" s="32">
        <v>26</v>
      </c>
      <c r="P225" s="50">
        <v>0.22239999999999999</v>
      </c>
      <c r="Q225" s="50">
        <v>0.22239999999999999</v>
      </c>
      <c r="R225" s="57">
        <f>((K225-D225)/D225)</f>
        <v>3.8385628104567289E-3</v>
      </c>
      <c r="S225" s="57">
        <f>((N225-G225)/G225)</f>
        <v>0</v>
      </c>
      <c r="T225" s="57">
        <f>((O225-H225)/H225)</f>
        <v>0</v>
      </c>
      <c r="U225" s="57">
        <f>P225-I225</f>
        <v>-1.6000000000000181E-3</v>
      </c>
      <c r="V225" s="58">
        <f>Q225-J225</f>
        <v>-1.6000000000000181E-3</v>
      </c>
    </row>
    <row r="226" spans="1:22">
      <c r="A226" s="85"/>
      <c r="B226" s="85"/>
      <c r="C226" s="86" t="s">
        <v>259</v>
      </c>
      <c r="D226" s="90">
        <f>SUM(D224:D225)</f>
        <v>130586755331.85001</v>
      </c>
      <c r="E226" s="92"/>
      <c r="F226" s="93"/>
      <c r="G226" s="93"/>
      <c r="H226" s="90">
        <f>SUM(H224:H225)</f>
        <v>26</v>
      </c>
      <c r="I226" s="113"/>
      <c r="J226" s="113"/>
      <c r="K226" s="90">
        <f>SUM(K224:K225)</f>
        <v>130637253469.87</v>
      </c>
      <c r="L226" s="92"/>
      <c r="M226" s="93"/>
      <c r="N226" s="93"/>
      <c r="O226" s="90">
        <f>SUM(O224:O225)</f>
        <v>26</v>
      </c>
      <c r="P226" s="113"/>
      <c r="Q226" s="90"/>
      <c r="R226" s="118">
        <f>((K226-D226)/D226)</f>
        <v>3.8670183581529386E-4</v>
      </c>
      <c r="S226" s="119"/>
      <c r="T226" s="119"/>
      <c r="U226" s="118"/>
      <c r="V226" s="120"/>
    </row>
    <row r="227" spans="1:22" ht="4.5" customHeight="1">
      <c r="A227" s="36"/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</row>
    <row r="228" spans="1:22" ht="15.6">
      <c r="A228" s="175" t="s">
        <v>260</v>
      </c>
      <c r="B228" s="175"/>
      <c r="C228" s="175"/>
      <c r="D228" s="175"/>
      <c r="E228" s="175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</row>
    <row r="229" spans="1:22">
      <c r="A229" s="138">
        <v>1</v>
      </c>
      <c r="B229" s="135" t="s">
        <v>261</v>
      </c>
      <c r="C229" s="136" t="s">
        <v>82</v>
      </c>
      <c r="D229" s="94">
        <v>1016645765.6528612</v>
      </c>
      <c r="E229" s="95">
        <f t="shared" ref="E229:E240" si="143">(D229/$D$241)</f>
        <v>7.4924115358552285E-2</v>
      </c>
      <c r="F229" s="91">
        <v>235.03</v>
      </c>
      <c r="G229" s="91">
        <v>234.07</v>
      </c>
      <c r="H229" s="96">
        <v>61</v>
      </c>
      <c r="I229" s="52">
        <v>1.9359230736501809E-2</v>
      </c>
      <c r="J229" s="52">
        <v>4.4600000000000001E-2</v>
      </c>
      <c r="K229" s="94">
        <v>998680200.28690982</v>
      </c>
      <c r="L229" s="95">
        <f t="shared" ref="L229:L240" si="144">(K229/$K$241)</f>
        <v>7.4478930452227143E-2</v>
      </c>
      <c r="M229" s="91">
        <v>235.34351367666073</v>
      </c>
      <c r="N229" s="91">
        <v>238.97623358312717</v>
      </c>
      <c r="O229" s="96">
        <v>61</v>
      </c>
      <c r="P229" s="52">
        <v>-1.7682971547455018E-2</v>
      </c>
      <c r="Q229" s="52">
        <v>2.6177350992677928E-2</v>
      </c>
      <c r="R229" s="57">
        <f>((K229-D229)/D229)</f>
        <v>-1.7671411196420454E-2</v>
      </c>
      <c r="S229" s="57">
        <f>((N229-G229)/G229)</f>
        <v>2.0960539937314372E-2</v>
      </c>
      <c r="T229" s="57">
        <f>((O229-H229)/H229)</f>
        <v>0</v>
      </c>
      <c r="U229" s="57">
        <f>P229-I229</f>
        <v>-3.7042202283956827E-2</v>
      </c>
      <c r="V229" s="58">
        <f>Q229-J229</f>
        <v>-1.8422649007322073E-2</v>
      </c>
    </row>
    <row r="230" spans="1:22">
      <c r="A230" s="138">
        <v>2</v>
      </c>
      <c r="B230" s="135" t="s">
        <v>262</v>
      </c>
      <c r="C230" s="136" t="s">
        <v>234</v>
      </c>
      <c r="D230" s="94">
        <v>1187464619.95</v>
      </c>
      <c r="E230" s="95">
        <f t="shared" si="143"/>
        <v>8.7513015029575619E-2</v>
      </c>
      <c r="F230" s="91">
        <v>33.78</v>
      </c>
      <c r="G230" s="91">
        <v>37.33</v>
      </c>
      <c r="H230" s="96">
        <v>220</v>
      </c>
      <c r="I230" s="52">
        <v>3.0000000000000001E-3</v>
      </c>
      <c r="J230" s="52">
        <v>0.1014</v>
      </c>
      <c r="K230" s="94">
        <v>1176283036.6600001</v>
      </c>
      <c r="L230" s="95">
        <f t="shared" si="144"/>
        <v>8.7724080696068477E-2</v>
      </c>
      <c r="M230" s="91">
        <v>33.46</v>
      </c>
      <c r="N230" s="91">
        <v>36.979999999999997</v>
      </c>
      <c r="O230" s="96">
        <v>220</v>
      </c>
      <c r="P230" s="52">
        <v>-9.4000000000000004E-3</v>
      </c>
      <c r="Q230" s="52">
        <v>9.0999999999999998E-2</v>
      </c>
      <c r="R230" s="57">
        <f t="shared" ref="R230:R241" si="145">((K230-D230)/D230)</f>
        <v>-9.4163506871226023E-3</v>
      </c>
      <c r="S230" s="57">
        <f t="shared" ref="S230:S241" si="146">((N230-G230)/G230)</f>
        <v>-9.3758371283150666E-3</v>
      </c>
      <c r="T230" s="57">
        <f t="shared" ref="T230:T241" si="147">((O230-H230)/H230)</f>
        <v>0</v>
      </c>
      <c r="U230" s="57">
        <f t="shared" ref="U230:U241" si="148">P230-I230</f>
        <v>-1.2400000000000001E-2</v>
      </c>
      <c r="V230" s="58">
        <f t="shared" ref="V230:V241" si="149">Q230-J230</f>
        <v>-1.0400000000000006E-2</v>
      </c>
    </row>
    <row r="231" spans="1:22">
      <c r="A231" s="138">
        <v>3</v>
      </c>
      <c r="B231" s="135" t="s">
        <v>263</v>
      </c>
      <c r="C231" s="136" t="s">
        <v>43</v>
      </c>
      <c r="D231" s="94">
        <v>417854782.63</v>
      </c>
      <c r="E231" s="95">
        <f t="shared" si="143"/>
        <v>3.079479696331414E-2</v>
      </c>
      <c r="F231" s="91">
        <v>31.176456999999999</v>
      </c>
      <c r="G231" s="91">
        <v>31.632755</v>
      </c>
      <c r="H231" s="96">
        <v>167</v>
      </c>
      <c r="I231" s="52">
        <v>-1.3723806638019198E-2</v>
      </c>
      <c r="J231" s="52">
        <v>9.0181881766756566E-2</v>
      </c>
      <c r="K231" s="94">
        <v>391906867.81</v>
      </c>
      <c r="L231" s="95">
        <f t="shared" si="144"/>
        <v>2.922737863731107E-2</v>
      </c>
      <c r="M231" s="91">
        <v>29.240462999999998</v>
      </c>
      <c r="N231" s="91">
        <v>29.610341999999999</v>
      </c>
      <c r="O231" s="96">
        <v>167</v>
      </c>
      <c r="P231" s="52">
        <v>-6.209792468254749E-2</v>
      </c>
      <c r="Q231" s="52">
        <v>2.2483849382526566E-2</v>
      </c>
      <c r="R231" s="57">
        <f t="shared" si="145"/>
        <v>-6.209792468254749E-2</v>
      </c>
      <c r="S231" s="57">
        <f t="shared" si="146"/>
        <v>-6.3934140418689431E-2</v>
      </c>
      <c r="T231" s="57">
        <f t="shared" si="147"/>
        <v>0</v>
      </c>
      <c r="U231" s="57">
        <f t="shared" si="148"/>
        <v>-4.8374118044528291E-2</v>
      </c>
      <c r="V231" s="58">
        <f t="shared" si="149"/>
        <v>-6.769803238423E-2</v>
      </c>
    </row>
    <row r="232" spans="1:22">
      <c r="A232" s="138">
        <v>4</v>
      </c>
      <c r="B232" s="135" t="s">
        <v>264</v>
      </c>
      <c r="C232" s="136" t="s">
        <v>43</v>
      </c>
      <c r="D232" s="94">
        <v>906507056.35000002</v>
      </c>
      <c r="E232" s="95">
        <f t="shared" si="143"/>
        <v>6.6807182558512146E-2</v>
      </c>
      <c r="F232" s="91">
        <v>68.022925999999998</v>
      </c>
      <c r="G232" s="91">
        <v>68.637491999999995</v>
      </c>
      <c r="H232" s="96">
        <v>99</v>
      </c>
      <c r="I232" s="52">
        <v>-2.0752103854253412E-2</v>
      </c>
      <c r="J232" s="52">
        <v>2.5396281176961244E-2</v>
      </c>
      <c r="K232" s="94">
        <v>884139069.00999999</v>
      </c>
      <c r="L232" s="95">
        <f t="shared" si="144"/>
        <v>6.5936755541938993E-2</v>
      </c>
      <c r="M232" s="91">
        <v>66.344465999999997</v>
      </c>
      <c r="N232" s="91">
        <v>66.879608000000005</v>
      </c>
      <c r="O232" s="96">
        <v>99</v>
      </c>
      <c r="P232" s="52">
        <v>-2.4674918064138907E-2</v>
      </c>
      <c r="Q232" s="52">
        <v>9.4711955646920032E-5</v>
      </c>
      <c r="R232" s="57">
        <f t="shared" si="145"/>
        <v>-2.4674918064138941E-2</v>
      </c>
      <c r="S232" s="57">
        <f t="shared" si="146"/>
        <v>-2.5611133926629927E-2</v>
      </c>
      <c r="T232" s="57">
        <f t="shared" si="147"/>
        <v>0</v>
      </c>
      <c r="U232" s="57">
        <f t="shared" si="148"/>
        <v>-3.9228142098854946E-3</v>
      </c>
      <c r="V232" s="58">
        <f t="shared" si="149"/>
        <v>-2.5301569221314324E-2</v>
      </c>
    </row>
    <row r="233" spans="1:22">
      <c r="A233" s="138">
        <v>5</v>
      </c>
      <c r="B233" s="135" t="s">
        <v>265</v>
      </c>
      <c r="C233" s="136" t="s">
        <v>266</v>
      </c>
      <c r="D233" s="94">
        <v>1329001460.3499999</v>
      </c>
      <c r="E233" s="95">
        <f t="shared" si="143"/>
        <v>9.7943907397287061E-2</v>
      </c>
      <c r="F233" s="91">
        <v>38870</v>
      </c>
      <c r="G233" s="91">
        <v>40980</v>
      </c>
      <c r="H233" s="96">
        <v>225</v>
      </c>
      <c r="I233" s="52">
        <v>-3.5999999999999997E-2</v>
      </c>
      <c r="J233" s="52">
        <v>0.06</v>
      </c>
      <c r="K233" s="94">
        <v>1389642970.9400001</v>
      </c>
      <c r="L233" s="95">
        <f t="shared" si="144"/>
        <v>0.10363590081823232</v>
      </c>
      <c r="M233" s="91">
        <v>39890</v>
      </c>
      <c r="N233" s="91">
        <v>41750</v>
      </c>
      <c r="O233" s="96">
        <v>225</v>
      </c>
      <c r="P233" s="52">
        <v>4.5999999999999999E-2</v>
      </c>
      <c r="Q233" s="52">
        <v>0.1</v>
      </c>
      <c r="R233" s="57">
        <f t="shared" si="145"/>
        <v>4.5629378446303492E-2</v>
      </c>
      <c r="S233" s="57">
        <f t="shared" si="146"/>
        <v>1.8789653489507077E-2</v>
      </c>
      <c r="T233" s="57">
        <f t="shared" si="147"/>
        <v>0</v>
      </c>
      <c r="U233" s="57">
        <f t="shared" si="148"/>
        <v>8.199999999999999E-2</v>
      </c>
      <c r="V233" s="58">
        <f t="shared" si="149"/>
        <v>4.0000000000000008E-2</v>
      </c>
    </row>
    <row r="234" spans="1:22">
      <c r="A234" s="138">
        <v>6</v>
      </c>
      <c r="B234" s="135" t="s">
        <v>267</v>
      </c>
      <c r="C234" s="136" t="s">
        <v>268</v>
      </c>
      <c r="D234" s="94">
        <v>1049040665.73</v>
      </c>
      <c r="E234" s="95">
        <f t="shared" si="143"/>
        <v>7.7311534174829624E-2</v>
      </c>
      <c r="F234" s="91">
        <v>445.5</v>
      </c>
      <c r="G234" s="91">
        <v>445.5</v>
      </c>
      <c r="H234" s="96">
        <v>136</v>
      </c>
      <c r="I234" s="52">
        <v>-1.8100000000000002E-2</v>
      </c>
      <c r="J234" s="52">
        <v>8.4000000000000005E-2</v>
      </c>
      <c r="K234" s="94">
        <v>1028679017.1</v>
      </c>
      <c r="L234" s="95">
        <f t="shared" si="144"/>
        <v>7.6716162942096641E-2</v>
      </c>
      <c r="M234" s="91">
        <v>270.89999999999998</v>
      </c>
      <c r="N234" s="91">
        <v>270.89999999999998</v>
      </c>
      <c r="O234" s="96">
        <v>136</v>
      </c>
      <c r="P234" s="52">
        <v>-1.9400000000000001E-2</v>
      </c>
      <c r="Q234" s="52">
        <v>6.3399999999999998E-2</v>
      </c>
      <c r="R234" s="57">
        <f t="shared" si="145"/>
        <v>-1.9409780092586645E-2</v>
      </c>
      <c r="S234" s="57">
        <f t="shared" si="146"/>
        <v>-0.39191919191919194</v>
      </c>
      <c r="T234" s="57">
        <f t="shared" si="147"/>
        <v>0</v>
      </c>
      <c r="U234" s="57">
        <f t="shared" si="148"/>
        <v>-1.2999999999999991E-3</v>
      </c>
      <c r="V234" s="58">
        <f t="shared" si="149"/>
        <v>-2.0600000000000007E-2</v>
      </c>
    </row>
    <row r="235" spans="1:22">
      <c r="A235" s="138">
        <v>7</v>
      </c>
      <c r="B235" s="135" t="s">
        <v>269</v>
      </c>
      <c r="C235" s="136" t="s">
        <v>268</v>
      </c>
      <c r="D235" s="94">
        <v>880326594.30999994</v>
      </c>
      <c r="E235" s="95">
        <f t="shared" si="143"/>
        <v>6.4877751458422422E-2</v>
      </c>
      <c r="F235" s="91">
        <v>400</v>
      </c>
      <c r="G235" s="91">
        <v>400</v>
      </c>
      <c r="H235" s="96">
        <v>618</v>
      </c>
      <c r="I235" s="52">
        <v>-1.4500000000000001E-2</v>
      </c>
      <c r="J235" s="52">
        <v>5.1400000000000001E-2</v>
      </c>
      <c r="K235" s="94">
        <v>868768904.91999996</v>
      </c>
      <c r="L235" s="95">
        <f t="shared" si="144"/>
        <v>6.4790489317806829E-2</v>
      </c>
      <c r="M235" s="91">
        <v>439.99</v>
      </c>
      <c r="N235" s="91">
        <v>439.99</v>
      </c>
      <c r="O235" s="96">
        <v>618</v>
      </c>
      <c r="P235" s="52">
        <v>-1.3100000000000001E-2</v>
      </c>
      <c r="Q235" s="52">
        <v>3.7699999999999997E-2</v>
      </c>
      <c r="R235" s="57">
        <f t="shared" si="145"/>
        <v>-1.3128865428697975E-2</v>
      </c>
      <c r="S235" s="57">
        <f t="shared" si="146"/>
        <v>9.9975000000000022E-2</v>
      </c>
      <c r="T235" s="57">
        <f t="shared" si="147"/>
        <v>0</v>
      </c>
      <c r="U235" s="57">
        <f t="shared" si="148"/>
        <v>1.4000000000000002E-3</v>
      </c>
      <c r="V235" s="58">
        <f t="shared" si="149"/>
        <v>-1.3700000000000004E-2</v>
      </c>
    </row>
    <row r="236" spans="1:22">
      <c r="A236" s="138">
        <v>8</v>
      </c>
      <c r="B236" s="135" t="s">
        <v>270</v>
      </c>
      <c r="C236" s="136" t="s">
        <v>271</v>
      </c>
      <c r="D236" s="94">
        <v>63765965.079999998</v>
      </c>
      <c r="E236" s="95">
        <f t="shared" si="143"/>
        <v>4.6993836840851753E-3</v>
      </c>
      <c r="F236" s="91">
        <v>18.350000000000001</v>
      </c>
      <c r="G236" s="91">
        <v>18.45</v>
      </c>
      <c r="H236" s="96">
        <v>72</v>
      </c>
      <c r="I236" s="52">
        <v>0</v>
      </c>
      <c r="J236" s="52">
        <v>9.01E-2</v>
      </c>
      <c r="K236" s="94">
        <v>63658978.770000003</v>
      </c>
      <c r="L236" s="95">
        <f t="shared" si="144"/>
        <v>4.7475184259270636E-3</v>
      </c>
      <c r="M236" s="91">
        <v>18.03</v>
      </c>
      <c r="N236" s="91">
        <v>18.13</v>
      </c>
      <c r="O236" s="96">
        <v>77</v>
      </c>
      <c r="P236" s="52">
        <v>3.73E-2</v>
      </c>
      <c r="Q236" s="52">
        <v>0.1308</v>
      </c>
      <c r="R236" s="57">
        <f t="shared" si="145"/>
        <v>-1.6777964524769791E-3</v>
      </c>
      <c r="S236" s="57">
        <f t="shared" si="146"/>
        <v>-1.7344173441734435E-2</v>
      </c>
      <c r="T236" s="57">
        <f t="shared" si="147"/>
        <v>6.9444444444444448E-2</v>
      </c>
      <c r="U236" s="57">
        <f t="shared" si="148"/>
        <v>3.73E-2</v>
      </c>
      <c r="V236" s="58">
        <f t="shared" si="149"/>
        <v>4.07E-2</v>
      </c>
    </row>
    <row r="237" spans="1:22">
      <c r="A237" s="138">
        <v>9</v>
      </c>
      <c r="B237" s="135" t="s">
        <v>272</v>
      </c>
      <c r="C237" s="136" t="s">
        <v>271</v>
      </c>
      <c r="D237" s="97">
        <v>738319600.12</v>
      </c>
      <c r="E237" s="95">
        <f t="shared" si="143"/>
        <v>5.4412209994645924E-2</v>
      </c>
      <c r="F237" s="91">
        <v>11.61</v>
      </c>
      <c r="G237" s="91">
        <v>11.71</v>
      </c>
      <c r="H237" s="96">
        <v>117</v>
      </c>
      <c r="I237" s="52">
        <v>0</v>
      </c>
      <c r="J237" s="52">
        <v>0.22109999999999999</v>
      </c>
      <c r="K237" s="97">
        <v>720768871.74000001</v>
      </c>
      <c r="L237" s="95">
        <f t="shared" si="144"/>
        <v>5.3753037914470933E-2</v>
      </c>
      <c r="M237" s="91">
        <v>11.27</v>
      </c>
      <c r="N237" s="91">
        <v>11.37</v>
      </c>
      <c r="O237" s="96">
        <v>124</v>
      </c>
      <c r="P237" s="52">
        <v>3.6799999999999999E-2</v>
      </c>
      <c r="Q237" s="52">
        <v>0.2661</v>
      </c>
      <c r="R237" s="57">
        <f t="shared" si="145"/>
        <v>-2.3771180363012782E-2</v>
      </c>
      <c r="S237" s="57">
        <f t="shared" si="146"/>
        <v>-2.9035012809564612E-2</v>
      </c>
      <c r="T237" s="57">
        <f t="shared" si="147"/>
        <v>5.9829059829059832E-2</v>
      </c>
      <c r="U237" s="57">
        <f t="shared" si="148"/>
        <v>3.6799999999999999E-2</v>
      </c>
      <c r="V237" s="58">
        <f t="shared" si="149"/>
        <v>4.5000000000000012E-2</v>
      </c>
    </row>
    <row r="238" spans="1:22" ht="15" customHeight="1">
      <c r="A238" s="138">
        <v>10</v>
      </c>
      <c r="B238" s="135" t="s">
        <v>273</v>
      </c>
      <c r="C238" s="136" t="s">
        <v>271</v>
      </c>
      <c r="D238" s="94">
        <v>97761866.700000003</v>
      </c>
      <c r="E238" s="95">
        <f t="shared" si="143"/>
        <v>7.2047920974662024E-3</v>
      </c>
      <c r="F238" s="91">
        <v>133.63999999999999</v>
      </c>
      <c r="G238" s="91">
        <v>135.63999999999999</v>
      </c>
      <c r="H238" s="96">
        <v>299</v>
      </c>
      <c r="I238" s="52">
        <v>-5.8299999999999998E-2</v>
      </c>
      <c r="J238" s="52">
        <v>0.1024</v>
      </c>
      <c r="K238" s="94">
        <v>97825154.120000005</v>
      </c>
      <c r="L238" s="95">
        <f t="shared" si="144"/>
        <v>7.2955415037653897E-3</v>
      </c>
      <c r="M238" s="91">
        <v>133.72999999999999</v>
      </c>
      <c r="N238" s="91">
        <v>135.72999999999999</v>
      </c>
      <c r="O238" s="96">
        <v>300</v>
      </c>
      <c r="P238" s="52">
        <v>-0.1721</v>
      </c>
      <c r="Q238" s="52">
        <v>-8.7300000000000003E-2</v>
      </c>
      <c r="R238" s="57">
        <f t="shared" si="145"/>
        <v>6.4736304794803788E-4</v>
      </c>
      <c r="S238" s="57">
        <f t="shared" si="146"/>
        <v>6.6352108522562238E-4</v>
      </c>
      <c r="T238" s="57">
        <f t="shared" si="147"/>
        <v>3.3444816053511705E-3</v>
      </c>
      <c r="U238" s="57">
        <f t="shared" si="148"/>
        <v>-0.11380000000000001</v>
      </c>
      <c r="V238" s="58">
        <f t="shared" si="149"/>
        <v>-0.18970000000000001</v>
      </c>
    </row>
    <row r="239" spans="1:22">
      <c r="A239" s="138">
        <v>11</v>
      </c>
      <c r="B239" s="135" t="s">
        <v>274</v>
      </c>
      <c r="C239" s="136" t="s">
        <v>271</v>
      </c>
      <c r="D239" s="94">
        <v>5819421707.0900002</v>
      </c>
      <c r="E239" s="95">
        <f t="shared" si="143"/>
        <v>0.42887605302922588</v>
      </c>
      <c r="F239" s="91">
        <v>40.28</v>
      </c>
      <c r="G239" s="91">
        <v>40.479999999999997</v>
      </c>
      <c r="H239" s="96">
        <v>287</v>
      </c>
      <c r="I239" s="52">
        <v>0</v>
      </c>
      <c r="J239" s="52">
        <v>9.0399999999999994E-2</v>
      </c>
      <c r="K239" s="94">
        <v>5725100627.4200001</v>
      </c>
      <c r="L239" s="95">
        <f t="shared" si="144"/>
        <v>0.42696287694410717</v>
      </c>
      <c r="M239" s="91">
        <v>39.68</v>
      </c>
      <c r="N239" s="91">
        <v>39.880000000000003</v>
      </c>
      <c r="O239" s="96">
        <v>288</v>
      </c>
      <c r="P239" s="52">
        <v>0</v>
      </c>
      <c r="Q239" s="52">
        <v>9.0399999999999994E-2</v>
      </c>
      <c r="R239" s="57">
        <f t="shared" si="145"/>
        <v>-1.6207981551686741E-2</v>
      </c>
      <c r="S239" s="57">
        <f t="shared" si="146"/>
        <v>-1.4822134387351639E-2</v>
      </c>
      <c r="T239" s="57">
        <f t="shared" si="147"/>
        <v>3.4843205574912892E-3</v>
      </c>
      <c r="U239" s="57">
        <f t="shared" si="148"/>
        <v>0</v>
      </c>
      <c r="V239" s="58">
        <f t="shared" si="149"/>
        <v>0</v>
      </c>
    </row>
    <row r="240" spans="1:22">
      <c r="A240" s="138">
        <v>12</v>
      </c>
      <c r="B240" s="135" t="s">
        <v>275</v>
      </c>
      <c r="C240" s="136" t="s">
        <v>271</v>
      </c>
      <c r="D240" s="97">
        <v>62895846.740000002</v>
      </c>
      <c r="E240" s="95">
        <f t="shared" si="143"/>
        <v>4.6352582540836185E-3</v>
      </c>
      <c r="F240" s="91">
        <v>36.1</v>
      </c>
      <c r="G240" s="91">
        <v>36.299999999999997</v>
      </c>
      <c r="H240" s="96">
        <v>66</v>
      </c>
      <c r="I240" s="52">
        <v>1.2E-2</v>
      </c>
      <c r="J240" s="52">
        <v>3.5999999999999999E-3</v>
      </c>
      <c r="K240" s="97">
        <v>63441867.030000001</v>
      </c>
      <c r="L240" s="95">
        <f t="shared" si="144"/>
        <v>4.7313268060479707E-3</v>
      </c>
      <c r="M240" s="91">
        <v>36.1</v>
      </c>
      <c r="N240" s="91">
        <v>36.299999999999997</v>
      </c>
      <c r="O240" s="96">
        <v>71</v>
      </c>
      <c r="P240" s="52">
        <v>0</v>
      </c>
      <c r="Q240" s="52">
        <v>3.5999999999999999E-3</v>
      </c>
      <c r="R240" s="57">
        <f t="shared" si="145"/>
        <v>8.6813409517666196E-3</v>
      </c>
      <c r="S240" s="57">
        <f t="shared" si="146"/>
        <v>0</v>
      </c>
      <c r="T240" s="57">
        <f t="shared" si="147"/>
        <v>7.575757575757576E-2</v>
      </c>
      <c r="U240" s="57">
        <f t="shared" si="148"/>
        <v>-1.2E-2</v>
      </c>
      <c r="V240" s="58">
        <f t="shared" si="149"/>
        <v>0</v>
      </c>
    </row>
    <row r="241" spans="1:26">
      <c r="A241" s="130"/>
      <c r="B241" s="130"/>
      <c r="C241" s="131" t="s">
        <v>276</v>
      </c>
      <c r="D241" s="90">
        <f>SUM(D229:D240)</f>
        <v>13569005930.70286</v>
      </c>
      <c r="E241" s="92"/>
      <c r="F241" s="92"/>
      <c r="G241" s="93"/>
      <c r="H241" s="90">
        <f>SUM(H229:H240)</f>
        <v>2367</v>
      </c>
      <c r="I241" s="113"/>
      <c r="J241" s="113"/>
      <c r="K241" s="90">
        <f>SUM(K229:K240)</f>
        <v>13408895565.80691</v>
      </c>
      <c r="L241" s="92"/>
      <c r="M241" s="92"/>
      <c r="N241" s="93"/>
      <c r="O241" s="90">
        <f>SUM(O229:O240)</f>
        <v>2386</v>
      </c>
      <c r="P241" s="113"/>
      <c r="Q241" s="113"/>
      <c r="R241" s="57">
        <f t="shared" si="145"/>
        <v>-1.179971220542143E-2</v>
      </c>
      <c r="S241" s="57" t="e">
        <f t="shared" si="146"/>
        <v>#DIV/0!</v>
      </c>
      <c r="T241" s="57">
        <f t="shared" si="147"/>
        <v>8.0270384452893959E-3</v>
      </c>
      <c r="U241" s="57">
        <f t="shared" si="148"/>
        <v>0</v>
      </c>
      <c r="V241" s="58">
        <f t="shared" si="149"/>
        <v>0</v>
      </c>
      <c r="Z241" s="65"/>
    </row>
    <row r="242" spans="1:26">
      <c r="A242" s="98"/>
      <c r="B242" s="98"/>
      <c r="C242" s="99" t="s">
        <v>277</v>
      </c>
      <c r="D242" s="100">
        <f>SUM(D216,D221,D226,D241)</f>
        <v>4538137880192.8936</v>
      </c>
      <c r="E242" s="101"/>
      <c r="F242" s="101"/>
      <c r="G242" s="102"/>
      <c r="H242" s="100">
        <f>SUM(H216,H221,H226,H241)</f>
        <v>843338</v>
      </c>
      <c r="I242" s="114"/>
      <c r="J242" s="114"/>
      <c r="K242" s="100">
        <f>SUM(K216,K221,K226,K241)</f>
        <v>4631964679964.1299</v>
      </c>
      <c r="L242" s="101"/>
      <c r="M242" s="101"/>
      <c r="N242" s="100"/>
      <c r="O242" s="100">
        <f>SUM(O216,O221,O226,O241)</f>
        <v>848502</v>
      </c>
      <c r="P242" s="115"/>
      <c r="Q242" s="100"/>
      <c r="R242" s="121"/>
      <c r="S242" s="122"/>
      <c r="T242" s="122"/>
      <c r="U242" s="123"/>
      <c r="V242" s="123"/>
      <c r="Z242" s="65"/>
    </row>
    <row r="243" spans="1:26">
      <c r="A243" s="103" t="s">
        <v>278</v>
      </c>
      <c r="B243" s="128" t="s">
        <v>304</v>
      </c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</row>
    <row r="244" spans="1:26">
      <c r="B244" s="127"/>
    </row>
    <row r="245" spans="1:26">
      <c r="B245" s="127"/>
      <c r="C245" s="105"/>
      <c r="D245" s="106"/>
      <c r="K245" s="106"/>
    </row>
    <row r="246" spans="1:26" ht="15">
      <c r="B246" s="107"/>
      <c r="C246" s="108"/>
      <c r="D246" s="109"/>
      <c r="F246" s="110"/>
      <c r="G246" s="110"/>
      <c r="I246" s="116"/>
      <c r="J246" s="117"/>
    </row>
    <row r="249" spans="1:26">
      <c r="B249" s="105"/>
    </row>
  </sheetData>
  <sheetProtection algorithmName="SHA-512" hashValue="pD0XN1VAbW9Q6ZfcQfDNdQt9WcLRHRcxEq93KbrAJd6V0/MWVfEIsfJC9TcrqoVvlQnF66lSr3RdXnoB4b1RrA==" saltValue="dO9ltGFruqF3xMKGbtV+ag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68:V68"/>
    <mergeCell ref="A69:V69"/>
    <mergeCell ref="B108:V108"/>
    <mergeCell ref="A109:V109"/>
    <mergeCell ref="A110:V110"/>
    <mergeCell ref="B128:V128"/>
    <mergeCell ref="A129:V129"/>
    <mergeCell ref="B146:V146"/>
    <mergeCell ref="A147:V147"/>
    <mergeCell ref="B154:V154"/>
    <mergeCell ref="A155:V155"/>
    <mergeCell ref="B185:V185"/>
    <mergeCell ref="A186:V186"/>
    <mergeCell ref="B191:V191"/>
    <mergeCell ref="A192:V192"/>
    <mergeCell ref="A193:V193"/>
    <mergeCell ref="A218:V218"/>
    <mergeCell ref="A223:V223"/>
    <mergeCell ref="B227:V227"/>
    <mergeCell ref="A228:V228"/>
    <mergeCell ref="B196:V196"/>
    <mergeCell ref="A197:V197"/>
    <mergeCell ref="B211:V211"/>
    <mergeCell ref="A212:V212"/>
    <mergeCell ref="B217:U217"/>
  </mergeCells>
  <pageMargins left="0.7" right="0.7" top="0.75" bottom="0.75" header="0.3" footer="0.3"/>
  <pageSetup paperSize="9" orientation="portrait" horizontalDpi="300" verticalDpi="300" r:id="rId1"/>
  <ignoredErrors>
    <ignoredError sqref="L93 E93 E74 L48 E48 L33 E33 L133 E133" formula="1"/>
    <ignoredError sqref="S153 S25 T38 S67 S107 S145 S184 S190 S215 S241 T224:T225 R49:T49 R133 T163 R122:T122 R45:T45" evalError="1"/>
    <ignoredError sqref="P119:Q119 I1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G6" sqref="G6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50"/>
      <c r="B1" s="150"/>
      <c r="C1" s="150"/>
      <c r="D1" s="150"/>
      <c r="E1" s="15"/>
    </row>
    <row r="2" spans="1:5" ht="27.6">
      <c r="A2" s="151" t="s">
        <v>279</v>
      </c>
      <c r="B2" s="152" t="s">
        <v>307</v>
      </c>
      <c r="C2" s="152" t="s">
        <v>314</v>
      </c>
      <c r="D2" s="153"/>
      <c r="E2" s="15"/>
    </row>
    <row r="3" spans="1:5">
      <c r="A3" s="154" t="s">
        <v>17</v>
      </c>
      <c r="B3" s="155">
        <f t="shared" ref="B3:C10" si="0">B13</f>
        <v>38.249076563469998</v>
      </c>
      <c r="C3" s="155">
        <f t="shared" si="0"/>
        <v>37.42128971476</v>
      </c>
      <c r="D3" s="153"/>
      <c r="E3" s="15"/>
    </row>
    <row r="4" spans="1:5" ht="17.25" customHeight="1">
      <c r="A4" s="151" t="s">
        <v>54</v>
      </c>
      <c r="B4" s="156">
        <f t="shared" si="0"/>
        <v>2134.730862264129</v>
      </c>
      <c r="C4" s="156">
        <f t="shared" si="0"/>
        <v>2212.6900033948405</v>
      </c>
      <c r="D4" s="153"/>
      <c r="E4" s="15"/>
    </row>
    <row r="5" spans="1:5" ht="19.5" customHeight="1">
      <c r="A5" s="151" t="s">
        <v>280</v>
      </c>
      <c r="B5" s="155">
        <f t="shared" si="0"/>
        <v>192.4253325536952</v>
      </c>
      <c r="C5" s="155">
        <f t="shared" si="0"/>
        <v>192.65167516949469</v>
      </c>
      <c r="D5" s="153"/>
      <c r="E5" s="15"/>
    </row>
    <row r="6" spans="1:5">
      <c r="A6" s="151" t="s">
        <v>157</v>
      </c>
      <c r="B6" s="156">
        <f t="shared" si="0"/>
        <v>1793.3268118238843</v>
      </c>
      <c r="C6" s="156">
        <f t="shared" si="0"/>
        <v>1809.7410566076073</v>
      </c>
      <c r="D6" s="153"/>
      <c r="E6" s="15"/>
    </row>
    <row r="7" spans="1:5">
      <c r="A7" s="151" t="s">
        <v>281</v>
      </c>
      <c r="B7" s="155">
        <f t="shared" si="0"/>
        <v>101.12809996418001</v>
      </c>
      <c r="C7" s="155">
        <f t="shared" si="0"/>
        <v>101.18038492677501</v>
      </c>
      <c r="D7" s="153"/>
      <c r="E7" s="15"/>
    </row>
    <row r="8" spans="1:5">
      <c r="A8" s="151" t="s">
        <v>195</v>
      </c>
      <c r="B8" s="157">
        <f t="shared" si="0"/>
        <v>57.79891425153302</v>
      </c>
      <c r="C8" s="157">
        <f t="shared" si="0"/>
        <v>57.327361079561818</v>
      </c>
      <c r="D8" s="153"/>
      <c r="E8" s="15"/>
    </row>
    <row r="9" spans="1:5">
      <c r="A9" s="151" t="s">
        <v>226</v>
      </c>
      <c r="B9" s="155">
        <f t="shared" si="0"/>
        <v>6.7104709531500006</v>
      </c>
      <c r="C9" s="155">
        <f t="shared" si="0"/>
        <v>6.6635386120999991</v>
      </c>
      <c r="D9" s="153"/>
      <c r="E9" s="15"/>
    </row>
    <row r="10" spans="1:5">
      <c r="A10" s="151" t="s">
        <v>282</v>
      </c>
      <c r="B10" s="155">
        <f t="shared" si="0"/>
        <v>54.472879817508158</v>
      </c>
      <c r="C10" s="155">
        <f t="shared" si="0"/>
        <v>55.019083815621016</v>
      </c>
      <c r="D10" s="153"/>
      <c r="E10" s="15"/>
    </row>
    <row r="11" spans="1:5">
      <c r="A11" s="151"/>
      <c r="B11" s="155"/>
      <c r="C11" s="155"/>
      <c r="D11" s="153"/>
      <c r="E11" s="15"/>
    </row>
    <row r="12" spans="1:5">
      <c r="A12" s="150"/>
      <c r="B12" s="150"/>
      <c r="C12" s="150"/>
      <c r="D12" s="150"/>
      <c r="E12" s="15"/>
    </row>
    <row r="13" spans="1:5">
      <c r="A13" s="158" t="s">
        <v>17</v>
      </c>
      <c r="B13" s="159">
        <f>'Weekly Valuation'!D25/1000000000</f>
        <v>38.249076563469998</v>
      </c>
      <c r="C13" s="160">
        <f>'Weekly Valuation'!K25/1000000000</f>
        <v>37.42128971476</v>
      </c>
      <c r="D13" s="150"/>
      <c r="E13" s="15"/>
    </row>
    <row r="14" spans="1:5">
      <c r="A14" s="161" t="s">
        <v>54</v>
      </c>
      <c r="B14" s="159">
        <f>'Weekly Valuation'!D67/1000000000</f>
        <v>2134.730862264129</v>
      </c>
      <c r="C14" s="162">
        <f>'Weekly Valuation'!K67/1000000000</f>
        <v>2212.6900033948405</v>
      </c>
      <c r="D14" s="150"/>
      <c r="E14" s="15"/>
    </row>
    <row r="15" spans="1:5">
      <c r="A15" s="161" t="s">
        <v>280</v>
      </c>
      <c r="B15" s="159">
        <f>'Weekly Valuation'!D107/1000000000</f>
        <v>192.4253325536952</v>
      </c>
      <c r="C15" s="160">
        <f>'Weekly Valuation'!K107/1000000000</f>
        <v>192.65167516949469</v>
      </c>
      <c r="D15" s="150"/>
      <c r="E15" s="15"/>
    </row>
    <row r="16" spans="1:5">
      <c r="A16" s="161" t="s">
        <v>157</v>
      </c>
      <c r="B16" s="159">
        <f>'Weekly Valuation'!D145/1000000000</f>
        <v>1793.3268118238843</v>
      </c>
      <c r="C16" s="162">
        <f>'Weekly Valuation'!K145/1000000000</f>
        <v>1809.7410566076073</v>
      </c>
      <c r="D16" s="150"/>
      <c r="E16" s="15"/>
    </row>
    <row r="17" spans="1:5">
      <c r="A17" s="161" t="s">
        <v>281</v>
      </c>
      <c r="B17" s="159">
        <f>'Weekly Valuation'!D153/1000000000</f>
        <v>101.12809996418001</v>
      </c>
      <c r="C17" s="160">
        <f>'Weekly Valuation'!K153/1000000000</f>
        <v>101.18038492677501</v>
      </c>
      <c r="D17" s="150"/>
      <c r="E17" s="15"/>
    </row>
    <row r="18" spans="1:5">
      <c r="A18" s="161" t="s">
        <v>195</v>
      </c>
      <c r="B18" s="159">
        <f>'Weekly Valuation'!D184/1000000000</f>
        <v>57.79891425153302</v>
      </c>
      <c r="C18" s="163">
        <f>'Weekly Valuation'!K184/1000000000</f>
        <v>57.327361079561818</v>
      </c>
      <c r="D18" s="150"/>
      <c r="E18" s="15"/>
    </row>
    <row r="19" spans="1:5">
      <c r="A19" s="161" t="s">
        <v>226</v>
      </c>
      <c r="B19" s="159">
        <f>'Weekly Valuation'!D190/1000000000</f>
        <v>6.7104709531500006</v>
      </c>
      <c r="C19" s="160">
        <f>'Weekly Valuation'!K190/1000000000</f>
        <v>6.6635386120999991</v>
      </c>
      <c r="D19" s="150"/>
      <c r="E19" s="15"/>
    </row>
    <row r="20" spans="1:5">
      <c r="A20" s="161" t="s">
        <v>282</v>
      </c>
      <c r="B20" s="159">
        <f>'Weekly Valuation'!D215/1000000000</f>
        <v>54.472879817508158</v>
      </c>
      <c r="C20" s="160">
        <f>'Weekly Valuation'!K215/1000000000</f>
        <v>55.019083815621016</v>
      </c>
      <c r="D20" s="150"/>
      <c r="E20" s="15"/>
    </row>
    <row r="21" spans="1:5">
      <c r="A21" s="164"/>
      <c r="B21" s="150"/>
      <c r="C21" s="165"/>
      <c r="D21" s="150"/>
      <c r="E21" s="15"/>
    </row>
    <row r="22" spans="1:5">
      <c r="A22" s="164"/>
      <c r="B22" s="150"/>
      <c r="C22" s="168"/>
      <c r="D22" s="150"/>
      <c r="E22" s="15"/>
    </row>
    <row r="23" spans="1:5">
      <c r="A23" s="133"/>
      <c r="B23" s="134"/>
      <c r="C23" s="169"/>
      <c r="D23" s="19"/>
      <c r="E23" s="15"/>
    </row>
    <row r="24" spans="1:5">
      <c r="A24" s="21"/>
      <c r="B24" s="22"/>
      <c r="C24" s="22"/>
      <c r="D24" s="15"/>
      <c r="E24" s="15"/>
    </row>
    <row r="25" spans="1:5">
      <c r="A25" s="133"/>
      <c r="B25" s="134"/>
      <c r="C25" s="134"/>
      <c r="D25" s="19"/>
      <c r="E25" s="19"/>
    </row>
    <row r="26" spans="1:5">
      <c r="A26" s="21"/>
      <c r="B26" s="22"/>
      <c r="C26" s="22"/>
      <c r="D26" s="15"/>
      <c r="E26" s="15"/>
    </row>
    <row r="27" spans="1:5">
      <c r="A27" s="21"/>
      <c r="B27" s="22"/>
      <c r="C27" s="22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</row>
  </sheetData>
  <sheetProtection algorithmName="SHA-512" hashValue="zYHIepHUA+9MVdQ1t1CIZj5egK46xAm49ucOr9RmtCFaYEIBMu4hROc48MvT/TS0H8OS6kUJzNSmKm27ObZWWQ==" saltValue="LoQcJMpw6YN6v0wHOhnXo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K9" sqref="K9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66" t="s">
        <v>279</v>
      </c>
      <c r="B1" s="167">
        <v>45723</v>
      </c>
      <c r="C1" s="19"/>
      <c r="D1" s="19"/>
      <c r="E1" s="15"/>
      <c r="F1" s="15"/>
      <c r="G1" s="15"/>
    </row>
    <row r="2" spans="1:7">
      <c r="A2" s="164" t="s">
        <v>226</v>
      </c>
      <c r="B2" s="168">
        <f>'Weekly Valuation'!K190</f>
        <v>6663538612.0999994</v>
      </c>
      <c r="C2" s="19"/>
      <c r="D2" s="19"/>
      <c r="E2" s="15"/>
      <c r="F2" s="15"/>
      <c r="G2" s="15"/>
    </row>
    <row r="3" spans="1:7">
      <c r="A3" s="164" t="s">
        <v>17</v>
      </c>
      <c r="B3" s="168">
        <f>'Weekly Valuation'!K25</f>
        <v>37421289714.760002</v>
      </c>
      <c r="C3" s="19"/>
      <c r="D3" s="19"/>
      <c r="E3" s="15"/>
      <c r="F3" s="15"/>
      <c r="G3" s="15"/>
    </row>
    <row r="4" spans="1:7">
      <c r="A4" s="164" t="s">
        <v>282</v>
      </c>
      <c r="B4" s="169">
        <f>'Weekly Valuation'!K215</f>
        <v>55019083815.621017</v>
      </c>
      <c r="C4" s="19"/>
      <c r="D4" s="19"/>
      <c r="E4" s="15"/>
      <c r="F4" s="15"/>
      <c r="G4" s="15"/>
    </row>
    <row r="5" spans="1:7">
      <c r="A5" s="164" t="s">
        <v>195</v>
      </c>
      <c r="B5" s="168">
        <f>'Weekly Valuation'!K184</f>
        <v>57327361079.561821</v>
      </c>
      <c r="C5" s="19"/>
      <c r="D5" s="19"/>
      <c r="E5" s="15"/>
      <c r="F5" s="15"/>
      <c r="G5" s="15"/>
    </row>
    <row r="6" spans="1:7">
      <c r="A6" s="164" t="s">
        <v>281</v>
      </c>
      <c r="B6" s="168">
        <f>'Weekly Valuation'!K153</f>
        <v>101180384926.77501</v>
      </c>
      <c r="C6" s="19"/>
      <c r="D6" s="19"/>
      <c r="E6" s="15"/>
      <c r="F6" s="15"/>
      <c r="G6" s="15"/>
    </row>
    <row r="7" spans="1:7">
      <c r="A7" s="164" t="s">
        <v>280</v>
      </c>
      <c r="B7" s="168">
        <f>'Weekly Valuation'!K107</f>
        <v>192651675169.49469</v>
      </c>
      <c r="C7" s="19"/>
      <c r="D7" s="19"/>
      <c r="E7" s="15"/>
      <c r="F7" s="15"/>
      <c r="G7" s="15"/>
    </row>
    <row r="8" spans="1:7">
      <c r="A8" s="164" t="s">
        <v>54</v>
      </c>
      <c r="B8" s="165">
        <f>'Weekly Valuation'!K67</f>
        <v>2212690003394.8403</v>
      </c>
      <c r="C8" s="19"/>
      <c r="D8" s="19"/>
      <c r="E8" s="15"/>
      <c r="F8" s="15"/>
      <c r="G8" s="15"/>
    </row>
    <row r="9" spans="1:7">
      <c r="A9" s="164" t="s">
        <v>157</v>
      </c>
      <c r="B9" s="165">
        <f>'Weekly Valuation'!K145</f>
        <v>1809741056607.6074</v>
      </c>
      <c r="C9" s="19"/>
      <c r="D9" s="19"/>
      <c r="E9" s="15"/>
      <c r="F9" s="15"/>
      <c r="G9" s="15"/>
    </row>
    <row r="10" spans="1:7">
      <c r="A10" s="150"/>
      <c r="B10" s="150"/>
      <c r="C10" s="19"/>
      <c r="D10" s="19"/>
      <c r="E10" s="15"/>
      <c r="F10" s="15"/>
      <c r="G10" s="15"/>
    </row>
    <row r="11" spans="1:7">
      <c r="A11" s="164"/>
      <c r="B11" s="170"/>
      <c r="C11" s="19"/>
      <c r="D11" s="19"/>
      <c r="E11" s="15"/>
      <c r="F11" s="15"/>
      <c r="G11" s="15"/>
    </row>
    <row r="12" spans="1:7">
      <c r="A12" s="164"/>
      <c r="B12" s="19"/>
      <c r="C12" s="19"/>
      <c r="D12" s="19"/>
      <c r="E12" s="15"/>
      <c r="F12" s="15"/>
      <c r="G12" s="15"/>
    </row>
    <row r="13" spans="1:7">
      <c r="A13" s="134"/>
      <c r="B13" s="134"/>
      <c r="C13" s="19"/>
      <c r="D13" s="19"/>
      <c r="E13" s="15"/>
      <c r="F13" s="15"/>
      <c r="G13" s="15"/>
    </row>
    <row r="14" spans="1:7">
      <c r="A14" s="134"/>
      <c r="B14" s="134"/>
      <c r="C14" s="19"/>
      <c r="D14" s="19"/>
      <c r="E14" s="15"/>
      <c r="F14" s="15"/>
      <c r="G14" s="15"/>
    </row>
    <row r="15" spans="1:7" ht="16.5" customHeight="1">
      <c r="A15" s="141"/>
      <c r="B15" s="141"/>
      <c r="C15" s="15"/>
      <c r="D15" s="15"/>
      <c r="E15" s="15"/>
      <c r="F15" s="15"/>
      <c r="G15" s="15"/>
    </row>
    <row r="16" spans="1:7">
      <c r="A16" s="22"/>
      <c r="B16" s="22"/>
      <c r="C16" s="15"/>
      <c r="D16" s="15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25"/>
      <c r="B18" s="22"/>
      <c r="C18" s="15"/>
      <c r="D18" s="15"/>
      <c r="E18" s="15"/>
      <c r="F18" s="15"/>
      <c r="G18" s="15"/>
    </row>
    <row r="19" spans="1:17">
      <c r="A19" s="125"/>
      <c r="B19" s="125"/>
      <c r="C19" s="15"/>
      <c r="D19" s="15"/>
      <c r="E19" s="15"/>
      <c r="F19" s="15"/>
      <c r="G19" s="15"/>
    </row>
    <row r="20" spans="1:17">
      <c r="A20" s="125"/>
      <c r="B20" s="125"/>
      <c r="C20" s="15"/>
      <c r="D20" s="15"/>
      <c r="E20" s="15"/>
      <c r="F20" s="15"/>
      <c r="G20" s="15"/>
    </row>
    <row r="21" spans="1:17">
      <c r="A21" s="21"/>
      <c r="B21" s="125"/>
      <c r="C21" s="15"/>
      <c r="D21" s="15"/>
      <c r="E21" s="15"/>
      <c r="F21" s="15"/>
      <c r="G21" s="15"/>
    </row>
    <row r="22" spans="1:17">
      <c r="A22" s="15"/>
      <c r="B22" s="125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20"/>
    </row>
    <row r="33" spans="1:17" ht="1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20"/>
    </row>
  </sheetData>
  <sheetProtection algorithmName="SHA-512" hashValue="S/MVBl8jdf6Utx8VnXcp0gBAVUEq2qkbQzQpi6acr8iRkxpNS+v3jh0QiX9wQcjeKiILs0Tba5kzVqJhYOEbcg==" saltValue="InEwlZ0Jezy9C/3JGGcYb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1"/>
  <sheetViews>
    <sheetView zoomScale="110" zoomScaleNormal="110" workbookViewId="0">
      <selection activeCell="E7" sqref="E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>
      <c r="A2" s="187" t="s">
        <v>283</v>
      </c>
      <c r="B2" s="144">
        <v>45674</v>
      </c>
      <c r="C2" s="144">
        <v>45681</v>
      </c>
      <c r="D2" s="144">
        <v>45688</v>
      </c>
      <c r="E2" s="144">
        <v>45695</v>
      </c>
      <c r="F2" s="144">
        <v>45702</v>
      </c>
      <c r="G2" s="144">
        <v>45709</v>
      </c>
      <c r="H2" s="144">
        <v>45716</v>
      </c>
      <c r="I2" s="144">
        <v>45723</v>
      </c>
      <c r="J2" s="15"/>
      <c r="K2" s="15"/>
      <c r="L2" s="15"/>
      <c r="M2" s="15"/>
    </row>
    <row r="3" spans="1:13">
      <c r="A3" s="187" t="s">
        <v>284</v>
      </c>
      <c r="B3" s="145">
        <f t="shared" ref="B3:I3" si="0">B4</f>
        <v>4019.7056298340649</v>
      </c>
      <c r="C3" s="145">
        <f t="shared" si="0"/>
        <v>4119.3897630881565</v>
      </c>
      <c r="D3" s="145">
        <f t="shared" si="0"/>
        <v>4111.8204981719919</v>
      </c>
      <c r="E3" s="145">
        <f t="shared" si="0"/>
        <v>4191.3962694654292</v>
      </c>
      <c r="F3" s="145">
        <f t="shared" si="0"/>
        <v>4269.5517023318498</v>
      </c>
      <c r="G3" s="145">
        <f t="shared" si="0"/>
        <v>4304.4471471275037</v>
      </c>
      <c r="H3" s="145">
        <f t="shared" si="0"/>
        <v>4378.8424481915499</v>
      </c>
      <c r="I3" s="145">
        <f t="shared" si="0"/>
        <v>4472.6943933207594</v>
      </c>
      <c r="J3" s="15"/>
      <c r="K3" s="15"/>
      <c r="L3" s="15"/>
      <c r="M3" s="15"/>
    </row>
    <row r="4" spans="1:13">
      <c r="A4" s="15"/>
      <c r="B4" s="146">
        <f>'NAV Trend'!C10/1000000000</f>
        <v>4019.7056298340649</v>
      </c>
      <c r="C4" s="146">
        <f>'NAV Trend'!D10/1000000000</f>
        <v>4119.3897630881565</v>
      </c>
      <c r="D4" s="146">
        <f>'NAV Trend'!E10/1000000000</f>
        <v>4111.8204981719919</v>
      </c>
      <c r="E4" s="146">
        <f>'NAV Trend'!F10/1000000000</f>
        <v>4191.3962694654292</v>
      </c>
      <c r="F4" s="146">
        <f>'NAV Trend'!G10/1000000000</f>
        <v>4269.5517023318498</v>
      </c>
      <c r="G4" s="146">
        <f>'NAV Trend'!H10/1000000000</f>
        <v>4304.4471471275037</v>
      </c>
      <c r="H4" s="147">
        <f>'NAV Trend'!I10/1000000000</f>
        <v>4378.8424481915499</v>
      </c>
      <c r="I4" s="147">
        <f>'NAV Trend'!J10/1000000000</f>
        <v>4472.6943933207594</v>
      </c>
      <c r="J4" s="15"/>
      <c r="K4" s="15"/>
      <c r="L4" s="15"/>
      <c r="M4" s="15"/>
    </row>
    <row r="5" spans="1:1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Diuh3tDvtTnnKDOgLFxMft9WdEUEdWw6SJIiAfjTd2QY7/vHZwreXTd/XwzGvWysXPvImeo9tGyZJZgrimZxLA==" saltValue="H2PKuzNOEvZI8wabUbixk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1"/>
  <sheetViews>
    <sheetView workbookViewId="0">
      <selection activeCell="G7" sqref="G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>
      <c r="A2" s="143" t="s">
        <v>283</v>
      </c>
      <c r="B2" s="144">
        <v>45674</v>
      </c>
      <c r="C2" s="144">
        <v>45681</v>
      </c>
      <c r="D2" s="144">
        <v>45688</v>
      </c>
      <c r="E2" s="144">
        <v>45695</v>
      </c>
      <c r="F2" s="144">
        <v>45702</v>
      </c>
      <c r="G2" s="144">
        <v>45709</v>
      </c>
      <c r="H2" s="144">
        <v>45716</v>
      </c>
      <c r="I2" s="144">
        <v>45723</v>
      </c>
      <c r="J2" s="19"/>
      <c r="K2" s="19"/>
      <c r="L2" s="19"/>
    </row>
    <row r="3" spans="1:12">
      <c r="A3" s="143" t="s">
        <v>285</v>
      </c>
      <c r="B3" s="145">
        <f t="shared" ref="B3:I3" si="0">B4</f>
        <v>13.126291240540001</v>
      </c>
      <c r="C3" s="145">
        <f t="shared" si="0"/>
        <v>12.926648581233682</v>
      </c>
      <c r="D3" s="145">
        <f t="shared" si="0"/>
        <v>13.139930136069998</v>
      </c>
      <c r="E3" s="145">
        <f t="shared" si="0"/>
        <v>13.518762702094183</v>
      </c>
      <c r="F3" s="145">
        <f t="shared" si="0"/>
        <v>13.762029268867213</v>
      </c>
      <c r="G3" s="145">
        <f t="shared" si="0"/>
        <v>13.757028670379999</v>
      </c>
      <c r="H3" s="145">
        <f t="shared" si="0"/>
        <v>13.569005930702859</v>
      </c>
      <c r="I3" s="145">
        <f t="shared" si="0"/>
        <v>13.40889556580691</v>
      </c>
      <c r="J3" s="19"/>
      <c r="K3" s="19"/>
      <c r="L3" s="19"/>
    </row>
    <row r="4" spans="1:12">
      <c r="A4" s="19"/>
      <c r="B4" s="146">
        <f>'NAV Trend'!C16/1000000000</f>
        <v>13.126291240540001</v>
      </c>
      <c r="C4" s="146">
        <f>'NAV Trend'!D16/1000000000</f>
        <v>12.926648581233682</v>
      </c>
      <c r="D4" s="146">
        <f>'NAV Trend'!E16/1000000000</f>
        <v>13.139930136069998</v>
      </c>
      <c r="E4" s="146">
        <f>'NAV Trend'!F16/1000000000</f>
        <v>13.518762702094183</v>
      </c>
      <c r="F4" s="146">
        <f>'NAV Trend'!G16/1000000000</f>
        <v>13.762029268867213</v>
      </c>
      <c r="G4" s="146">
        <f>'NAV Trend'!H16/1000000000</f>
        <v>13.757028670379999</v>
      </c>
      <c r="H4" s="146">
        <f>'NAV Trend'!I16/1000000000</f>
        <v>13.569005930702859</v>
      </c>
      <c r="I4" s="147">
        <f>'NAV Trend'!J16/1000000000</f>
        <v>13.40889556580691</v>
      </c>
      <c r="J4" s="19"/>
      <c r="K4" s="19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9"/>
      <c r="L7" s="19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xcBVNidsGTXjAfvfKRWhedlJ9zCbaaGrbHkJ3h9UUMphHrC6h0EXr7G2Q4FeG/CPDwsC8CwUPZUNLwzW4RvOKA==" saltValue="ikkvDj2zuVgRAR0WyPFYe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I1" zoomScale="150" zoomScaleNormal="150" workbookViewId="0">
      <selection activeCell="J16" sqref="J16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279</v>
      </c>
      <c r="B1" s="2">
        <v>45667</v>
      </c>
      <c r="C1" s="2">
        <v>45674</v>
      </c>
      <c r="D1" s="2">
        <v>45681</v>
      </c>
      <c r="E1" s="2">
        <v>45688</v>
      </c>
      <c r="F1" s="2">
        <v>45695</v>
      </c>
      <c r="G1" s="2">
        <v>45702</v>
      </c>
      <c r="H1" s="2">
        <v>45709</v>
      </c>
      <c r="I1" s="2">
        <v>45716</v>
      </c>
      <c r="J1" s="2">
        <v>45723</v>
      </c>
    </row>
    <row r="2" spans="1:11">
      <c r="A2" s="3" t="s">
        <v>17</v>
      </c>
      <c r="B2" s="4">
        <v>33411621797.110004</v>
      </c>
      <c r="C2" s="4">
        <v>33055654590.010002</v>
      </c>
      <c r="D2" s="4">
        <v>33667453981.210003</v>
      </c>
      <c r="E2" s="4">
        <v>34311367067.189999</v>
      </c>
      <c r="F2" s="4">
        <v>37602437204.949997</v>
      </c>
      <c r="G2" s="4">
        <v>38501630325.360001</v>
      </c>
      <c r="H2" s="4">
        <v>38542552735.119995</v>
      </c>
      <c r="I2" s="4">
        <v>38249076563.470001</v>
      </c>
      <c r="J2" s="4">
        <v>37421289714.760002</v>
      </c>
    </row>
    <row r="3" spans="1:11">
      <c r="A3" s="3" t="s">
        <v>54</v>
      </c>
      <c r="B3" s="4">
        <v>1796163520217.4673</v>
      </c>
      <c r="C3" s="4">
        <v>1833494333831.687</v>
      </c>
      <c r="D3" s="4">
        <v>1887272680234.0166</v>
      </c>
      <c r="E3" s="4">
        <v>1936499649559.6733</v>
      </c>
      <c r="F3" s="4">
        <v>1986545662853.3892</v>
      </c>
      <c r="G3" s="4">
        <v>2038200432744.7246</v>
      </c>
      <c r="H3" s="4">
        <v>2072298319201.4285</v>
      </c>
      <c r="I3" s="4">
        <v>2134730862264.1289</v>
      </c>
      <c r="J3" s="4">
        <v>2212690003394.8403</v>
      </c>
    </row>
    <row r="4" spans="1:11">
      <c r="A4" s="3" t="s">
        <v>280</v>
      </c>
      <c r="B4" s="5">
        <v>198624219481.39801</v>
      </c>
      <c r="C4" s="5">
        <v>199572944900.79062</v>
      </c>
      <c r="D4" s="5">
        <v>193295117054.89386</v>
      </c>
      <c r="E4" s="5">
        <v>192710764728.50818</v>
      </c>
      <c r="F4" s="5">
        <v>192823646052.3956</v>
      </c>
      <c r="G4" s="5">
        <v>193170423716.56946</v>
      </c>
      <c r="H4" s="5">
        <v>192875996875.99237</v>
      </c>
      <c r="I4" s="5">
        <v>192425332553.69519</v>
      </c>
      <c r="J4" s="5">
        <v>192651675169.49469</v>
      </c>
    </row>
    <row r="5" spans="1:11">
      <c r="A5" s="3" t="s">
        <v>157</v>
      </c>
      <c r="B5" s="4">
        <v>1721273790884.4595</v>
      </c>
      <c r="C5" s="4">
        <v>1738459762464.4448</v>
      </c>
      <c r="D5" s="4">
        <v>1788025443922.3008</v>
      </c>
      <c r="E5" s="4">
        <v>1729854588802.0955</v>
      </c>
      <c r="F5" s="4">
        <v>1755642575885.7151</v>
      </c>
      <c r="G5" s="4">
        <v>1779191321733.2319</v>
      </c>
      <c r="H5" s="4">
        <v>1780596293589.6721</v>
      </c>
      <c r="I5" s="4">
        <v>1793326811823.8843</v>
      </c>
      <c r="J5" s="4">
        <v>1809741056607.6074</v>
      </c>
    </row>
    <row r="6" spans="1:11">
      <c r="A6" s="3" t="s">
        <v>281</v>
      </c>
      <c r="B6" s="6">
        <v>100814525942.29248</v>
      </c>
      <c r="C6" s="6">
        <v>100848197035.93321</v>
      </c>
      <c r="D6" s="6">
        <v>100883151715.23096</v>
      </c>
      <c r="E6" s="6">
        <v>100943942196.36</v>
      </c>
      <c r="F6" s="6">
        <v>100952306055.92899</v>
      </c>
      <c r="G6" s="6">
        <v>101014000313.43393</v>
      </c>
      <c r="H6" s="6">
        <v>101070214650.21515</v>
      </c>
      <c r="I6" s="6">
        <v>101128099964.18001</v>
      </c>
      <c r="J6" s="6">
        <v>101180384926.77501</v>
      </c>
    </row>
    <row r="7" spans="1:11">
      <c r="A7" s="3" t="s">
        <v>195</v>
      </c>
      <c r="B7" s="7">
        <v>55198098021.346275</v>
      </c>
      <c r="C7" s="7">
        <v>54483397031.599197</v>
      </c>
      <c r="D7" s="7">
        <v>55157132700.650406</v>
      </c>
      <c r="E7" s="7">
        <v>55883226354.418106</v>
      </c>
      <c r="F7" s="7">
        <v>57357776059.173073</v>
      </c>
      <c r="G7" s="7">
        <v>58252652887.652779</v>
      </c>
      <c r="H7" s="7">
        <v>58059986733.763725</v>
      </c>
      <c r="I7" s="7">
        <v>57798914251.53302</v>
      </c>
      <c r="J7" s="7">
        <v>57327361079.561821</v>
      </c>
    </row>
    <row r="8" spans="1:11">
      <c r="A8" s="3" t="s">
        <v>226</v>
      </c>
      <c r="B8" s="6">
        <v>6053117697.3000002</v>
      </c>
      <c r="C8" s="6">
        <v>6021515311.3500004</v>
      </c>
      <c r="D8" s="6">
        <v>6147393660.5699997</v>
      </c>
      <c r="E8" s="6">
        <v>6263863102.0599995</v>
      </c>
      <c r="F8" s="6">
        <v>6582585973.7099991</v>
      </c>
      <c r="G8" s="6">
        <v>6738837889.1400003</v>
      </c>
      <c r="H8" s="6">
        <v>6681271892.7000008</v>
      </c>
      <c r="I8" s="6">
        <v>6710470953.1500006</v>
      </c>
      <c r="J8" s="6">
        <v>6663538612.0999994</v>
      </c>
    </row>
    <row r="9" spans="1:11">
      <c r="A9" s="3" t="s">
        <v>282</v>
      </c>
      <c r="B9" s="6">
        <v>52575931037.907692</v>
      </c>
      <c r="C9" s="6">
        <v>53769824668.250122</v>
      </c>
      <c r="D9" s="6">
        <v>54941389819.284477</v>
      </c>
      <c r="E9" s="6">
        <v>55353096361.686783</v>
      </c>
      <c r="F9" s="6">
        <v>53889279380.166801</v>
      </c>
      <c r="G9" s="6">
        <v>54482402721.736488</v>
      </c>
      <c r="H9" s="6">
        <v>54322511448.611656</v>
      </c>
      <c r="I9" s="6">
        <v>54472879817.508156</v>
      </c>
      <c r="J9" s="6">
        <v>55019083815.621017</v>
      </c>
    </row>
    <row r="10" spans="1:11" ht="15.6">
      <c r="A10" s="8" t="s">
        <v>286</v>
      </c>
      <c r="B10" s="9">
        <f t="shared" ref="B10:J10" si="0">SUM(B2:B9)</f>
        <v>3964114825079.2808</v>
      </c>
      <c r="C10" s="9">
        <f t="shared" si="0"/>
        <v>4019705629834.0649</v>
      </c>
      <c r="D10" s="9">
        <f t="shared" si="0"/>
        <v>4119389763088.1567</v>
      </c>
      <c r="E10" s="9">
        <f t="shared" si="0"/>
        <v>4111820498171.9917</v>
      </c>
      <c r="F10" s="9">
        <f t="shared" si="0"/>
        <v>4191396269465.4292</v>
      </c>
      <c r="G10" s="9">
        <f t="shared" si="0"/>
        <v>4269551702331.8496</v>
      </c>
      <c r="H10" s="9">
        <f t="shared" si="0"/>
        <v>4304447147127.5039</v>
      </c>
      <c r="I10" s="9">
        <f t="shared" si="0"/>
        <v>4378842448191.5498</v>
      </c>
      <c r="J10" s="9">
        <f t="shared" si="0"/>
        <v>4472694393320.7598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287</v>
      </c>
      <c r="B12" s="124" t="s">
        <v>288</v>
      </c>
      <c r="C12" s="13">
        <f>(B10+C10)/2</f>
        <v>3991910227456.6729</v>
      </c>
      <c r="D12" s="14">
        <f t="shared" ref="D12:J12" si="1">(C10+D10)/2</f>
        <v>4069547696461.1108</v>
      </c>
      <c r="E12" s="14">
        <f t="shared" si="1"/>
        <v>4115605130630.0742</v>
      </c>
      <c r="F12" s="14">
        <f t="shared" si="1"/>
        <v>4151608383818.7104</v>
      </c>
      <c r="G12" s="14">
        <f t="shared" si="1"/>
        <v>4230473985898.6396</v>
      </c>
      <c r="H12" s="14">
        <f t="shared" si="1"/>
        <v>4286999424729.6768</v>
      </c>
      <c r="I12" s="14">
        <f t="shared" si="1"/>
        <v>4341644797659.5269</v>
      </c>
      <c r="J12" s="14">
        <f t="shared" si="1"/>
        <v>4425768420756.1543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45667</v>
      </c>
      <c r="C15" s="2">
        <v>45674</v>
      </c>
      <c r="D15" s="2">
        <v>45681</v>
      </c>
      <c r="E15" s="2">
        <v>45688</v>
      </c>
      <c r="F15" s="2">
        <v>45695</v>
      </c>
      <c r="G15" s="2">
        <v>45702</v>
      </c>
      <c r="H15" s="2">
        <v>45709</v>
      </c>
      <c r="I15" s="2">
        <v>45716</v>
      </c>
      <c r="J15" s="2">
        <v>45723</v>
      </c>
      <c r="K15" s="15"/>
    </row>
    <row r="16" spans="1:11">
      <c r="A16" s="16" t="s">
        <v>289</v>
      </c>
      <c r="B16" s="17">
        <v>12486443329.167654</v>
      </c>
      <c r="C16" s="17">
        <v>13126291240.540001</v>
      </c>
      <c r="D16" s="17">
        <v>12926648581.233683</v>
      </c>
      <c r="E16" s="17">
        <v>13139930136.069998</v>
      </c>
      <c r="F16" s="17">
        <v>13518762702.094183</v>
      </c>
      <c r="G16" s="17">
        <v>13762029268.867212</v>
      </c>
      <c r="H16" s="17">
        <v>13757028670.379999</v>
      </c>
      <c r="I16" s="17">
        <v>13569005930.70286</v>
      </c>
      <c r="J16" s="17">
        <v>13408895565.80691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WLc6aFfoPntmeyCdPHze74GwGRDixvewtQH8Zo/DDmtqlyBdu0X92gekBJ8/xKitU8ORG+6sy8snv5swXV2dtg==" saltValue="UJjeYPcLxCeGT8ZVZ5Yj2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2025-03-12T15:11:55Z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