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42" i="1" l="1"/>
  <c r="M142" i="1"/>
  <c r="K142" i="1"/>
  <c r="N128" i="1"/>
  <c r="M128" i="1"/>
  <c r="K128" i="1"/>
  <c r="N115" i="1" l="1"/>
  <c r="M115" i="1"/>
  <c r="K115" i="1"/>
  <c r="N113" i="1"/>
  <c r="M113" i="1"/>
  <c r="K113" i="1"/>
  <c r="N112" i="1"/>
  <c r="M112" i="1"/>
  <c r="K112" i="1"/>
  <c r="N110" i="1"/>
  <c r="M110" i="1"/>
  <c r="K110" i="1"/>
  <c r="D110" i="1"/>
  <c r="F110" i="1"/>
  <c r="G110" i="1"/>
  <c r="N117" i="1" l="1"/>
  <c r="M117" i="1"/>
  <c r="K117" i="1"/>
  <c r="N140" i="1" l="1"/>
  <c r="M140" i="1"/>
  <c r="K140" i="1"/>
  <c r="N125" i="1"/>
  <c r="M125" i="1"/>
  <c r="K125" i="1"/>
  <c r="N139" i="1"/>
  <c r="M139" i="1"/>
  <c r="K139" i="1"/>
  <c r="N124" i="1"/>
  <c r="M124" i="1"/>
  <c r="K124" i="1"/>
  <c r="N134" i="1"/>
  <c r="M134" i="1"/>
  <c r="K134" i="1"/>
  <c r="N135" i="1" l="1"/>
  <c r="M135" i="1"/>
  <c r="K135" i="1"/>
  <c r="N111" i="1" l="1"/>
  <c r="M111" i="1"/>
  <c r="K111" i="1"/>
  <c r="N131" i="1"/>
  <c r="M131" i="1"/>
  <c r="K131" i="1"/>
  <c r="N137" i="1"/>
  <c r="M137" i="1"/>
  <c r="K137" i="1"/>
  <c r="M133" i="1" l="1"/>
  <c r="N116" i="1" l="1"/>
  <c r="M116" i="1"/>
  <c r="K116" i="1"/>
  <c r="N129" i="1"/>
  <c r="M129" i="1"/>
  <c r="K129" i="1"/>
  <c r="N123" i="1" l="1"/>
  <c r="M123" i="1"/>
  <c r="K123" i="1"/>
  <c r="N122" i="1" l="1"/>
  <c r="M122" i="1"/>
  <c r="K122" i="1"/>
  <c r="O219" i="1"/>
  <c r="K219" i="1"/>
  <c r="L217" i="1" s="1"/>
  <c r="H219" i="1"/>
  <c r="D219" i="1"/>
  <c r="V217" i="1"/>
  <c r="U217" i="1"/>
  <c r="T217" i="1"/>
  <c r="S217" i="1"/>
  <c r="R217" i="1"/>
  <c r="E217" i="1"/>
  <c r="N114" i="1" l="1"/>
  <c r="M114" i="1"/>
  <c r="K114" i="1"/>
  <c r="N136" i="1" l="1"/>
  <c r="M136" i="1"/>
  <c r="N121" i="1"/>
  <c r="M121" i="1"/>
  <c r="K121" i="1"/>
  <c r="G142" i="1" l="1"/>
  <c r="F142" i="1"/>
  <c r="G140" i="1"/>
  <c r="F140" i="1"/>
  <c r="G139" i="1"/>
  <c r="F139" i="1"/>
  <c r="G137" i="1"/>
  <c r="F137" i="1"/>
  <c r="G136" i="1"/>
  <c r="F136" i="1"/>
  <c r="G135" i="1"/>
  <c r="F135" i="1"/>
  <c r="G134" i="1"/>
  <c r="F134" i="1"/>
  <c r="G133" i="1"/>
  <c r="F133" i="1"/>
  <c r="G131" i="1"/>
  <c r="F131" i="1"/>
  <c r="G129" i="1"/>
  <c r="F129" i="1"/>
  <c r="G128" i="1"/>
  <c r="F128" i="1"/>
  <c r="D142" i="1"/>
  <c r="D140" i="1"/>
  <c r="D139" i="1"/>
  <c r="D137" i="1"/>
  <c r="D135" i="1"/>
  <c r="D134" i="1"/>
  <c r="D131" i="1"/>
  <c r="D129" i="1"/>
  <c r="D128" i="1"/>
  <c r="G125" i="1"/>
  <c r="F125" i="1"/>
  <c r="G124" i="1"/>
  <c r="F124" i="1"/>
  <c r="G123" i="1"/>
  <c r="F123" i="1"/>
  <c r="G122" i="1"/>
  <c r="F122" i="1"/>
  <c r="G121" i="1"/>
  <c r="F121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D125" i="1"/>
  <c r="D124" i="1"/>
  <c r="D123" i="1"/>
  <c r="D122" i="1"/>
  <c r="D121" i="1"/>
  <c r="D117" i="1"/>
  <c r="D116" i="1"/>
  <c r="D115" i="1"/>
  <c r="D114" i="1"/>
  <c r="D113" i="1"/>
  <c r="D112" i="1"/>
  <c r="D111" i="1"/>
  <c r="R131" i="1" l="1"/>
  <c r="V131" i="1"/>
  <c r="U131" i="1"/>
  <c r="T131" i="1"/>
  <c r="S131" i="1"/>
  <c r="V79" i="1"/>
  <c r="U79" i="1"/>
  <c r="T79" i="1"/>
  <c r="S79" i="1"/>
  <c r="R79" i="1"/>
  <c r="R163" i="1" l="1"/>
  <c r="N133" i="1" l="1"/>
  <c r="V23" i="1" l="1"/>
  <c r="U23" i="1"/>
  <c r="T23" i="1"/>
  <c r="S23" i="1"/>
  <c r="R23" i="1"/>
  <c r="O213" i="1"/>
  <c r="K213" i="1"/>
  <c r="L212" i="1" s="1"/>
  <c r="H213" i="1"/>
  <c r="D213" i="1"/>
  <c r="E212" i="1" s="1"/>
  <c r="V212" i="1"/>
  <c r="U212" i="1"/>
  <c r="T212" i="1"/>
  <c r="S212" i="1"/>
  <c r="R212" i="1"/>
  <c r="R31" i="1" l="1"/>
  <c r="K143" i="1" l="1"/>
  <c r="L130" i="1" s="1"/>
  <c r="R113" i="1" l="1"/>
  <c r="S113" i="1"/>
  <c r="T113" i="1"/>
  <c r="U113" i="1"/>
  <c r="V113" i="1"/>
  <c r="R51" i="1" l="1"/>
  <c r="R205" i="1" l="1"/>
  <c r="V197" i="1" l="1"/>
  <c r="U197" i="1"/>
  <c r="T197" i="1"/>
  <c r="S197" i="1"/>
  <c r="R197" i="1"/>
  <c r="R139" i="1"/>
  <c r="S139" i="1"/>
  <c r="T139" i="1"/>
  <c r="U139" i="1"/>
  <c r="V139" i="1"/>
  <c r="R6" i="1" l="1"/>
  <c r="V181" i="1" l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R91" i="1" l="1"/>
  <c r="V33" i="1" l="1"/>
  <c r="U33" i="1"/>
  <c r="T33" i="1"/>
  <c r="S33" i="1"/>
  <c r="R33" i="1"/>
  <c r="V73" i="1" l="1"/>
  <c r="V48" i="1" l="1"/>
  <c r="U48" i="1"/>
  <c r="T48" i="1"/>
  <c r="S48" i="1"/>
  <c r="R48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39" i="1"/>
  <c r="U239" i="1"/>
  <c r="S239" i="1"/>
  <c r="O239" i="1"/>
  <c r="K239" i="1"/>
  <c r="H239" i="1"/>
  <c r="D239" i="1"/>
  <c r="E237" i="1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O224" i="1"/>
  <c r="K224" i="1"/>
  <c r="L223" i="1" s="1"/>
  <c r="H224" i="1"/>
  <c r="D224" i="1"/>
  <c r="E223" i="1" s="1"/>
  <c r="V223" i="1"/>
  <c r="U223" i="1"/>
  <c r="T223" i="1"/>
  <c r="S223" i="1"/>
  <c r="R223" i="1"/>
  <c r="V222" i="1"/>
  <c r="U222" i="1"/>
  <c r="T222" i="1"/>
  <c r="S222" i="1"/>
  <c r="R222" i="1"/>
  <c r="L218" i="1"/>
  <c r="V218" i="1"/>
  <c r="U218" i="1"/>
  <c r="T218" i="1"/>
  <c r="S218" i="1"/>
  <c r="R218" i="1"/>
  <c r="V213" i="1"/>
  <c r="U213" i="1"/>
  <c r="S213" i="1"/>
  <c r="V211" i="1"/>
  <c r="U211" i="1"/>
  <c r="T211" i="1"/>
  <c r="S211" i="1"/>
  <c r="R211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6" i="1"/>
  <c r="U196" i="1"/>
  <c r="T196" i="1"/>
  <c r="S196" i="1"/>
  <c r="R196" i="1"/>
  <c r="V193" i="1"/>
  <c r="U193" i="1"/>
  <c r="T193" i="1"/>
  <c r="S193" i="1"/>
  <c r="R193" i="1"/>
  <c r="V192" i="1"/>
  <c r="U192" i="1"/>
  <c r="T192" i="1"/>
  <c r="S192" i="1"/>
  <c r="R192" i="1"/>
  <c r="V188" i="1"/>
  <c r="U188" i="1"/>
  <c r="S188" i="1"/>
  <c r="O188" i="1"/>
  <c r="K188" i="1"/>
  <c r="H188" i="1"/>
  <c r="D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2" i="1"/>
  <c r="U182" i="1"/>
  <c r="S182" i="1"/>
  <c r="O182" i="1"/>
  <c r="K182" i="1"/>
  <c r="L160" i="1" s="1"/>
  <c r="H182" i="1"/>
  <c r="D182" i="1"/>
  <c r="V151" i="1"/>
  <c r="U151" i="1"/>
  <c r="S151" i="1"/>
  <c r="O151" i="1"/>
  <c r="K151" i="1"/>
  <c r="B6" i="3" s="1"/>
  <c r="H151" i="1"/>
  <c r="D151" i="1"/>
  <c r="E149" i="1" s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S146" i="1"/>
  <c r="R146" i="1"/>
  <c r="V143" i="1"/>
  <c r="U143" i="1"/>
  <c r="S143" i="1"/>
  <c r="O143" i="1"/>
  <c r="H143" i="1"/>
  <c r="V142" i="1"/>
  <c r="U142" i="1"/>
  <c r="T142" i="1"/>
  <c r="R142" i="1"/>
  <c r="V141" i="1"/>
  <c r="U141" i="1"/>
  <c r="T141" i="1"/>
  <c r="S141" i="1"/>
  <c r="R141" i="1"/>
  <c r="V140" i="1"/>
  <c r="U140" i="1"/>
  <c r="T140" i="1"/>
  <c r="S140" i="1"/>
  <c r="V138" i="1"/>
  <c r="U138" i="1"/>
  <c r="T138" i="1"/>
  <c r="S138" i="1"/>
  <c r="R138" i="1"/>
  <c r="V137" i="1"/>
  <c r="U137" i="1"/>
  <c r="T137" i="1"/>
  <c r="S137" i="1"/>
  <c r="V136" i="1"/>
  <c r="U136" i="1"/>
  <c r="T136" i="1"/>
  <c r="R136" i="1"/>
  <c r="S136" i="1"/>
  <c r="V135" i="1"/>
  <c r="U135" i="1"/>
  <c r="T135" i="1"/>
  <c r="S135" i="1"/>
  <c r="V134" i="1"/>
  <c r="U134" i="1"/>
  <c r="T134" i="1"/>
  <c r="S134" i="1"/>
  <c r="R134" i="1"/>
  <c r="V133" i="1"/>
  <c r="U133" i="1"/>
  <c r="T133" i="1"/>
  <c r="R133" i="1"/>
  <c r="V132" i="1"/>
  <c r="U132" i="1"/>
  <c r="T132" i="1"/>
  <c r="S132" i="1"/>
  <c r="R132" i="1"/>
  <c r="V130" i="1"/>
  <c r="U130" i="1"/>
  <c r="T130" i="1"/>
  <c r="S130" i="1"/>
  <c r="R130" i="1"/>
  <c r="V129" i="1"/>
  <c r="U129" i="1"/>
  <c r="T129" i="1"/>
  <c r="S129" i="1"/>
  <c r="V128" i="1"/>
  <c r="U128" i="1"/>
  <c r="T128" i="1"/>
  <c r="S128" i="1"/>
  <c r="R128" i="1"/>
  <c r="V125" i="1"/>
  <c r="U125" i="1"/>
  <c r="T125" i="1"/>
  <c r="S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R114" i="1"/>
  <c r="V112" i="1"/>
  <c r="U112" i="1"/>
  <c r="T112" i="1"/>
  <c r="S112" i="1"/>
  <c r="V111" i="1"/>
  <c r="U111" i="1"/>
  <c r="T111" i="1"/>
  <c r="S111" i="1"/>
  <c r="V110" i="1"/>
  <c r="U110" i="1"/>
  <c r="T110" i="1"/>
  <c r="R110" i="1"/>
  <c r="S110" i="1"/>
  <c r="V106" i="1"/>
  <c r="U106" i="1"/>
  <c r="S106" i="1"/>
  <c r="O106" i="1"/>
  <c r="K106" i="1"/>
  <c r="H106" i="1"/>
  <c r="D106" i="1"/>
  <c r="E131" i="1" s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6" i="1"/>
  <c r="U66" i="1"/>
  <c r="S66" i="1"/>
  <c r="O66" i="1"/>
  <c r="K66" i="1"/>
  <c r="H66" i="1"/>
  <c r="D66" i="1"/>
  <c r="B14" i="2" s="1"/>
  <c r="B4" i="2" s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V50" i="1"/>
  <c r="U50" i="1"/>
  <c r="T50" i="1"/>
  <c r="S50" i="1"/>
  <c r="R50" i="1"/>
  <c r="V49" i="1"/>
  <c r="U49" i="1"/>
  <c r="T49" i="1"/>
  <c r="S49" i="1"/>
  <c r="R49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23" i="1" l="1"/>
  <c r="L15" i="1"/>
  <c r="L79" i="1"/>
  <c r="L131" i="1"/>
  <c r="F12" i="4"/>
  <c r="B15" i="2"/>
  <c r="B5" i="2" s="1"/>
  <c r="E79" i="1"/>
  <c r="L35" i="1"/>
  <c r="L43" i="1"/>
  <c r="L84" i="1"/>
  <c r="L86" i="1"/>
  <c r="L58" i="1"/>
  <c r="B8" i="3"/>
  <c r="B20" i="2"/>
  <c r="B10" i="2" s="1"/>
  <c r="E197" i="1"/>
  <c r="L201" i="1"/>
  <c r="L197" i="1"/>
  <c r="E181" i="1"/>
  <c r="E169" i="1"/>
  <c r="E157" i="1"/>
  <c r="E179" i="1"/>
  <c r="E167" i="1"/>
  <c r="E155" i="1"/>
  <c r="E174" i="1"/>
  <c r="E162" i="1"/>
  <c r="E172" i="1"/>
  <c r="E177" i="1"/>
  <c r="E165" i="1"/>
  <c r="E156" i="1"/>
  <c r="E164" i="1"/>
  <c r="E170" i="1"/>
  <c r="E158" i="1"/>
  <c r="E176" i="1"/>
  <c r="E175" i="1"/>
  <c r="E163" i="1"/>
  <c r="E160" i="1"/>
  <c r="E180" i="1"/>
  <c r="E168" i="1"/>
  <c r="E173" i="1"/>
  <c r="E161" i="1"/>
  <c r="E171" i="1"/>
  <c r="E159" i="1"/>
  <c r="E178" i="1"/>
  <c r="E166" i="1"/>
  <c r="E154" i="1"/>
  <c r="L174" i="1"/>
  <c r="L162" i="1"/>
  <c r="L172" i="1"/>
  <c r="L179" i="1"/>
  <c r="L167" i="1"/>
  <c r="L155" i="1"/>
  <c r="L177" i="1"/>
  <c r="L170" i="1"/>
  <c r="L158" i="1"/>
  <c r="L164" i="1"/>
  <c r="L165" i="1"/>
  <c r="L175" i="1"/>
  <c r="L163" i="1"/>
  <c r="L161" i="1"/>
  <c r="L180" i="1"/>
  <c r="L168" i="1"/>
  <c r="L156" i="1"/>
  <c r="L176" i="1"/>
  <c r="L169" i="1"/>
  <c r="L173" i="1"/>
  <c r="L157" i="1"/>
  <c r="L178" i="1"/>
  <c r="L166" i="1"/>
  <c r="L154" i="1"/>
  <c r="L171" i="1"/>
  <c r="L159" i="1"/>
  <c r="B2" i="3"/>
  <c r="L186" i="1"/>
  <c r="L33" i="1"/>
  <c r="L12" i="1"/>
  <c r="L102" i="1"/>
  <c r="L70" i="1"/>
  <c r="E14" i="1"/>
  <c r="E33" i="1"/>
  <c r="E48" i="1"/>
  <c r="L48" i="1"/>
  <c r="R219" i="1"/>
  <c r="B5" i="3"/>
  <c r="L21" i="1"/>
  <c r="L7" i="1"/>
  <c r="D4" i="5"/>
  <c r="D3" i="5" s="1"/>
  <c r="B4" i="3"/>
  <c r="L199" i="1"/>
  <c r="R239" i="1"/>
  <c r="E235" i="1"/>
  <c r="E233" i="1"/>
  <c r="E231" i="1"/>
  <c r="E8" i="1"/>
  <c r="L208" i="1"/>
  <c r="E193" i="1"/>
  <c r="T239" i="1"/>
  <c r="J12" i="4"/>
  <c r="E12" i="1"/>
  <c r="E10" i="1"/>
  <c r="E6" i="1"/>
  <c r="E18" i="1"/>
  <c r="E198" i="1"/>
  <c r="E222" i="1"/>
  <c r="E229" i="1"/>
  <c r="E84" i="1"/>
  <c r="E22" i="1"/>
  <c r="E47" i="1"/>
  <c r="E20" i="1"/>
  <c r="E16" i="1"/>
  <c r="E72" i="1"/>
  <c r="E104" i="1"/>
  <c r="E100" i="1"/>
  <c r="E75" i="1"/>
  <c r="E98" i="1"/>
  <c r="S142" i="1"/>
  <c r="E227" i="1"/>
  <c r="E238" i="1"/>
  <c r="E96" i="1"/>
  <c r="E94" i="1"/>
  <c r="E77" i="1"/>
  <c r="E69" i="1"/>
  <c r="E71" i="1"/>
  <c r="E147" i="1"/>
  <c r="T188" i="1"/>
  <c r="E90" i="1"/>
  <c r="E82" i="1"/>
  <c r="E102" i="1"/>
  <c r="E88" i="1"/>
  <c r="E70" i="1"/>
  <c r="E80" i="1"/>
  <c r="E86" i="1"/>
  <c r="L24" i="1"/>
  <c r="E93" i="1"/>
  <c r="E95" i="1"/>
  <c r="E97" i="1"/>
  <c r="E99" i="1"/>
  <c r="E101" i="1"/>
  <c r="E103" i="1"/>
  <c r="E105" i="1"/>
  <c r="E228" i="1"/>
  <c r="E230" i="1"/>
  <c r="E232" i="1"/>
  <c r="E234" i="1"/>
  <c r="E236" i="1"/>
  <c r="L19" i="1"/>
  <c r="E74" i="1"/>
  <c r="E76" i="1"/>
  <c r="E78" i="1"/>
  <c r="E81" i="1"/>
  <c r="E83" i="1"/>
  <c r="E85" i="1"/>
  <c r="E87" i="1"/>
  <c r="E89" i="1"/>
  <c r="E91" i="1"/>
  <c r="T143" i="1"/>
  <c r="L11" i="1"/>
  <c r="L146" i="1"/>
  <c r="L150" i="1"/>
  <c r="L238" i="1"/>
  <c r="T66" i="1"/>
  <c r="L185" i="1"/>
  <c r="L187" i="1"/>
  <c r="E201" i="1"/>
  <c r="E203" i="1"/>
  <c r="E205" i="1"/>
  <c r="E207" i="1"/>
  <c r="T213" i="1"/>
  <c r="L6" i="1"/>
  <c r="L10" i="1"/>
  <c r="L14" i="1"/>
  <c r="L18" i="1"/>
  <c r="L22" i="1"/>
  <c r="E192" i="1"/>
  <c r="E196" i="1"/>
  <c r="E199" i="1"/>
  <c r="E211" i="1"/>
  <c r="H214" i="1"/>
  <c r="H240" i="1" s="1"/>
  <c r="R224" i="1"/>
  <c r="D143" i="1"/>
  <c r="E113" i="1" s="1"/>
  <c r="T106" i="1"/>
  <c r="L149" i="1"/>
  <c r="T151" i="1"/>
  <c r="T182" i="1"/>
  <c r="E202" i="1"/>
  <c r="E204" i="1"/>
  <c r="E206" i="1"/>
  <c r="E208" i="1"/>
  <c r="C4" i="5"/>
  <c r="C3" i="5" s="1"/>
  <c r="D12" i="4"/>
  <c r="G12" i="4"/>
  <c r="H4" i="5"/>
  <c r="H3" i="5" s="1"/>
  <c r="I12" i="4"/>
  <c r="E92" i="1"/>
  <c r="L64" i="1"/>
  <c r="L80" i="1"/>
  <c r="L104" i="1"/>
  <c r="L60" i="1"/>
  <c r="L56" i="1"/>
  <c r="L54" i="1"/>
  <c r="L62" i="1"/>
  <c r="L52" i="1"/>
  <c r="L50" i="1"/>
  <c r="E55" i="1"/>
  <c r="E57" i="1"/>
  <c r="E59" i="1"/>
  <c r="E61" i="1"/>
  <c r="E63" i="1"/>
  <c r="E65" i="1"/>
  <c r="E53" i="1"/>
  <c r="E51" i="1"/>
  <c r="E49" i="1"/>
  <c r="L196" i="1"/>
  <c r="L202" i="1"/>
  <c r="L192" i="1"/>
  <c r="L200" i="1"/>
  <c r="L204" i="1"/>
  <c r="L230" i="1"/>
  <c r="L234" i="1"/>
  <c r="L228" i="1"/>
  <c r="L232" i="1"/>
  <c r="L236" i="1"/>
  <c r="L227" i="1"/>
  <c r="L229" i="1"/>
  <c r="L231" i="1"/>
  <c r="L233" i="1"/>
  <c r="L235" i="1"/>
  <c r="L237" i="1"/>
  <c r="L88" i="1"/>
  <c r="L96" i="1"/>
  <c r="L206" i="1"/>
  <c r="L72" i="1"/>
  <c r="E73" i="1"/>
  <c r="L100" i="1"/>
  <c r="L47" i="1"/>
  <c r="L77" i="1"/>
  <c r="L82" i="1"/>
  <c r="L90" i="1"/>
  <c r="L94" i="1"/>
  <c r="L98" i="1"/>
  <c r="R151" i="1"/>
  <c r="L147" i="1"/>
  <c r="L148" i="1"/>
  <c r="L28" i="1"/>
  <c r="E29" i="1"/>
  <c r="L30" i="1"/>
  <c r="E31" i="1"/>
  <c r="L32" i="1"/>
  <c r="E34" i="1"/>
  <c r="E36" i="1"/>
  <c r="L37" i="1"/>
  <c r="E38" i="1"/>
  <c r="L39" i="1"/>
  <c r="E40" i="1"/>
  <c r="L41" i="1"/>
  <c r="E42" i="1"/>
  <c r="E44" i="1"/>
  <c r="L45" i="1"/>
  <c r="E46" i="1"/>
  <c r="L8" i="1"/>
  <c r="L9" i="1"/>
  <c r="L13" i="1"/>
  <c r="L16" i="1"/>
  <c r="L17" i="1"/>
  <c r="L20" i="1"/>
  <c r="R182" i="1"/>
  <c r="B7" i="3"/>
  <c r="C15" i="2"/>
  <c r="C5" i="2" s="1"/>
  <c r="R112" i="1"/>
  <c r="R115" i="1"/>
  <c r="R116" i="1"/>
  <c r="R122" i="1"/>
  <c r="E7" i="1"/>
  <c r="E9" i="1"/>
  <c r="E11" i="1"/>
  <c r="E13" i="1"/>
  <c r="E15" i="1"/>
  <c r="E17" i="1"/>
  <c r="E19" i="1"/>
  <c r="E21" i="1"/>
  <c r="E24" i="1"/>
  <c r="B3" i="3"/>
  <c r="C13" i="2"/>
  <c r="C3" i="2" s="1"/>
  <c r="O214" i="1"/>
  <c r="O240" i="1" s="1"/>
  <c r="E28" i="1"/>
  <c r="L29" i="1"/>
  <c r="E30" i="1"/>
  <c r="L31" i="1"/>
  <c r="E32" i="1"/>
  <c r="L34" i="1"/>
  <c r="E35" i="1"/>
  <c r="L36" i="1"/>
  <c r="E37" i="1"/>
  <c r="L38" i="1"/>
  <c r="E39" i="1"/>
  <c r="L40" i="1"/>
  <c r="E41" i="1"/>
  <c r="L42" i="1"/>
  <c r="E43" i="1"/>
  <c r="L44" i="1"/>
  <c r="E45" i="1"/>
  <c r="L46" i="1"/>
  <c r="L49" i="1"/>
  <c r="E50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R66" i="1"/>
  <c r="L69" i="1"/>
  <c r="L71" i="1"/>
  <c r="L73" i="1"/>
  <c r="L74" i="1"/>
  <c r="L76" i="1"/>
  <c r="L78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R106" i="1"/>
  <c r="R111" i="1"/>
  <c r="R125" i="1"/>
  <c r="R129" i="1"/>
  <c r="S133" i="1"/>
  <c r="B19" i="2"/>
  <c r="B9" i="2" s="1"/>
  <c r="E187" i="1"/>
  <c r="E185" i="1"/>
  <c r="B13" i="2"/>
  <c r="B3" i="2" s="1"/>
  <c r="R25" i="1"/>
  <c r="T25" i="1"/>
  <c r="C14" i="2"/>
  <c r="C4" i="2" s="1"/>
  <c r="L92" i="1"/>
  <c r="R135" i="1"/>
  <c r="R137" i="1"/>
  <c r="R140" i="1"/>
  <c r="B17" i="2"/>
  <c r="B7" i="2" s="1"/>
  <c r="E150" i="1"/>
  <c r="E148" i="1"/>
  <c r="E146" i="1"/>
  <c r="B18" i="2"/>
  <c r="B8" i="2" s="1"/>
  <c r="E186" i="1"/>
  <c r="R188" i="1"/>
  <c r="L193" i="1"/>
  <c r="L198" i="1"/>
  <c r="L203" i="1"/>
  <c r="L205" i="1"/>
  <c r="L207" i="1"/>
  <c r="L211" i="1"/>
  <c r="R213" i="1"/>
  <c r="E218" i="1"/>
  <c r="L222" i="1"/>
  <c r="C17" i="2"/>
  <c r="C7" i="2" s="1"/>
  <c r="C18" i="2"/>
  <c r="C8" i="2" s="1"/>
  <c r="C19" i="2"/>
  <c r="C9" i="2" s="1"/>
  <c r="C20" i="2"/>
  <c r="C10" i="2" s="1"/>
  <c r="L113" i="1" l="1"/>
  <c r="B9" i="3"/>
  <c r="E125" i="1"/>
  <c r="E139" i="1"/>
  <c r="L122" i="1"/>
  <c r="L139" i="1"/>
  <c r="E128" i="1"/>
  <c r="E133" i="1"/>
  <c r="E134" i="1"/>
  <c r="E124" i="1"/>
  <c r="E110" i="1"/>
  <c r="E115" i="1"/>
  <c r="E129" i="1"/>
  <c r="D214" i="1"/>
  <c r="E66" i="1" s="1"/>
  <c r="E122" i="1"/>
  <c r="E140" i="1"/>
  <c r="E130" i="1"/>
  <c r="E112" i="1"/>
  <c r="E114" i="1"/>
  <c r="E142" i="1"/>
  <c r="E137" i="1"/>
  <c r="E117" i="1"/>
  <c r="E132" i="1"/>
  <c r="E118" i="1"/>
  <c r="E136" i="1"/>
  <c r="E135" i="1"/>
  <c r="E120" i="1"/>
  <c r="E138" i="1"/>
  <c r="E121" i="1"/>
  <c r="B16" i="2"/>
  <c r="B6" i="2" s="1"/>
  <c r="E123" i="1"/>
  <c r="E119" i="1"/>
  <c r="E111" i="1"/>
  <c r="L137" i="1"/>
  <c r="K214" i="1"/>
  <c r="L143" i="1" s="1"/>
  <c r="L129" i="1"/>
  <c r="L112" i="1"/>
  <c r="C16" i="2"/>
  <c r="C6" i="2" s="1"/>
  <c r="L141" i="1"/>
  <c r="L133" i="1"/>
  <c r="L142" i="1"/>
  <c r="L138" i="1"/>
  <c r="L136" i="1"/>
  <c r="R143" i="1"/>
  <c r="L134" i="1"/>
  <c r="L132" i="1"/>
  <c r="L128" i="1"/>
  <c r="L124" i="1"/>
  <c r="L120" i="1"/>
  <c r="L118" i="1"/>
  <c r="L110" i="1"/>
  <c r="L123" i="1"/>
  <c r="L121" i="1"/>
  <c r="L119" i="1"/>
  <c r="L117" i="1"/>
  <c r="L114" i="1"/>
  <c r="L111" i="1"/>
  <c r="L140" i="1"/>
  <c r="L135" i="1"/>
  <c r="L125" i="1"/>
  <c r="L115" i="1"/>
  <c r="L116" i="1"/>
  <c r="E188" i="1" l="1"/>
  <c r="E106" i="1"/>
  <c r="E182" i="1"/>
  <c r="E151" i="1"/>
  <c r="E213" i="1"/>
  <c r="D240" i="1"/>
  <c r="E25" i="1"/>
  <c r="E143" i="1"/>
  <c r="K240" i="1"/>
  <c r="R214" i="1"/>
  <c r="L188" i="1"/>
  <c r="L25" i="1"/>
  <c r="L182" i="1"/>
  <c r="L151" i="1"/>
  <c r="L66" i="1"/>
  <c r="L106" i="1"/>
  <c r="L213" i="1"/>
</calcChain>
</file>

<file path=xl/sharedStrings.xml><?xml version="1.0" encoding="utf-8"?>
<sst xmlns="http://schemas.openxmlformats.org/spreadsheetml/2006/main" count="493" uniqueCount="312">
  <si>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</si>
  <si>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</si>
  <si>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</si>
  <si>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</si>
  <si>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</si>
  <si>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</si>
  <si>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</si>
  <si>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</si>
  <si>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</si>
  <si>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</si>
  <si>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</si>
  <si>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</si>
  <si>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</si>
  <si>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</si>
  <si>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</si>
  <si>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</si>
  <si>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</si>
  <si>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</si>
  <si>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</si>
  <si>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</si>
  <si>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</si>
  <si>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</si>
  <si>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</si>
  <si>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</si>
  <si>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</si>
  <si>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</si>
  <si>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</si>
  <si>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</si>
  <si>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</si>
  <si>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</si>
  <si>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</si>
  <si>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</si>
  <si>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</si>
  <si>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</si>
  <si>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</si>
  <si>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</si>
  <si>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</si>
  <si>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</si>
  <si>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</si>
  <si>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</si>
  <si>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</si>
  <si>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</si>
  <si>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</si>
  <si>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</si>
  <si>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</si>
  <si>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</si>
  <si>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</si>
  <si>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</si>
  <si>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</si>
  <si>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</si>
  <si>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</si>
  <si>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</si>
  <si>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</si>
  <si>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</si>
  <si>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</si>
  <si>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</si>
  <si>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</si>
  <si>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</si>
  <si>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</si>
  <si>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</si>
  <si>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</si>
  <si>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</si>
  <si>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</si>
  <si>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</si>
  <si>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</si>
  <si>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</si>
  <si>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</si>
  <si>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</si>
  <si>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</si>
  <si>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</si>
  <si>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</si>
  <si>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</si>
  <si>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</si>
  <si>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</si>
  <si>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</si>
  <si>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</si>
  <si>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</si>
  <si>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</si>
  <si>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</si>
  <si>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</si>
  <si>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</si>
  <si>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</si>
  <si>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</si>
  <si>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</si>
  <si>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</si>
  <si>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</si>
  <si>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</si>
  <si>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</si>
  <si>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</si>
  <si>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</si>
  <si>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</si>
  <si>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</si>
  <si>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</si>
  <si>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</si>
  <si>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</si>
  <si>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</si>
  <si>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</si>
  <si>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</si>
  <si>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</si>
  <si>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</si>
  <si>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</si>
  <si>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</si>
  <si>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</si>
  <si>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</si>
  <si>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</si>
  <si>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</si>
  <si>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</si>
  <si>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</si>
  <si>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</si>
  <si>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</si>
  <si>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</si>
  <si>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</si>
  <si>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</si>
  <si>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</si>
  <si>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</si>
  <si>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</si>
  <si>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</si>
  <si>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</si>
  <si>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</si>
  <si>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</si>
  <si>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</si>
  <si>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</si>
  <si>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</si>
  <si>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</si>
  <si>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</si>
  <si>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</si>
  <si>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</si>
  <si>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</si>
  <si>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</si>
  <si>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</si>
  <si>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</si>
  <si>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</si>
  <si>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</si>
  <si>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</si>
  <si>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</si>
  <si>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</si>
  <si>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</si>
  <si>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</si>
  <si>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</si>
  <si>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</si>
  <si>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</si>
  <si>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</si>
  <si>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</si>
  <si>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</si>
  <si>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</si>
  <si>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</si>
  <si>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</si>
  <si>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</si>
  <si>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</si>
  <si>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</si>
  <si>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</si>
  <si>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</si>
  <si>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</si>
  <si>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</si>
  <si>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</si>
  <si>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</si>
  <si>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</si>
  <si>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</si>
  <si>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</si>
  <si>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</si>
  <si>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</si>
  <si>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</si>
  <si>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</si>
  <si>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</si>
  <si>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</si>
  <si>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</si>
  <si>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</si>
  <si>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</si>
  <si>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</si>
  <si>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</si>
  <si>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</si>
  <si>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</si>
  <si>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</si>
  <si>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</si>
  <si>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</si>
  <si>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</si>
  <si>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</si>
  <si>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</si>
  <si>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</si>
  <si>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</si>
  <si>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</si>
  <si>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</si>
  <si>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</si>
  <si>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</si>
  <si>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</si>
  <si>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</si>
  <si>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</si>
  <si>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</si>
  <si>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</si>
  <si>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</si>
  <si>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</si>
  <si>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</si>
  <si>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</si>
  <si>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</si>
  <si>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</si>
  <si>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</si>
  <si>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</si>
  <si>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</si>
  <si>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</si>
  <si>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</si>
  <si>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</si>
  <si>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</si>
  <si>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</si>
  <si>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</si>
  <si>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</si>
  <si>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</si>
  <si>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</si>
  <si>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</si>
  <si>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</si>
  <si>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</si>
  <si>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</si>
  <si>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</si>
  <si>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</si>
  <si>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</si>
  <si>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</si>
  <si>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</si>
  <si>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</si>
  <si>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</si>
  <si>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</si>
  <si>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</si>
  <si>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</si>
  <si>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</si>
  <si>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</si>
  <si>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</si>
  <si>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</si>
  <si>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</si>
  <si>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</si>
  <si>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</si>
  <si>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</si>
  <si>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</si>
  <si>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</si>
  <si>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</si>
  <si>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</si>
  <si>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</si>
  <si>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</si>
  <si>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</si>
  <si>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</si>
  <si>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</si>
  <si>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</si>
  <si>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</si>
  <si>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</si>
  <si>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</si>
  <si>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</si>
  <si>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</si>
  <si>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</si>
  <si>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</si>
  <si>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</si>
  <si>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</si>
  <si>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</si>
  <si>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</si>
  <si>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</si>
  <si>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</si>
  <si>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</si>
  <si>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</si>
  <si>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</si>
  <si>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</si>
  <si>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</si>
  <si>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</si>
  <si>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</si>
  <si>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</si>
  <si>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</si>
  <si>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</si>
  <si>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</si>
  <si>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</si>
  <si>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</si>
  <si>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</si>
  <si>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</si>
  <si>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</si>
  <si>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</si>
  <si>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</si>
  <si>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</si>
  <si>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</si>
  <si>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</si>
  <si>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</si>
  <si>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</si>
  <si>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</si>
  <si>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</si>
  <si>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</si>
  <si>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</si>
  <si>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</si>
  <si>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</si>
  <si>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</si>
  <si>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</si>
  <si>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</si>
  <si>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</si>
  <si>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</si>
  <si>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</si>
  <si>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</si>
  <si>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</si>
  <si>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</si>
  <si>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</si>
  <si>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</si>
  <si>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</si>
  <si>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</si>
  <si>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</si>
  <si>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</si>
  <si>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0.07%</t>
  </si>
  <si>
    <t>NAV, Unit Price and Yield as at Week Ended February 7, 2025</t>
  </si>
  <si>
    <t>One17 Halal Fund</t>
  </si>
  <si>
    <t>One17 Capital Limited</t>
  </si>
  <si>
    <t>Zrosk Magna Equity Fund</t>
  </si>
  <si>
    <t>Zrosk Investment Management Limited</t>
  </si>
  <si>
    <t>0.13%</t>
  </si>
  <si>
    <t>Coronation Premium Fixed Income Fund</t>
  </si>
  <si>
    <t>Coronation Dollar Fund</t>
  </si>
  <si>
    <t>Coronation Asset Management Limited</t>
  </si>
  <si>
    <t>Week Ended February 7, 2025</t>
  </si>
  <si>
    <t>WEEKLY VALUATION REPORT OF COLLECTIVE INVESTMENT SCHEMES AS AT WEEK ENDED FRIDAY, FEBRUARY 14, 2025</t>
  </si>
  <si>
    <t>NAV, Unit Price and Yield as at Week Ended February 14, 2025</t>
  </si>
  <si>
    <t>NFEM RATE NG₦/US$ as at 14th February, 2025 = N1,508.6637</t>
  </si>
  <si>
    <t>FCMB-TLG Private Debt Fund</t>
  </si>
  <si>
    <t>Week Ended February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</si>
</sst>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0" fontId="9" fillId="0" borderId="0" xfId="0" applyFont="1"/>
    <xf numFmtId="0" fontId="5" fillId="2" borderId="0" xfId="0" applyFont="1" applyFill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0" fontId="0" fillId="7" borderId="1" xfId="0" applyFill="1" applyBorder="1"/>
    <xf numFmtId="0" fontId="13" fillId="8" borderId="1" xfId="0" applyFont="1" applyFill="1" applyBorder="1"/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7" fillId="2" borderId="1" xfId="10" applyFont="1" applyFill="1" applyBorder="1"/>
    <xf numFmtId="10" fontId="17" fillId="8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/>
    </xf>
    <xf numFmtId="4" fontId="17" fillId="2" borderId="1" xfId="0" applyNumberFormat="1" applyFont="1" applyFill="1" applyBorder="1"/>
    <xf numFmtId="164" fontId="15" fillId="10" borderId="1" xfId="1" applyFont="1" applyFill="1" applyBorder="1" applyAlignment="1">
      <alignment horizontal="center"/>
    </xf>
    <xf numFmtId="164" fontId="17" fillId="2" borderId="1" xfId="1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right"/>
    </xf>
    <xf numFmtId="164" fontId="14" fillId="2" borderId="1" xfId="1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0" fontId="17" fillId="2" borderId="1" xfId="2" applyNumberFormat="1" applyFont="1" applyFill="1" applyBorder="1" applyAlignment="1">
      <alignment horizontal="center" vertical="top" wrapText="1"/>
    </xf>
    <xf numFmtId="4" fontId="17" fillId="2" borderId="1" xfId="1" applyNumberFormat="1" applyFont="1" applyFill="1" applyBorder="1" applyAlignment="1">
      <alignment vertical="top" wrapText="1"/>
    </xf>
    <xf numFmtId="164" fontId="14" fillId="10" borderId="1" xfId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/>
    </xf>
    <xf numFmtId="4" fontId="17" fillId="2" borderId="1" xfId="1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 wrapText="1"/>
    </xf>
    <xf numFmtId="164" fontId="14" fillId="2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center" vertical="top"/>
    </xf>
    <xf numFmtId="10" fontId="17" fillId="10" borderId="1" xfId="2" applyNumberFormat="1" applyFont="1" applyFill="1" applyBorder="1" applyAlignment="1">
      <alignment horizontal="center"/>
    </xf>
    <xf numFmtId="10" fontId="15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 vertical="top" wrapText="1"/>
    </xf>
    <xf numFmtId="10" fontId="17" fillId="10" borderId="1" xfId="2" applyNumberFormat="1" applyFont="1" applyFill="1" applyBorder="1" applyAlignment="1">
      <alignment horizontal="center" wrapText="1"/>
    </xf>
    <xf numFmtId="10" fontId="17" fillId="8" borderId="1" xfId="2" applyNumberFormat="1" applyFont="1" applyFill="1" applyBorder="1" applyAlignment="1">
      <alignment horizontal="center" wrapText="1"/>
    </xf>
    <xf numFmtId="10" fontId="17" fillId="10" borderId="1" xfId="1" applyNumberFormat="1" applyFont="1" applyFill="1" applyBorder="1" applyAlignment="1">
      <alignment horizontal="center"/>
    </xf>
    <xf numFmtId="10" fontId="17" fillId="3" borderId="1" xfId="2" applyNumberFormat="1" applyFont="1" applyFill="1" applyBorder="1" applyAlignment="1">
      <alignment horizontal="center" vertical="top" wrapText="1"/>
    </xf>
    <xf numFmtId="10" fontId="15" fillId="3" borderId="1" xfId="2" applyNumberFormat="1" applyFont="1" applyFill="1" applyBorder="1" applyAlignment="1">
      <alignment horizontal="center" vertical="top" wrapText="1"/>
    </xf>
    <xf numFmtId="10" fontId="15" fillId="3" borderId="1" xfId="1" applyNumberFormat="1" applyFont="1" applyFill="1" applyBorder="1" applyAlignment="1">
      <alignment horizontal="center" vertical="top" wrapText="1"/>
    </xf>
    <xf numFmtId="10" fontId="19" fillId="11" borderId="0" xfId="0" applyNumberFormat="1" applyFont="1" applyFill="1" applyAlignment="1">
      <alignment horizontal="right" vertical="center" wrapText="1"/>
    </xf>
    <xf numFmtId="2" fontId="17" fillId="2" borderId="1" xfId="0" applyNumberFormat="1" applyFont="1" applyFill="1" applyBorder="1"/>
    <xf numFmtId="164" fontId="17" fillId="2" borderId="1" xfId="10" applyFont="1" applyFill="1" applyBorder="1" applyAlignment="1">
      <alignment wrapText="1"/>
    </xf>
    <xf numFmtId="164" fontId="17" fillId="12" borderId="1" xfId="1" applyFont="1" applyFill="1" applyBorder="1" applyAlignment="1">
      <alignment horizontal="center"/>
    </xf>
    <xf numFmtId="10" fontId="17" fillId="12" borderId="1" xfId="2" applyNumberFormat="1" applyFont="1" applyFill="1" applyBorder="1" applyAlignment="1">
      <alignment horizontal="center"/>
    </xf>
    <xf numFmtId="10" fontId="17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4" fontId="22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3" fillId="11" borderId="0" xfId="0" applyNumberFormat="1" applyFont="1" applyFill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4" fontId="25" fillId="0" borderId="1" xfId="0" applyNumberFormat="1" applyFont="1" applyFill="1" applyBorder="1" applyAlignment="1" applyProtection="1"/>
    <xf numFmtId="0" fontId="26" fillId="2" borderId="1" xfId="0" applyFont="1" applyFill="1" applyBorder="1"/>
    <xf numFmtId="4" fontId="17" fillId="2" borderId="1" xfId="1" applyNumberFormat="1" applyFont="1" applyFill="1" applyBorder="1" applyAlignment="1">
      <alignment horizontal="right" vertical="top" wrapText="1"/>
    </xf>
    <xf numFmtId="164" fontId="14" fillId="2" borderId="1" xfId="1" applyFont="1" applyFill="1" applyBorder="1"/>
    <xf numFmtId="43" fontId="17" fillId="2" borderId="1" xfId="0" applyNumberFormat="1" applyFont="1" applyFill="1" applyBorder="1"/>
    <xf numFmtId="4" fontId="17" fillId="2" borderId="1" xfId="1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1" xfId="10" applyNumberFormat="1" applyFont="1" applyFill="1" applyBorder="1" applyAlignment="1">
      <alignment horizontal="right" wrapText="1"/>
    </xf>
    <xf numFmtId="4" fontId="17" fillId="10" borderId="1" xfId="1" applyNumberFormat="1" applyFont="1" applyFill="1" applyBorder="1" applyAlignment="1">
      <alignment horizontal="center"/>
    </xf>
    <xf numFmtId="4" fontId="17" fillId="10" borderId="1" xfId="1" applyNumberFormat="1" applyFont="1" applyFill="1" applyBorder="1" applyAlignment="1">
      <alignment horizontal="center" vertical="top" wrapText="1"/>
    </xf>
    <xf numFmtId="43" fontId="17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4" fillId="10" borderId="1" xfId="1" applyNumberFormat="1" applyFont="1" applyFill="1" applyBorder="1" applyAlignment="1">
      <alignment horizontal="right" vertical="top" wrapText="1"/>
    </xf>
    <xf numFmtId="0" fontId="17" fillId="15" borderId="1" xfId="0" applyFont="1" applyFill="1" applyBorder="1" applyAlignment="1">
      <alignment horizontal="right" vertical="center"/>
    </xf>
    <xf numFmtId="0" fontId="14" fillId="15" borderId="1" xfId="0" applyFont="1" applyFill="1" applyBorder="1" applyAlignment="1">
      <alignment horizontal="right" vertical="center"/>
    </xf>
    <xf numFmtId="164" fontId="14" fillId="15" borderId="1" xfId="1" applyFont="1" applyFill="1" applyBorder="1" applyAlignment="1">
      <alignment horizontal="right" vertical="center" wrapText="1"/>
    </xf>
    <xf numFmtId="10" fontId="17" fillId="15" borderId="1" xfId="1" applyNumberFormat="1" applyFont="1" applyFill="1" applyBorder="1" applyAlignment="1">
      <alignment horizontal="right" vertical="center" wrapText="1"/>
    </xf>
    <xf numFmtId="4" fontId="17" fillId="15" borderId="1" xfId="1" applyNumberFormat="1" applyFont="1" applyFill="1" applyBorder="1" applyAlignment="1">
      <alignment horizontal="right" vertical="center" wrapText="1"/>
    </xf>
    <xf numFmtId="164" fontId="14" fillId="15" borderId="1" xfId="1" applyFont="1" applyFill="1" applyBorder="1" applyAlignment="1">
      <alignment horizontal="right" vertical="top" wrapText="1"/>
    </xf>
    <xf numFmtId="4" fontId="17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7" fillId="15" borderId="1" xfId="1" applyNumberFormat="1" applyFont="1" applyFill="1" applyBorder="1" applyAlignment="1">
      <alignment horizontal="right" vertical="top" wrapText="1"/>
    </xf>
    <xf numFmtId="164" fontId="17" fillId="2" borderId="1" xfId="10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64" fontId="17" fillId="10" borderId="1" xfId="1" applyFont="1" applyFill="1" applyBorder="1" applyAlignment="1">
      <alignment horizontal="center" vertical="top" wrapText="1"/>
    </xf>
    <xf numFmtId="164" fontId="17" fillId="2" borderId="1" xfId="1" applyFont="1" applyFill="1" applyBorder="1" applyAlignment="1">
      <alignment horizontal="right" vertical="top" wrapText="1"/>
    </xf>
    <xf numFmtId="0" fontId="17" fillId="16" borderId="1" xfId="0" applyFont="1" applyFill="1" applyBorder="1" applyAlignment="1">
      <alignment horizontal="right" vertical="top" wrapText="1"/>
    </xf>
    <xf numFmtId="0" fontId="24" fillId="16" borderId="1" xfId="0" applyFont="1" applyFill="1" applyBorder="1" applyAlignment="1">
      <alignment horizontal="right" vertical="top" wrapText="1"/>
    </xf>
    <xf numFmtId="164" fontId="24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9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6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7" fillId="15" borderId="1" xfId="2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5" fillId="15" borderId="1" xfId="2" applyNumberFormat="1" applyFont="1" applyFill="1" applyBorder="1" applyAlignment="1">
      <alignment horizontal="center" vertical="top" wrapText="1"/>
    </xf>
    <xf numFmtId="166" fontId="15" fillId="15" borderId="1" xfId="2" applyNumberFormat="1" applyFont="1" applyFill="1" applyBorder="1" applyAlignment="1">
      <alignment horizontal="center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7" fillId="16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 vertical="top" wrapText="1"/>
    </xf>
    <xf numFmtId="4" fontId="4" fillId="2" borderId="0" xfId="0" applyNumberFormat="1" applyFont="1" applyFill="1" applyAlignment="1">
      <alignment horizontal="right"/>
    </xf>
    <xf numFmtId="0" fontId="42" fillId="8" borderId="1" xfId="0" applyFont="1" applyFill="1" applyBorder="1"/>
    <xf numFmtId="0" fontId="43" fillId="0" borderId="0" xfId="0" applyFont="1"/>
    <xf numFmtId="0" fontId="30" fillId="6" borderId="1" xfId="0" applyFont="1" applyFill="1" applyBorder="1" applyAlignment="1">
      <alignment horizontal="left" vertical="center"/>
    </xf>
    <xf numFmtId="4" fontId="21" fillId="0" borderId="0" xfId="0" applyNumberFormat="1" applyFont="1"/>
    <xf numFmtId="0" fontId="17" fillId="15" borderId="1" xfId="0" applyFont="1" applyFill="1" applyBorder="1" applyAlignment="1">
      <alignment horizontal="right"/>
    </xf>
    <xf numFmtId="0" fontId="14" fillId="15" borderId="1" xfId="0" applyFont="1" applyFill="1" applyBorder="1" applyAlignment="1">
      <alignment horizontal="right"/>
    </xf>
    <xf numFmtId="43" fontId="7" fillId="0" borderId="0" xfId="0" applyNumberFormat="1" applyFont="1"/>
    <xf numFmtId="0" fontId="44" fillId="0" borderId="0" xfId="0" applyFont="1" applyAlignment="1">
      <alignment horizontal="right"/>
    </xf>
    <xf numFmtId="4" fontId="45" fillId="2" borderId="0" xfId="0" applyNumberFormat="1" applyFont="1" applyFill="1"/>
    <xf numFmtId="164" fontId="45" fillId="2" borderId="0" xfId="1" applyFont="1" applyFill="1" applyBorder="1" applyAlignment="1">
      <alignment horizontal="right" vertical="top" wrapText="1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" fontId="4" fillId="2" borderId="0" xfId="0" applyNumberFormat="1" applyFont="1" applyFill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wrapText="1"/>
    </xf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9" fillId="0" borderId="0" xfId="0" applyFont="1" applyBorder="1"/>
    <xf numFmtId="0" fontId="50" fillId="0" borderId="0" xfId="0" applyFont="1" applyBorder="1" applyAlignment="1">
      <alignment horizontal="right" wrapText="1"/>
    </xf>
    <xf numFmtId="164" fontId="51" fillId="0" borderId="0" xfId="1" applyFont="1" applyBorder="1"/>
    <xf numFmtId="4" fontId="51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44" fillId="0" borderId="0" xfId="0" applyFont="1" applyBorder="1" applyAlignment="1">
      <alignment horizontal="right"/>
    </xf>
    <xf numFmtId="4" fontId="45" fillId="2" borderId="0" xfId="0" applyNumberFormat="1" applyFont="1" applyFill="1" applyBorder="1" applyAlignment="1">
      <alignment horizontal="right"/>
    </xf>
    <xf numFmtId="0" fontId="52" fillId="0" borderId="0" xfId="0" applyFont="1" applyBorder="1" applyAlignment="1">
      <alignment horizontal="right"/>
    </xf>
    <xf numFmtId="16" fontId="44" fillId="2" borderId="0" xfId="0" applyNumberFormat="1" applyFont="1" applyFill="1" applyBorder="1"/>
    <xf numFmtId="4" fontId="45" fillId="2" borderId="0" xfId="0" applyNumberFormat="1" applyFont="1" applyFill="1" applyBorder="1"/>
    <xf numFmtId="164" fontId="9" fillId="0" borderId="0" xfId="1" applyFont="1" applyBorder="1"/>
    <xf numFmtId="0" fontId="46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15" fillId="2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4" fontId="17" fillId="0" borderId="1" xfId="0" applyNumberFormat="1" applyFont="1" applyBorder="1" applyAlignment="1">
      <alignment wrapText="1"/>
    </xf>
    <xf numFmtId="49" fontId="17" fillId="0" borderId="1" xfId="0" applyNumberFormat="1" applyFont="1" applyBorder="1" applyAlignment="1">
      <alignment wrapText="1"/>
    </xf>
    <xf numFmtId="0" fontId="12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20" fillId="13" borderId="1" xfId="0" applyFont="1" applyFill="1" applyBorder="1" applyAlignment="1">
      <alignment horizontal="center"/>
    </xf>
    <xf numFmtId="0" fontId="24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24" fillId="14" borderId="1" xfId="0" applyFont="1" applyFill="1" applyBorder="1" applyAlignment="1">
      <alignment horizontal="center" wrapText="1"/>
    </xf>
    <xf numFmtId="0" fontId="27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</cellXfs>
  <cellStyles count="33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6 2" xfId="31"/>
    <cellStyle name="Percent" xfId="2" builtinId="5"/>
    <cellStyle name="Percent 13" xfId="29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7,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37.60243720495</c:v>
                </c:pt>
                <c:pt idx="1">
                  <c:v>1986.5456628533891</c:v>
                </c:pt>
                <c:pt idx="2">
                  <c:v>192.82364605239559</c:v>
                </c:pt>
                <c:pt idx="3">
                  <c:v>1755.6425758857151</c:v>
                </c:pt>
                <c:pt idx="4">
                  <c:v>100.95230605592899</c:v>
                </c:pt>
                <c:pt idx="5" formatCode="_-* #,##0.00_-;\-* #,##0.00_-;_-* &quot;-&quot;??_-;_-@_-">
                  <c:v>57.357776059173069</c:v>
                </c:pt>
                <c:pt idx="6">
                  <c:v>6.5825859737099988</c:v>
                </c:pt>
                <c:pt idx="7">
                  <c:v>53.889279380166805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14,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38.501630325359997</c:v>
                </c:pt>
                <c:pt idx="1">
                  <c:v>2038.2004327447246</c:v>
                </c:pt>
                <c:pt idx="2">
                  <c:v>193.17042371656945</c:v>
                </c:pt>
                <c:pt idx="3">
                  <c:v>1779.1913217332319</c:v>
                </c:pt>
                <c:pt idx="4">
                  <c:v>101.01400031343393</c:v>
                </c:pt>
                <c:pt idx="5" formatCode="_-* #,##0.00_-;\-* #,##0.00_-;_-* &quot;-&quot;??_-;_-@_-">
                  <c:v>58.252652887652779</c:v>
                </c:pt>
                <c:pt idx="6">
                  <c:v>6.73883788914</c:v>
                </c:pt>
                <c:pt idx="7">
                  <c:v>54.482402721736491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14TH FEBRUARY,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14-Feb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6738837889.1400003</c:v>
                </c:pt>
                <c:pt idx="1">
                  <c:v>38501630325.360001</c:v>
                </c:pt>
                <c:pt idx="2" formatCode="_-* #,##0.00_-;\-* #,##0.00_-;_-* &quot;-&quot;??_-;_-@_-">
                  <c:v>54482402721.736488</c:v>
                </c:pt>
                <c:pt idx="3">
                  <c:v>58252652887.652779</c:v>
                </c:pt>
                <c:pt idx="4">
                  <c:v>101014000313.43393</c:v>
                </c:pt>
                <c:pt idx="5">
                  <c:v>193170423716.56946</c:v>
                </c:pt>
                <c:pt idx="6">
                  <c:v>2038200432744.7246</c:v>
                </c:pt>
                <c:pt idx="7">
                  <c:v>1779191321733.2319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45653</c:v>
                </c:pt>
                <c:pt idx="1">
                  <c:v>45660</c:v>
                </c:pt>
                <c:pt idx="2">
                  <c:v>45667</c:v>
                </c:pt>
                <c:pt idx="3">
                  <c:v>45674</c:v>
                </c:pt>
                <c:pt idx="4">
                  <c:v>45681</c:v>
                </c:pt>
                <c:pt idx="5">
                  <c:v>45688</c:v>
                </c:pt>
                <c:pt idx="6">
                  <c:v>45695</c:v>
                </c:pt>
                <c:pt idx="7">
                  <c:v>45702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3829.831201863391</c:v>
                </c:pt>
                <c:pt idx="1">
                  <c:v>3883.4933818535656</c:v>
                </c:pt>
                <c:pt idx="2">
                  <c:v>3964.1148250792808</c:v>
                </c:pt>
                <c:pt idx="3">
                  <c:v>4019.7056298340649</c:v>
                </c:pt>
                <c:pt idx="4">
                  <c:v>4119.3897630881565</c:v>
                </c:pt>
                <c:pt idx="5">
                  <c:v>4111.8204981719919</c:v>
                </c:pt>
                <c:pt idx="6">
                  <c:v>4191.3962694654292</c:v>
                </c:pt>
                <c:pt idx="7">
                  <c:v>4269.5517023318498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45653</c:v>
                </c:pt>
                <c:pt idx="1">
                  <c:v>45660</c:v>
                </c:pt>
                <c:pt idx="2">
                  <c:v>45667</c:v>
                </c:pt>
                <c:pt idx="3">
                  <c:v>45674</c:v>
                </c:pt>
                <c:pt idx="4">
                  <c:v>45681</c:v>
                </c:pt>
                <c:pt idx="5">
                  <c:v>45688</c:v>
                </c:pt>
                <c:pt idx="6">
                  <c:v>45695</c:v>
                </c:pt>
                <c:pt idx="7">
                  <c:v>45702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12.568890044927004</c:v>
                </c:pt>
                <c:pt idx="1">
                  <c:v>12.767135898969396</c:v>
                </c:pt>
                <c:pt idx="2">
                  <c:v>12.486443329167654</c:v>
                </c:pt>
                <c:pt idx="3">
                  <c:v>13.126291240540001</c:v>
                </c:pt>
                <c:pt idx="4">
                  <c:v>12.926648581233682</c:v>
                </c:pt>
                <c:pt idx="5">
                  <c:v>13.139930136069998</c:v>
                </c:pt>
                <c:pt idx="6">
                  <c:v>13.518762702094183</c:v>
                </c:pt>
                <c:pt idx="7">
                  <c:v>13.762029268867213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7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3" t="s">
        <v>307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5" ht="15" customHeight="1">
      <c r="A2" s="23"/>
      <c r="B2" s="24"/>
      <c r="C2" s="130"/>
      <c r="D2" s="184" t="s">
        <v>297</v>
      </c>
      <c r="E2" s="184"/>
      <c r="F2" s="184"/>
      <c r="G2" s="184"/>
      <c r="H2" s="184"/>
      <c r="I2" s="184"/>
      <c r="J2" s="184"/>
      <c r="K2" s="184" t="s">
        <v>308</v>
      </c>
      <c r="L2" s="184"/>
      <c r="M2" s="184"/>
      <c r="N2" s="184"/>
      <c r="O2" s="184"/>
      <c r="P2" s="184"/>
      <c r="Q2" s="184"/>
      <c r="R2" s="184" t="s">
        <v>0</v>
      </c>
      <c r="S2" s="184"/>
      <c r="T2" s="184"/>
      <c r="U2" s="184" t="s">
        <v>1</v>
      </c>
      <c r="V2" s="184"/>
    </row>
    <row r="3" spans="1:25" ht="20.399999999999999">
      <c r="A3" s="25" t="s">
        <v>2</v>
      </c>
      <c r="B3" s="26" t="s">
        <v>3</v>
      </c>
      <c r="C3" s="27" t="s">
        <v>4</v>
      </c>
      <c r="D3" s="28" t="s">
        <v>5</v>
      </c>
      <c r="E3" s="29" t="s">
        <v>6</v>
      </c>
      <c r="F3" s="128" t="s">
        <v>290</v>
      </c>
      <c r="G3" s="29" t="s">
        <v>8</v>
      </c>
      <c r="H3" s="29" t="s">
        <v>9</v>
      </c>
      <c r="I3" s="29" t="s">
        <v>10</v>
      </c>
      <c r="J3" s="29" t="s">
        <v>11</v>
      </c>
      <c r="K3" s="52" t="s">
        <v>5</v>
      </c>
      <c r="L3" s="29" t="s">
        <v>6</v>
      </c>
      <c r="M3" s="29" t="s">
        <v>7</v>
      </c>
      <c r="N3" s="29" t="s">
        <v>8</v>
      </c>
      <c r="O3" s="29" t="s">
        <v>9</v>
      </c>
      <c r="P3" s="29" t="s">
        <v>10</v>
      </c>
      <c r="Q3" s="29" t="s">
        <v>11</v>
      </c>
      <c r="R3" s="28" t="s">
        <v>12</v>
      </c>
      <c r="S3" s="29" t="s">
        <v>13</v>
      </c>
      <c r="T3" s="29" t="s">
        <v>14</v>
      </c>
      <c r="U3" s="29" t="s">
        <v>15</v>
      </c>
      <c r="V3" s="29" t="s">
        <v>16</v>
      </c>
    </row>
    <row r="4" spans="1:25" ht="5.25" customHeight="1">
      <c r="A4" s="30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5" ht="15" customHeight="1">
      <c r="A5" s="186" t="s">
        <v>17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5">
      <c r="A6" s="145">
        <v>1</v>
      </c>
      <c r="B6" s="140" t="s">
        <v>18</v>
      </c>
      <c r="C6" s="141" t="s">
        <v>19</v>
      </c>
      <c r="D6" s="31">
        <v>1537776770.0799999</v>
      </c>
      <c r="E6" s="32">
        <f t="shared" ref="E6:E24" si="0">(D6/$D$25)</f>
        <v>4.0895667525443442E-2</v>
      </c>
      <c r="F6" s="33">
        <v>420.91590000000002</v>
      </c>
      <c r="G6" s="33">
        <v>420.91590000000002</v>
      </c>
      <c r="H6" s="34">
        <v>1816</v>
      </c>
      <c r="I6" s="53">
        <v>1.6500000000000001E-2</v>
      </c>
      <c r="J6" s="53">
        <v>5.8900000000000001E-2</v>
      </c>
      <c r="K6" s="31">
        <v>1607342458.26</v>
      </c>
      <c r="L6" s="32">
        <f>(K6/$K$25)</f>
        <v>4.1747386920425712E-2</v>
      </c>
      <c r="M6" s="33">
        <v>429.8073</v>
      </c>
      <c r="N6" s="33">
        <v>433.02730000000003</v>
      </c>
      <c r="O6" s="34">
        <v>1816</v>
      </c>
      <c r="P6" s="53">
        <v>2.1100000000000001E-2</v>
      </c>
      <c r="Q6" s="53">
        <v>8.1199999999999994E-2</v>
      </c>
      <c r="R6" s="59">
        <f>((K6-D6)/D6)</f>
        <v>4.5237832651341875E-2</v>
      </c>
      <c r="S6" s="59">
        <f>((N6-G6)/G6)</f>
        <v>2.8773918970511694E-2</v>
      </c>
      <c r="T6" s="59">
        <f>((O6-H6)/H6)</f>
        <v>0</v>
      </c>
      <c r="U6" s="60">
        <f>P6-I6</f>
        <v>4.5999999999999999E-3</v>
      </c>
      <c r="V6" s="61">
        <f>Q6-J6</f>
        <v>2.2299999999999993E-2</v>
      </c>
    </row>
    <row r="7" spans="1:25">
      <c r="A7" s="145">
        <v>2</v>
      </c>
      <c r="B7" s="140" t="s">
        <v>20</v>
      </c>
      <c r="C7" s="141" t="s">
        <v>21</v>
      </c>
      <c r="D7" s="35">
        <v>646093877.62</v>
      </c>
      <c r="E7" s="32">
        <f t="shared" si="0"/>
        <v>1.7182234068991359E-2</v>
      </c>
      <c r="F7" s="35">
        <v>275.63630000000001</v>
      </c>
      <c r="G7" s="35">
        <v>278.85430000000002</v>
      </c>
      <c r="H7" s="34">
        <v>463</v>
      </c>
      <c r="I7" s="53">
        <v>1.4017999999999999E-2</v>
      </c>
      <c r="J7" s="53">
        <v>7.0400000000000004E-2</v>
      </c>
      <c r="K7" s="35">
        <v>690077028.79999995</v>
      </c>
      <c r="L7" s="32">
        <f t="shared" ref="L7:L24" si="1">(K7/$K$25)</f>
        <v>1.7923319687204637E-2</v>
      </c>
      <c r="M7" s="35">
        <v>284.52800000000002</v>
      </c>
      <c r="N7" s="35">
        <v>287.83730000000003</v>
      </c>
      <c r="O7" s="34">
        <v>465</v>
      </c>
      <c r="P7" s="53">
        <v>1.9350000000000001E-3</v>
      </c>
      <c r="Q7" s="53">
        <v>0.10489999999999999</v>
      </c>
      <c r="R7" s="59">
        <f t="shared" ref="R7:R25" si="2">((K7-D7)/D7)</f>
        <v>6.807548051998201E-2</v>
      </c>
      <c r="S7" s="59">
        <f t="shared" ref="S7:S25" si="3">((N7-G7)/G7)</f>
        <v>3.2213955459894299E-2</v>
      </c>
      <c r="T7" s="59">
        <f t="shared" ref="T7:T25" si="4">((O7-H7)/H7)</f>
        <v>4.3196544276457886E-3</v>
      </c>
      <c r="U7" s="60">
        <f t="shared" ref="U7:U25" si="5">P7-I7</f>
        <v>-1.2083E-2</v>
      </c>
      <c r="V7" s="61">
        <f t="shared" ref="V7:V25" si="6">Q7-J7</f>
        <v>3.4499999999999989E-2</v>
      </c>
    </row>
    <row r="8" spans="1:25">
      <c r="A8" s="145">
        <v>3</v>
      </c>
      <c r="B8" s="140" t="s">
        <v>22</v>
      </c>
      <c r="C8" s="141" t="s">
        <v>23</v>
      </c>
      <c r="D8" s="35">
        <v>3985767658.9000001</v>
      </c>
      <c r="E8" s="32">
        <f t="shared" si="0"/>
        <v>0.10599758832587884</v>
      </c>
      <c r="F8" s="35">
        <v>36.544499999999999</v>
      </c>
      <c r="G8" s="35">
        <v>37.646299999999997</v>
      </c>
      <c r="H8" s="36">
        <v>6626</v>
      </c>
      <c r="I8" s="54">
        <v>0.81230000000000002</v>
      </c>
      <c r="J8" s="54">
        <v>0.29509999999999997</v>
      </c>
      <c r="K8" s="35">
        <v>4073716179.7800002</v>
      </c>
      <c r="L8" s="32">
        <f t="shared" si="1"/>
        <v>0.10580632937760955</v>
      </c>
      <c r="M8" s="35">
        <v>37.2956</v>
      </c>
      <c r="N8" s="35">
        <v>38.420099999999998</v>
      </c>
      <c r="O8" s="36">
        <v>6629</v>
      </c>
      <c r="P8" s="54">
        <v>1.0718000000000001</v>
      </c>
      <c r="Q8" s="54">
        <v>0.42109999999999997</v>
      </c>
      <c r="R8" s="59">
        <f t="shared" si="2"/>
        <v>2.2065641654654883E-2</v>
      </c>
      <c r="S8" s="59">
        <f t="shared" si="3"/>
        <v>2.0554476801173061E-2</v>
      </c>
      <c r="T8" s="59">
        <f t="shared" si="4"/>
        <v>4.5276184726833685E-4</v>
      </c>
      <c r="U8" s="60">
        <f t="shared" si="5"/>
        <v>0.25950000000000006</v>
      </c>
      <c r="V8" s="61">
        <f t="shared" si="6"/>
        <v>0.126</v>
      </c>
      <c r="X8" s="62"/>
      <c r="Y8" s="62"/>
    </row>
    <row r="9" spans="1:25">
      <c r="A9" s="145">
        <v>4</v>
      </c>
      <c r="B9" s="140" t="s">
        <v>24</v>
      </c>
      <c r="C9" s="141" t="s">
        <v>25</v>
      </c>
      <c r="D9" s="35">
        <v>605885658.48000002</v>
      </c>
      <c r="E9" s="32">
        <f t="shared" si="0"/>
        <v>1.6112935849813506E-2</v>
      </c>
      <c r="F9" s="35">
        <v>227.45240000000001</v>
      </c>
      <c r="G9" s="35">
        <v>227.45240000000001</v>
      </c>
      <c r="H9" s="34">
        <v>1917</v>
      </c>
      <c r="I9" s="53">
        <v>1.6299999999999999E-2</v>
      </c>
      <c r="J9" s="53">
        <v>3.8699999999999998E-2</v>
      </c>
      <c r="K9" s="35">
        <v>595478716.28999996</v>
      </c>
      <c r="L9" s="32">
        <f t="shared" si="1"/>
        <v>1.5466324705158628E-2</v>
      </c>
      <c r="M9" s="35">
        <v>230.2696</v>
      </c>
      <c r="N9" s="35">
        <v>230.2696</v>
      </c>
      <c r="O9" s="34">
        <v>1921</v>
      </c>
      <c r="P9" s="53">
        <v>1.24E-2</v>
      </c>
      <c r="Q9" s="53">
        <v>5.16E-2</v>
      </c>
      <c r="R9" s="59">
        <f t="shared" si="2"/>
        <v>-1.717641281707873E-2</v>
      </c>
      <c r="S9" s="59">
        <f t="shared" si="3"/>
        <v>1.2385888212214887E-2</v>
      </c>
      <c r="T9" s="59">
        <f t="shared" si="4"/>
        <v>2.0865936358894104E-3</v>
      </c>
      <c r="U9" s="60">
        <f t="shared" si="5"/>
        <v>-3.899999999999999E-3</v>
      </c>
      <c r="V9" s="61">
        <f t="shared" si="6"/>
        <v>1.2900000000000002E-2</v>
      </c>
    </row>
    <row r="10" spans="1:25">
      <c r="A10" s="145">
        <v>5</v>
      </c>
      <c r="B10" s="140" t="s">
        <v>26</v>
      </c>
      <c r="C10" s="141" t="s">
        <v>27</v>
      </c>
      <c r="D10" s="35">
        <v>1041217675.03</v>
      </c>
      <c r="E10" s="32">
        <f t="shared" si="0"/>
        <v>2.7690164585739505E-2</v>
      </c>
      <c r="F10" s="35">
        <v>1.3346</v>
      </c>
      <c r="G10" s="35">
        <v>1.3515999999999999</v>
      </c>
      <c r="H10" s="34">
        <v>495</v>
      </c>
      <c r="I10" s="53">
        <v>3.2899999999999999E-2</v>
      </c>
      <c r="J10" s="53">
        <v>7.7399999999999997E-2</v>
      </c>
      <c r="K10" s="35">
        <v>1047401698.6900001</v>
      </c>
      <c r="L10" s="32">
        <f t="shared" si="1"/>
        <v>2.7204086939666666E-2</v>
      </c>
      <c r="M10" s="35">
        <v>1.3607</v>
      </c>
      <c r="N10" s="35">
        <v>1.3782000000000001</v>
      </c>
      <c r="O10" s="34">
        <v>495</v>
      </c>
      <c r="P10" s="53">
        <v>5.8999999999999999E-3</v>
      </c>
      <c r="Q10" s="53">
        <v>9.8500000000000004E-2</v>
      </c>
      <c r="R10" s="59">
        <f t="shared" si="2"/>
        <v>5.9392227084715107E-3</v>
      </c>
      <c r="S10" s="59">
        <f t="shared" si="3"/>
        <v>1.9680378810299038E-2</v>
      </c>
      <c r="T10" s="59">
        <f t="shared" si="4"/>
        <v>0</v>
      </c>
      <c r="U10" s="60">
        <f t="shared" si="5"/>
        <v>-2.7E-2</v>
      </c>
      <c r="V10" s="61">
        <f t="shared" si="6"/>
        <v>2.1100000000000008E-2</v>
      </c>
    </row>
    <row r="11" spans="1:25">
      <c r="A11" s="145">
        <v>6</v>
      </c>
      <c r="B11" s="140" t="s">
        <v>28</v>
      </c>
      <c r="C11" s="141" t="s">
        <v>29</v>
      </c>
      <c r="D11" s="37">
        <v>101123220.5</v>
      </c>
      <c r="E11" s="32">
        <f t="shared" si="0"/>
        <v>2.6892730369798504E-3</v>
      </c>
      <c r="F11" s="35">
        <v>181.65700000000001</v>
      </c>
      <c r="G11" s="35">
        <v>182.5925</v>
      </c>
      <c r="H11" s="36">
        <v>67</v>
      </c>
      <c r="I11" s="54">
        <v>6.3699999999999998E-4</v>
      </c>
      <c r="J11" s="54">
        <v>5.6899999999999999E-2</v>
      </c>
      <c r="K11" s="37">
        <v>103522670.63</v>
      </c>
      <c r="L11" s="32">
        <f t="shared" si="1"/>
        <v>2.6887866761790696E-3</v>
      </c>
      <c r="M11" s="35">
        <v>185.87260000000001</v>
      </c>
      <c r="N11" s="35">
        <v>186.84100000000001</v>
      </c>
      <c r="O11" s="36">
        <v>69</v>
      </c>
      <c r="P11" s="54">
        <v>2.2856000000000001E-2</v>
      </c>
      <c r="Q11" s="54">
        <v>8.14E-2</v>
      </c>
      <c r="R11" s="59">
        <f t="shared" si="2"/>
        <v>2.3727983722591144E-2</v>
      </c>
      <c r="S11" s="59">
        <f t="shared" si="3"/>
        <v>2.3267658857839216E-2</v>
      </c>
      <c r="T11" s="59">
        <f t="shared" si="4"/>
        <v>2.9850746268656716E-2</v>
      </c>
      <c r="U11" s="60">
        <f t="shared" si="5"/>
        <v>2.2219000000000003E-2</v>
      </c>
      <c r="V11" s="61">
        <f t="shared" si="6"/>
        <v>2.4500000000000001E-2</v>
      </c>
    </row>
    <row r="12" spans="1:25">
      <c r="A12" s="145">
        <v>7</v>
      </c>
      <c r="B12" s="140" t="s">
        <v>30</v>
      </c>
      <c r="C12" s="141" t="s">
        <v>31</v>
      </c>
      <c r="D12" s="35">
        <v>1310804442.4200001</v>
      </c>
      <c r="E12" s="32">
        <f t="shared" si="0"/>
        <v>3.485956070548122E-2</v>
      </c>
      <c r="F12" s="35">
        <v>356.77</v>
      </c>
      <c r="G12" s="35">
        <v>361.03</v>
      </c>
      <c r="H12" s="36">
        <v>1661</v>
      </c>
      <c r="I12" s="54">
        <v>3.9100000000000003E-2</v>
      </c>
      <c r="J12" s="54">
        <v>0.1018</v>
      </c>
      <c r="K12" s="35">
        <v>1338163629.5899999</v>
      </c>
      <c r="L12" s="32">
        <f t="shared" si="1"/>
        <v>3.4756025089893068E-2</v>
      </c>
      <c r="M12" s="35">
        <v>363.76</v>
      </c>
      <c r="N12" s="35">
        <v>368.13</v>
      </c>
      <c r="O12" s="36">
        <v>1661</v>
      </c>
      <c r="P12" s="54">
        <v>1.9599999999999999E-2</v>
      </c>
      <c r="Q12" s="54">
        <v>0.12330000000000001</v>
      </c>
      <c r="R12" s="59">
        <f t="shared" si="2"/>
        <v>2.087205862644885E-2</v>
      </c>
      <c r="S12" s="59">
        <f t="shared" si="3"/>
        <v>1.9665955737750391E-2</v>
      </c>
      <c r="T12" s="59">
        <f t="shared" si="4"/>
        <v>0</v>
      </c>
      <c r="U12" s="60">
        <f t="shared" si="5"/>
        <v>-1.9500000000000003E-2</v>
      </c>
      <c r="V12" s="61">
        <f t="shared" si="6"/>
        <v>2.1500000000000005E-2</v>
      </c>
    </row>
    <row r="13" spans="1:25">
      <c r="A13" s="145">
        <v>8</v>
      </c>
      <c r="B13" s="140" t="s">
        <v>32</v>
      </c>
      <c r="C13" s="141" t="s">
        <v>33</v>
      </c>
      <c r="D13" s="31">
        <v>455884709.86000001</v>
      </c>
      <c r="E13" s="32">
        <f t="shared" si="0"/>
        <v>1.2123807490860916E-2</v>
      </c>
      <c r="F13" s="35">
        <v>228.54</v>
      </c>
      <c r="G13" s="35">
        <v>235.74</v>
      </c>
      <c r="H13" s="34">
        <v>2468</v>
      </c>
      <c r="I13" s="53">
        <v>1.6049999999999998E-2</v>
      </c>
      <c r="J13" s="53">
        <v>0.81789999999999996</v>
      </c>
      <c r="K13" s="31">
        <v>459368897.94</v>
      </c>
      <c r="L13" s="32">
        <f t="shared" si="1"/>
        <v>1.1931154448735796E-2</v>
      </c>
      <c r="M13" s="35">
        <v>230.29</v>
      </c>
      <c r="N13" s="35">
        <v>240.46</v>
      </c>
      <c r="O13" s="34">
        <v>2468</v>
      </c>
      <c r="P13" s="53">
        <v>7.7000000000000002E-3</v>
      </c>
      <c r="Q13" s="53">
        <v>0.83189999999999997</v>
      </c>
      <c r="R13" s="59">
        <f t="shared" si="2"/>
        <v>7.6426956303710224E-3</v>
      </c>
      <c r="S13" s="59">
        <f t="shared" si="3"/>
        <v>2.0022058199711541E-2</v>
      </c>
      <c r="T13" s="59">
        <f t="shared" si="4"/>
        <v>0</v>
      </c>
      <c r="U13" s="60">
        <f t="shared" si="5"/>
        <v>-8.349999999999998E-3</v>
      </c>
      <c r="V13" s="61">
        <f t="shared" si="6"/>
        <v>1.4000000000000012E-2</v>
      </c>
    </row>
    <row r="14" spans="1:25">
      <c r="A14" s="145">
        <v>9</v>
      </c>
      <c r="B14" s="140" t="s">
        <v>34</v>
      </c>
      <c r="C14" s="141" t="s">
        <v>35</v>
      </c>
      <c r="D14" s="37">
        <v>66967114.350000001</v>
      </c>
      <c r="E14" s="32">
        <f t="shared" si="0"/>
        <v>1.7809248369992472E-3</v>
      </c>
      <c r="F14" s="35">
        <v>237.65</v>
      </c>
      <c r="G14" s="35">
        <v>245.32</v>
      </c>
      <c r="H14" s="34">
        <v>18</v>
      </c>
      <c r="I14" s="53">
        <v>2.2100000000000002E-2</v>
      </c>
      <c r="J14" s="53">
        <v>7.5999999999999998E-2</v>
      </c>
      <c r="K14" s="37">
        <v>67068121.759999998</v>
      </c>
      <c r="L14" s="32">
        <f t="shared" si="1"/>
        <v>1.7419553715839406E-3</v>
      </c>
      <c r="M14" s="35">
        <v>238.01</v>
      </c>
      <c r="N14" s="35">
        <v>245.68</v>
      </c>
      <c r="O14" s="34">
        <v>18</v>
      </c>
      <c r="P14" s="53">
        <v>1.5E-3</v>
      </c>
      <c r="Q14" s="53">
        <v>7.7600000000000002E-2</v>
      </c>
      <c r="R14" s="59">
        <f t="shared" si="2"/>
        <v>1.5083136100517436E-3</v>
      </c>
      <c r="S14" s="59">
        <f t="shared" si="3"/>
        <v>1.467471058209741E-3</v>
      </c>
      <c r="T14" s="59">
        <f t="shared" si="4"/>
        <v>0</v>
      </c>
      <c r="U14" s="60">
        <f t="shared" si="5"/>
        <v>-2.06E-2</v>
      </c>
      <c r="V14" s="61">
        <f t="shared" si="6"/>
        <v>1.6000000000000042E-3</v>
      </c>
    </row>
    <row r="15" spans="1:25" ht="14.25" customHeight="1">
      <c r="A15" s="145">
        <v>10</v>
      </c>
      <c r="B15" s="140" t="s">
        <v>36</v>
      </c>
      <c r="C15" s="141" t="s">
        <v>37</v>
      </c>
      <c r="D15" s="31">
        <v>715381425.07000005</v>
      </c>
      <c r="E15" s="32">
        <f t="shared" si="0"/>
        <v>1.9024868552292323E-2</v>
      </c>
      <c r="F15" s="35">
        <v>2.4630030000000001</v>
      </c>
      <c r="G15" s="35">
        <v>2.4895070000000001</v>
      </c>
      <c r="H15" s="34">
        <v>474</v>
      </c>
      <c r="I15" s="53">
        <v>4.5822955085291994E-2</v>
      </c>
      <c r="J15" s="53">
        <v>0.17584465693114959</v>
      </c>
      <c r="K15" s="31">
        <v>747790609.11000001</v>
      </c>
      <c r="L15" s="32">
        <f t="shared" si="1"/>
        <v>1.9422310244806704E-2</v>
      </c>
      <c r="M15" s="35">
        <v>2.5774810000000001</v>
      </c>
      <c r="N15" s="35">
        <v>2.6051500000000001</v>
      </c>
      <c r="O15" s="34">
        <v>475</v>
      </c>
      <c r="P15" s="53">
        <v>4.6479033927283142E-2</v>
      </c>
      <c r="Q15" s="53">
        <v>0.23049678063386692</v>
      </c>
      <c r="R15" s="59">
        <f t="shared" si="2"/>
        <v>4.5303362519971392E-2</v>
      </c>
      <c r="S15" s="59">
        <f t="shared" si="3"/>
        <v>4.6452169043911078E-2</v>
      </c>
      <c r="T15" s="59">
        <f t="shared" si="4"/>
        <v>2.1097046413502108E-3</v>
      </c>
      <c r="U15" s="60">
        <f t="shared" si="5"/>
        <v>6.5607884199114785E-4</v>
      </c>
      <c r="V15" s="61">
        <f t="shared" si="6"/>
        <v>5.4652123702717326E-2</v>
      </c>
    </row>
    <row r="16" spans="1:25" ht="14.25" customHeight="1">
      <c r="A16" s="178">
        <v>11</v>
      </c>
      <c r="B16" s="176" t="s">
        <v>38</v>
      </c>
      <c r="C16" s="177" t="s">
        <v>39</v>
      </c>
      <c r="D16" s="31">
        <v>17823853.960000001</v>
      </c>
      <c r="E16" s="32">
        <f t="shared" si="0"/>
        <v>4.7400794429499542E-4</v>
      </c>
      <c r="F16" s="35">
        <v>14.71</v>
      </c>
      <c r="G16" s="35">
        <v>15.54</v>
      </c>
      <c r="H16" s="34">
        <v>29</v>
      </c>
      <c r="I16" s="53">
        <v>0.1188</v>
      </c>
      <c r="J16" s="53">
        <v>1.1932</v>
      </c>
      <c r="K16" s="31">
        <v>18201107.129999999</v>
      </c>
      <c r="L16" s="32">
        <f t="shared" si="1"/>
        <v>4.727360108179994E-4</v>
      </c>
      <c r="M16" s="35">
        <v>15.37</v>
      </c>
      <c r="N16" s="35">
        <v>16.239999999999998</v>
      </c>
      <c r="O16" s="34">
        <v>28</v>
      </c>
      <c r="P16" s="53">
        <v>0.16020000000000001</v>
      </c>
      <c r="Q16" s="53">
        <v>1.3287</v>
      </c>
      <c r="R16" s="59">
        <f t="shared" ref="R16" si="7">((K16-D16)/D16)</f>
        <v>2.1165634034402626E-2</v>
      </c>
      <c r="S16" s="59">
        <f t="shared" ref="S16" si="8">((N16-G16)/G16)</f>
        <v>4.5045045045045001E-2</v>
      </c>
      <c r="T16" s="59">
        <f t="shared" ref="T16" si="9">((O16-H16)/H16)</f>
        <v>-3.4482758620689655E-2</v>
      </c>
      <c r="U16" s="60">
        <f t="shared" ref="U16" si="10">P16-I16</f>
        <v>4.1400000000000006E-2</v>
      </c>
      <c r="V16" s="61">
        <f t="shared" ref="V16" si="11">Q16-J16</f>
        <v>0.13549999999999995</v>
      </c>
    </row>
    <row r="17" spans="1:22">
      <c r="A17" s="145">
        <v>12</v>
      </c>
      <c r="B17" s="140" t="s">
        <v>40</v>
      </c>
      <c r="C17" s="141" t="s">
        <v>41</v>
      </c>
      <c r="D17" s="133">
        <v>1874429379.3800001</v>
      </c>
      <c r="E17" s="32">
        <f t="shared" si="0"/>
        <v>4.9848614044976043E-2</v>
      </c>
      <c r="F17" s="35">
        <v>3.81</v>
      </c>
      <c r="G17" s="35">
        <v>3.9</v>
      </c>
      <c r="H17" s="34">
        <v>3658</v>
      </c>
      <c r="I17" s="53">
        <v>1.04E-2</v>
      </c>
      <c r="J17" s="53">
        <v>4.8300000000000003E-2</v>
      </c>
      <c r="K17" s="133">
        <v>1937219861.6099999</v>
      </c>
      <c r="L17" s="32">
        <f t="shared" si="1"/>
        <v>5.0315268346805685E-2</v>
      </c>
      <c r="M17" s="35">
        <v>3.94</v>
      </c>
      <c r="N17" s="35">
        <v>4.03</v>
      </c>
      <c r="O17" s="34">
        <v>3656</v>
      </c>
      <c r="P17" s="53">
        <v>2.3300000000000001E-2</v>
      </c>
      <c r="Q17" s="53">
        <v>8.4199999999999997E-2</v>
      </c>
      <c r="R17" s="59">
        <f t="shared" si="2"/>
        <v>3.3498451806580634E-2</v>
      </c>
      <c r="S17" s="59">
        <f t="shared" si="3"/>
        <v>3.3333333333333423E-2</v>
      </c>
      <c r="T17" s="59">
        <f t="shared" si="4"/>
        <v>-5.4674685620557679E-4</v>
      </c>
      <c r="U17" s="60">
        <f t="shared" si="5"/>
        <v>1.2900000000000002E-2</v>
      </c>
      <c r="V17" s="61">
        <f t="shared" si="6"/>
        <v>3.5899999999999994E-2</v>
      </c>
    </row>
    <row r="18" spans="1:22">
      <c r="A18" s="178">
        <v>13</v>
      </c>
      <c r="B18" s="176" t="s">
        <v>42</v>
      </c>
      <c r="C18" s="177" t="s">
        <v>43</v>
      </c>
      <c r="D18" s="35">
        <v>990483369.79999995</v>
      </c>
      <c r="E18" s="32">
        <f t="shared" si="0"/>
        <v>2.6340935413346356E-2</v>
      </c>
      <c r="F18" s="35">
        <v>26.561178000000002</v>
      </c>
      <c r="G18" s="35">
        <v>26.648102999999999</v>
      </c>
      <c r="H18" s="34">
        <v>442</v>
      </c>
      <c r="I18" s="53">
        <v>2.7176428831470867E-2</v>
      </c>
      <c r="J18" s="53">
        <v>9.3394739654334646E-2</v>
      </c>
      <c r="K18" s="35">
        <v>1010010966.7800001</v>
      </c>
      <c r="L18" s="32">
        <f t="shared" si="1"/>
        <v>2.6232940222137364E-2</v>
      </c>
      <c r="M18" s="35">
        <v>26.761113000000002</v>
      </c>
      <c r="N18" s="35">
        <v>26.854163</v>
      </c>
      <c r="O18" s="34">
        <v>452</v>
      </c>
      <c r="P18" s="53">
        <v>7.527339337133343E-3</v>
      </c>
      <c r="Q18" s="53">
        <v>0.10162509288914934</v>
      </c>
      <c r="R18" s="59">
        <f t="shared" si="2"/>
        <v>1.9715219432652548E-2</v>
      </c>
      <c r="S18" s="59">
        <f t="shared" si="3"/>
        <v>7.732632975788213E-3</v>
      </c>
      <c r="T18" s="59">
        <f t="shared" si="4"/>
        <v>2.2624434389140271E-2</v>
      </c>
      <c r="U18" s="60">
        <f t="shared" si="5"/>
        <v>-1.9649089494337524E-2</v>
      </c>
      <c r="V18" s="61">
        <f t="shared" si="6"/>
        <v>8.2303532348146913E-3</v>
      </c>
    </row>
    <row r="19" spans="1:22">
      <c r="A19" s="145">
        <v>14</v>
      </c>
      <c r="B19" s="140" t="s">
        <v>44</v>
      </c>
      <c r="C19" s="141" t="s">
        <v>45</v>
      </c>
      <c r="D19" s="35">
        <v>137049729.91999999</v>
      </c>
      <c r="E19" s="32">
        <f t="shared" si="0"/>
        <v>3.6447033784809757E-3</v>
      </c>
      <c r="F19" s="35">
        <v>1.480575</v>
      </c>
      <c r="G19" s="35">
        <v>1.534618</v>
      </c>
      <c r="H19" s="34">
        <v>22</v>
      </c>
      <c r="I19" s="53">
        <v>3.5900000000000001E-2</v>
      </c>
      <c r="J19" s="53">
        <v>-0.30549999999999999</v>
      </c>
      <c r="K19" s="35">
        <v>147206661.63</v>
      </c>
      <c r="L19" s="32">
        <f t="shared" si="1"/>
        <v>3.8233877471167471E-3</v>
      </c>
      <c r="M19" s="35">
        <v>1.590303</v>
      </c>
      <c r="N19" s="35">
        <v>1.6450039999999999</v>
      </c>
      <c r="O19" s="34">
        <v>22</v>
      </c>
      <c r="P19" s="53">
        <v>5.3999999999999999E-2</v>
      </c>
      <c r="Q19" s="53">
        <v>-0.25480000000000003</v>
      </c>
      <c r="R19" s="59">
        <f t="shared" si="2"/>
        <v>7.4111285851704428E-2</v>
      </c>
      <c r="S19" s="59">
        <f t="shared" si="3"/>
        <v>7.1930604228544082E-2</v>
      </c>
      <c r="T19" s="59">
        <f t="shared" si="4"/>
        <v>0</v>
      </c>
      <c r="U19" s="60">
        <f t="shared" si="5"/>
        <v>1.8099999999999998E-2</v>
      </c>
      <c r="V19" s="61">
        <f t="shared" si="6"/>
        <v>5.0699999999999967E-2</v>
      </c>
    </row>
    <row r="20" spans="1:22">
      <c r="A20" s="145">
        <v>15</v>
      </c>
      <c r="B20" s="140" t="s">
        <v>46</v>
      </c>
      <c r="C20" s="141" t="s">
        <v>47</v>
      </c>
      <c r="D20" s="31">
        <v>2583341992.0900002</v>
      </c>
      <c r="E20" s="32">
        <f t="shared" si="0"/>
        <v>6.8701450866326508E-2</v>
      </c>
      <c r="F20" s="35">
        <v>34.340000000000003</v>
      </c>
      <c r="G20" s="35">
        <v>35.06</v>
      </c>
      <c r="H20" s="34">
        <v>8944</v>
      </c>
      <c r="I20" s="53">
        <v>2.63E-2</v>
      </c>
      <c r="J20" s="53">
        <v>0.10349999999999999</v>
      </c>
      <c r="K20" s="31">
        <v>2613705439.6100001</v>
      </c>
      <c r="L20" s="32">
        <f t="shared" si="1"/>
        <v>6.7885578286497175E-2</v>
      </c>
      <c r="M20" s="35">
        <v>34.619999999999997</v>
      </c>
      <c r="N20" s="35">
        <v>35.340000000000003</v>
      </c>
      <c r="O20" s="34">
        <v>8944</v>
      </c>
      <c r="P20" s="53">
        <v>-2.0000000000000001E-4</v>
      </c>
      <c r="Q20" s="53">
        <v>0.11219999999999999</v>
      </c>
      <c r="R20" s="59">
        <f t="shared" si="2"/>
        <v>1.1753553193100482E-2</v>
      </c>
      <c r="S20" s="59">
        <f t="shared" si="3"/>
        <v>7.9863091842555939E-3</v>
      </c>
      <c r="T20" s="59">
        <f t="shared" si="4"/>
        <v>0</v>
      </c>
      <c r="U20" s="60">
        <f t="shared" si="5"/>
        <v>-2.6499999999999999E-2</v>
      </c>
      <c r="V20" s="61">
        <f t="shared" si="6"/>
        <v>8.6999999999999994E-3</v>
      </c>
    </row>
    <row r="21" spans="1:22" ht="12.75" customHeight="1">
      <c r="A21" s="145">
        <v>16</v>
      </c>
      <c r="B21" s="140" t="s">
        <v>48</v>
      </c>
      <c r="C21" s="141" t="s">
        <v>49</v>
      </c>
      <c r="D21" s="35">
        <v>889083972.5</v>
      </c>
      <c r="E21" s="32">
        <f t="shared" si="0"/>
        <v>2.3644317724781965E-2</v>
      </c>
      <c r="F21" s="35">
        <v>8835.36</v>
      </c>
      <c r="G21" s="35">
        <v>8946.16</v>
      </c>
      <c r="H21" s="34">
        <v>21</v>
      </c>
      <c r="I21" s="53">
        <v>2.69E-2</v>
      </c>
      <c r="J21" s="53">
        <v>0.10299999999999999</v>
      </c>
      <c r="K21" s="35">
        <v>912720753.01999998</v>
      </c>
      <c r="L21" s="32">
        <f t="shared" si="1"/>
        <v>2.3706028687798582E-2</v>
      </c>
      <c r="M21" s="35">
        <v>9013.67</v>
      </c>
      <c r="N21" s="35">
        <v>9137.09</v>
      </c>
      <c r="O21" s="34">
        <v>21</v>
      </c>
      <c r="P21" s="53">
        <v>2.1299999999999999E-2</v>
      </c>
      <c r="Q21" s="53">
        <v>0.1265</v>
      </c>
      <c r="R21" s="59">
        <f t="shared" si="2"/>
        <v>2.6585543380718158E-2</v>
      </c>
      <c r="S21" s="59">
        <f t="shared" si="3"/>
        <v>2.1342117735430655E-2</v>
      </c>
      <c r="T21" s="59">
        <f t="shared" si="4"/>
        <v>0</v>
      </c>
      <c r="U21" s="60">
        <f t="shared" si="5"/>
        <v>-5.6000000000000008E-3</v>
      </c>
      <c r="V21" s="61">
        <f t="shared" si="6"/>
        <v>2.3500000000000007E-2</v>
      </c>
    </row>
    <row r="22" spans="1:22">
      <c r="A22" s="145">
        <v>17</v>
      </c>
      <c r="B22" s="140" t="s">
        <v>50</v>
      </c>
      <c r="C22" s="141" t="s">
        <v>49</v>
      </c>
      <c r="D22" s="35">
        <v>14414135508.860001</v>
      </c>
      <c r="E22" s="32">
        <f t="shared" si="0"/>
        <v>0.38332982062563009</v>
      </c>
      <c r="F22" s="35">
        <v>27820.86</v>
      </c>
      <c r="G22" s="35">
        <v>28224.42</v>
      </c>
      <c r="H22" s="34">
        <v>17529</v>
      </c>
      <c r="I22" s="53">
        <v>3.3700000000000001E-2</v>
      </c>
      <c r="J22" s="53">
        <v>9.8199999999999996E-2</v>
      </c>
      <c r="K22" s="35">
        <v>14793988360.690001</v>
      </c>
      <c r="L22" s="32">
        <f t="shared" si="1"/>
        <v>0.38424316673534714</v>
      </c>
      <c r="M22" s="35">
        <v>28347.69</v>
      </c>
      <c r="N22" s="35">
        <v>28761.48</v>
      </c>
      <c r="O22" s="34">
        <v>17548</v>
      </c>
      <c r="P22" s="53">
        <v>1.9E-2</v>
      </c>
      <c r="Q22" s="53">
        <v>0.1191</v>
      </c>
      <c r="R22" s="59">
        <f t="shared" si="2"/>
        <v>2.6352801497981901E-2</v>
      </c>
      <c r="S22" s="59">
        <f t="shared" si="3"/>
        <v>1.902820323677161E-2</v>
      </c>
      <c r="T22" s="59">
        <f t="shared" si="4"/>
        <v>1.0839180786125849E-3</v>
      </c>
      <c r="U22" s="60">
        <f t="shared" si="5"/>
        <v>-1.4700000000000001E-2</v>
      </c>
      <c r="V22" s="61">
        <f t="shared" si="6"/>
        <v>2.0900000000000002E-2</v>
      </c>
    </row>
    <row r="23" spans="1:22">
      <c r="A23" s="145">
        <v>18</v>
      </c>
      <c r="B23" s="141" t="s">
        <v>51</v>
      </c>
      <c r="C23" s="141" t="s">
        <v>52</v>
      </c>
      <c r="D23" s="35">
        <v>4166037848.21</v>
      </c>
      <c r="E23" s="32">
        <f t="shared" ref="E23" si="12">(D23/$D$25)</f>
        <v>0.11079169750362834</v>
      </c>
      <c r="F23" s="35">
        <v>1.6434</v>
      </c>
      <c r="G23" s="33">
        <v>1.66</v>
      </c>
      <c r="H23" s="34">
        <v>4651</v>
      </c>
      <c r="I23" s="53">
        <v>4.7199999999999999E-2</v>
      </c>
      <c r="J23" s="53">
        <v>0.1017</v>
      </c>
      <c r="K23" s="35">
        <v>4261033861.1500001</v>
      </c>
      <c r="L23" s="32">
        <f t="shared" ref="L23" si="13">(K23/$K$25)</f>
        <v>0.11067151767709354</v>
      </c>
      <c r="M23" s="35">
        <v>1.6758</v>
      </c>
      <c r="N23" s="33">
        <v>1.6928000000000001</v>
      </c>
      <c r="O23" s="34">
        <v>4681</v>
      </c>
      <c r="P23" s="53">
        <v>1.9699999999999999E-2</v>
      </c>
      <c r="Q23" s="53">
        <v>0.1234</v>
      </c>
      <c r="R23" s="59">
        <f t="shared" ref="R23" si="14">((K23-D23)/D23)</f>
        <v>2.2802484375127916E-2</v>
      </c>
      <c r="S23" s="59">
        <f t="shared" ref="S23" si="15">((N23-G23)/G23)</f>
        <v>1.9759036144578412E-2</v>
      </c>
      <c r="T23" s="59">
        <f t="shared" ref="T23" si="16">((O23-H23)/H23)</f>
        <v>6.4502257579015267E-3</v>
      </c>
      <c r="U23" s="60">
        <f t="shared" ref="U23" si="17">P23-I23</f>
        <v>-2.75E-2</v>
      </c>
      <c r="V23" s="61">
        <f t="shared" ref="V23" si="18">Q23-J23</f>
        <v>2.1699999999999997E-2</v>
      </c>
    </row>
    <row r="24" spans="1:22">
      <c r="A24" s="145">
        <v>19</v>
      </c>
      <c r="B24" s="141" t="s">
        <v>300</v>
      </c>
      <c r="C24" s="141" t="s">
        <v>301</v>
      </c>
      <c r="D24" s="35">
        <v>2063148997.9200001</v>
      </c>
      <c r="E24" s="32">
        <f t="shared" si="0"/>
        <v>5.4867427520054642E-2</v>
      </c>
      <c r="F24" s="35">
        <v>130.87</v>
      </c>
      <c r="G24" s="33">
        <v>135.34</v>
      </c>
      <c r="H24" s="34">
        <v>33</v>
      </c>
      <c r="I24" s="53">
        <v>0.03</v>
      </c>
      <c r="J24" s="53">
        <v>0.09</v>
      </c>
      <c r="K24" s="35">
        <v>2077613302.8900001</v>
      </c>
      <c r="L24" s="32">
        <f t="shared" si="1"/>
        <v>5.3961696825122009E-2</v>
      </c>
      <c r="M24" s="35">
        <v>131.69999999999999</v>
      </c>
      <c r="N24" s="33">
        <v>136.34</v>
      </c>
      <c r="O24" s="34">
        <v>33</v>
      </c>
      <c r="P24" s="53">
        <v>1.4E-2</v>
      </c>
      <c r="Q24" s="53">
        <v>9.4399999999999998E-2</v>
      </c>
      <c r="R24" s="59">
        <f t="shared" si="2"/>
        <v>7.0107902941486397E-3</v>
      </c>
      <c r="S24" s="59">
        <f t="shared" si="3"/>
        <v>7.3887985813506718E-3</v>
      </c>
      <c r="T24" s="59">
        <f t="shared" si="4"/>
        <v>0</v>
      </c>
      <c r="U24" s="60">
        <f t="shared" si="5"/>
        <v>-1.6E-2</v>
      </c>
      <c r="V24" s="61">
        <f t="shared" si="6"/>
        <v>4.4000000000000011E-3</v>
      </c>
    </row>
    <row r="25" spans="1:22">
      <c r="A25" s="38"/>
      <c r="B25" s="39"/>
      <c r="C25" s="40" t="s">
        <v>53</v>
      </c>
      <c r="D25" s="41">
        <f>SUM(D6:D24)</f>
        <v>37602437204.949997</v>
      </c>
      <c r="E25" s="42">
        <f>(D25/$D$214)</f>
        <v>8.9713390926279123E-3</v>
      </c>
      <c r="F25" s="43"/>
      <c r="G25" s="44"/>
      <c r="H25" s="45">
        <f>SUM(H6:H24)</f>
        <v>51334</v>
      </c>
      <c r="I25" s="55"/>
      <c r="J25" s="34">
        <v>0</v>
      </c>
      <c r="K25" s="41">
        <f>SUM(K6:K24)</f>
        <v>38501630325.360001</v>
      </c>
      <c r="L25" s="42">
        <f>(K25/$K$214)</f>
        <v>9.0177220021324563E-3</v>
      </c>
      <c r="M25" s="43"/>
      <c r="N25" s="44"/>
      <c r="O25" s="45">
        <f>SUM(O6:O24)</f>
        <v>51402</v>
      </c>
      <c r="P25" s="55"/>
      <c r="Q25" s="45"/>
      <c r="R25" s="59">
        <f t="shared" si="2"/>
        <v>2.3913160615334626E-2</v>
      </c>
      <c r="S25" s="59" t="e">
        <f t="shared" si="3"/>
        <v>#DIV/0!</v>
      </c>
      <c r="T25" s="59">
        <f t="shared" si="4"/>
        <v>1.3246581213230996E-3</v>
      </c>
      <c r="U25" s="60">
        <f t="shared" si="5"/>
        <v>0</v>
      </c>
      <c r="V25" s="61">
        <f t="shared" si="6"/>
        <v>0</v>
      </c>
    </row>
    <row r="26" spans="1:22" ht="4.5" customHeight="1">
      <c r="A26" s="38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</row>
    <row r="27" spans="1:22" ht="15" customHeight="1">
      <c r="A27" s="186" t="s">
        <v>54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</row>
    <row r="28" spans="1:22">
      <c r="A28" s="146">
        <v>20</v>
      </c>
      <c r="B28" s="140" t="s">
        <v>55</v>
      </c>
      <c r="C28" s="141" t="s">
        <v>19</v>
      </c>
      <c r="D28" s="47">
        <v>2259838525.71</v>
      </c>
      <c r="E28" s="32">
        <f>(D28/$K$66)</f>
        <v>1.1087420498026332E-3</v>
      </c>
      <c r="F28" s="33">
        <v>100</v>
      </c>
      <c r="G28" s="33">
        <v>100</v>
      </c>
      <c r="H28" s="34">
        <v>1166</v>
      </c>
      <c r="I28" s="53">
        <v>0.1918</v>
      </c>
      <c r="J28" s="53">
        <v>0.1918</v>
      </c>
      <c r="K28" s="47">
        <v>2287688586.0100002</v>
      </c>
      <c r="L28" s="32">
        <f t="shared" ref="L28:L65" si="19">(K28/$K$66)</f>
        <v>1.1224060937565913E-3</v>
      </c>
      <c r="M28" s="33">
        <v>100</v>
      </c>
      <c r="N28" s="33">
        <v>100</v>
      </c>
      <c r="O28" s="34">
        <v>1166</v>
      </c>
      <c r="P28" s="53">
        <v>0.2041</v>
      </c>
      <c r="Q28" s="53">
        <v>0.2041</v>
      </c>
      <c r="R28" s="59">
        <f>((K28-D28)/D28)</f>
        <v>1.2323916059998229E-2</v>
      </c>
      <c r="S28" s="59">
        <f>((N28-G28)/G28)</f>
        <v>0</v>
      </c>
      <c r="T28" s="59">
        <f>((O28-H28)/H28)</f>
        <v>0</v>
      </c>
      <c r="U28" s="60">
        <f>P28-I28</f>
        <v>1.2300000000000005E-2</v>
      </c>
      <c r="V28" s="61">
        <f>Q28-J28</f>
        <v>1.2300000000000005E-2</v>
      </c>
    </row>
    <row r="29" spans="1:22">
      <c r="A29" s="146">
        <v>21</v>
      </c>
      <c r="B29" s="140" t="s">
        <v>56</v>
      </c>
      <c r="C29" s="141" t="s">
        <v>57</v>
      </c>
      <c r="D29" s="47">
        <v>13312822379.969999</v>
      </c>
      <c r="E29" s="32">
        <f t="shared" ref="E29:E65" si="20">(D29/$K$66)</f>
        <v>6.5316551631001297E-3</v>
      </c>
      <c r="F29" s="33">
        <v>100</v>
      </c>
      <c r="G29" s="33">
        <v>100</v>
      </c>
      <c r="H29" s="34">
        <v>2224</v>
      </c>
      <c r="I29" s="53">
        <v>0.23272200000000001</v>
      </c>
      <c r="J29" s="53">
        <v>0.23272200000000001</v>
      </c>
      <c r="K29" s="47">
        <v>13886339673.700001</v>
      </c>
      <c r="L29" s="32">
        <f t="shared" si="19"/>
        <v>6.8130393118404379E-3</v>
      </c>
      <c r="M29" s="33">
        <v>100</v>
      </c>
      <c r="N29" s="33">
        <v>100</v>
      </c>
      <c r="O29" s="34">
        <v>2266</v>
      </c>
      <c r="P29" s="53">
        <v>0.23180000000000001</v>
      </c>
      <c r="Q29" s="53">
        <v>0.23180000000000001</v>
      </c>
      <c r="R29" s="59">
        <f t="shared" ref="R29:R66" si="21">((K29-D29)/D29)</f>
        <v>4.3080068024710913E-2</v>
      </c>
      <c r="S29" s="59">
        <f t="shared" ref="S29:S66" si="22">((N29-G29)/G29)</f>
        <v>0</v>
      </c>
      <c r="T29" s="59">
        <f t="shared" ref="T29:T66" si="23">((O29-H29)/H29)</f>
        <v>1.8884892086330936E-2</v>
      </c>
      <c r="U29" s="60">
        <f t="shared" ref="U29:U66" si="24">P29-I29</f>
        <v>-9.2200000000000615E-4</v>
      </c>
      <c r="V29" s="61">
        <f t="shared" ref="V29:V66" si="25">Q29-J29</f>
        <v>-9.2200000000000615E-4</v>
      </c>
    </row>
    <row r="30" spans="1:22">
      <c r="A30" s="146">
        <v>22</v>
      </c>
      <c r="B30" s="140" t="s">
        <v>58</v>
      </c>
      <c r="C30" s="141" t="s">
        <v>21</v>
      </c>
      <c r="D30" s="47">
        <v>1349887927.72</v>
      </c>
      <c r="E30" s="32">
        <f t="shared" si="20"/>
        <v>6.6229400506121242E-4</v>
      </c>
      <c r="F30" s="33">
        <v>100</v>
      </c>
      <c r="G30" s="33">
        <v>100</v>
      </c>
      <c r="H30" s="34">
        <v>1847</v>
      </c>
      <c r="I30" s="53">
        <v>0.23899999999999999</v>
      </c>
      <c r="J30" s="53">
        <v>0.23899999999999999</v>
      </c>
      <c r="K30" s="47">
        <v>1411178942.6700001</v>
      </c>
      <c r="L30" s="32">
        <f t="shared" si="19"/>
        <v>6.9236514721452021E-4</v>
      </c>
      <c r="M30" s="33">
        <v>100</v>
      </c>
      <c r="N30" s="33">
        <v>100</v>
      </c>
      <c r="O30" s="34">
        <v>1859</v>
      </c>
      <c r="P30" s="53">
        <v>0.2369</v>
      </c>
      <c r="Q30" s="53">
        <v>0.2369</v>
      </c>
      <c r="R30" s="59">
        <f t="shared" si="21"/>
        <v>4.5404521139412186E-2</v>
      </c>
      <c r="S30" s="59">
        <f t="shared" si="22"/>
        <v>0</v>
      </c>
      <c r="T30" s="59">
        <f t="shared" si="23"/>
        <v>6.4970221981591773E-3</v>
      </c>
      <c r="U30" s="60">
        <f t="shared" si="24"/>
        <v>-2.0999999999999908E-3</v>
      </c>
      <c r="V30" s="61">
        <f t="shared" si="25"/>
        <v>-2.0999999999999908E-3</v>
      </c>
    </row>
    <row r="31" spans="1:22">
      <c r="A31" s="146">
        <v>23</v>
      </c>
      <c r="B31" s="140" t="s">
        <v>59</v>
      </c>
      <c r="C31" s="141" t="s">
        <v>23</v>
      </c>
      <c r="D31" s="47">
        <v>143520634233.70001</v>
      </c>
      <c r="E31" s="32">
        <f t="shared" si="20"/>
        <v>7.0415368345511153E-2</v>
      </c>
      <c r="F31" s="33">
        <v>1</v>
      </c>
      <c r="G31" s="33">
        <v>1</v>
      </c>
      <c r="H31" s="34">
        <v>65571</v>
      </c>
      <c r="I31" s="53">
        <v>0.2223</v>
      </c>
      <c r="J31" s="53">
        <v>0.2223</v>
      </c>
      <c r="K31" s="47">
        <v>146761382482.91</v>
      </c>
      <c r="L31" s="32">
        <f t="shared" si="19"/>
        <v>7.2005373036485465E-2</v>
      </c>
      <c r="M31" s="33">
        <v>1</v>
      </c>
      <c r="N31" s="33">
        <v>1</v>
      </c>
      <c r="O31" s="34">
        <v>65853</v>
      </c>
      <c r="P31" s="53">
        <v>0.22720000000000001</v>
      </c>
      <c r="Q31" s="53">
        <v>0.22720000000000001</v>
      </c>
      <c r="R31" s="59">
        <f t="shared" si="21"/>
        <v>2.2580364604109539E-2</v>
      </c>
      <c r="S31" s="59">
        <f t="shared" si="22"/>
        <v>0</v>
      </c>
      <c r="T31" s="59">
        <f t="shared" si="23"/>
        <v>4.3006817038019852E-3</v>
      </c>
      <c r="U31" s="60">
        <f t="shared" si="24"/>
        <v>4.9000000000000155E-3</v>
      </c>
      <c r="V31" s="61">
        <f t="shared" si="25"/>
        <v>4.9000000000000155E-3</v>
      </c>
    </row>
    <row r="32" spans="1:22">
      <c r="A32" s="146">
        <v>24</v>
      </c>
      <c r="B32" s="140" t="s">
        <v>60</v>
      </c>
      <c r="C32" s="141" t="s">
        <v>25</v>
      </c>
      <c r="D32" s="47">
        <v>94137850750.369995</v>
      </c>
      <c r="E32" s="32">
        <f t="shared" si="20"/>
        <v>4.6186748485574643E-2</v>
      </c>
      <c r="F32" s="33">
        <v>1</v>
      </c>
      <c r="G32" s="33">
        <v>1</v>
      </c>
      <c r="H32" s="34">
        <v>31597</v>
      </c>
      <c r="I32" s="53">
        <v>0.20469999999999999</v>
      </c>
      <c r="J32" s="53">
        <v>0.20469999999999999</v>
      </c>
      <c r="K32" s="47">
        <v>96460077613.529999</v>
      </c>
      <c r="L32" s="32">
        <f t="shared" si="19"/>
        <v>4.7326100055642167E-2</v>
      </c>
      <c r="M32" s="33">
        <v>1</v>
      </c>
      <c r="N32" s="33">
        <v>1</v>
      </c>
      <c r="O32" s="34">
        <v>31733</v>
      </c>
      <c r="P32" s="53">
        <v>0.2099</v>
      </c>
      <c r="Q32" s="53">
        <v>0.2099</v>
      </c>
      <c r="R32" s="59">
        <f t="shared" si="21"/>
        <v>2.466836500567628E-2</v>
      </c>
      <c r="S32" s="59">
        <f t="shared" si="22"/>
        <v>0</v>
      </c>
      <c r="T32" s="59">
        <f t="shared" si="23"/>
        <v>4.3042060955153973E-3</v>
      </c>
      <c r="U32" s="60">
        <f t="shared" si="24"/>
        <v>5.2000000000000102E-3</v>
      </c>
      <c r="V32" s="61">
        <f t="shared" si="25"/>
        <v>5.2000000000000102E-3</v>
      </c>
    </row>
    <row r="33" spans="1:22">
      <c r="A33" s="146">
        <v>25</v>
      </c>
      <c r="B33" s="140" t="s">
        <v>292</v>
      </c>
      <c r="C33" s="141" t="s">
        <v>27</v>
      </c>
      <c r="D33" s="35">
        <v>3167962234.3600001</v>
      </c>
      <c r="E33" s="32">
        <f t="shared" ref="E33" si="26">(D33/$D$25)</f>
        <v>8.4248853793524009E-2</v>
      </c>
      <c r="F33" s="35">
        <v>1</v>
      </c>
      <c r="G33" s="35">
        <v>1</v>
      </c>
      <c r="H33" s="34">
        <v>494</v>
      </c>
      <c r="I33" s="53">
        <v>0.21529999999999999</v>
      </c>
      <c r="J33" s="53">
        <v>0.21529999999999999</v>
      </c>
      <c r="K33" s="35">
        <v>3512433100.3600001</v>
      </c>
      <c r="L33" s="32">
        <f t="shared" ref="L33" si="27">(K33/$K$25)</f>
        <v>9.1228165422554949E-2</v>
      </c>
      <c r="M33" s="35">
        <v>1</v>
      </c>
      <c r="N33" s="35">
        <v>1</v>
      </c>
      <c r="O33" s="34">
        <v>518</v>
      </c>
      <c r="P33" s="53">
        <v>0.217</v>
      </c>
      <c r="Q33" s="53">
        <v>0.217</v>
      </c>
      <c r="R33" s="59">
        <f t="shared" si="21"/>
        <v>0.10873578676659663</v>
      </c>
      <c r="S33" s="59">
        <f t="shared" si="22"/>
        <v>0</v>
      </c>
      <c r="T33" s="59">
        <f t="shared" si="23"/>
        <v>4.8582995951417005E-2</v>
      </c>
      <c r="U33" s="60">
        <f t="shared" si="24"/>
        <v>1.7000000000000071E-3</v>
      </c>
      <c r="V33" s="61">
        <f t="shared" si="25"/>
        <v>1.7000000000000071E-3</v>
      </c>
    </row>
    <row r="34" spans="1:22" ht="15" customHeight="1">
      <c r="A34" s="146">
        <v>26</v>
      </c>
      <c r="B34" s="140" t="s">
        <v>61</v>
      </c>
      <c r="C34" s="141" t="s">
        <v>47</v>
      </c>
      <c r="D34" s="47">
        <v>14849154884</v>
      </c>
      <c r="E34" s="32">
        <f t="shared" si="20"/>
        <v>7.2854242622270061E-3</v>
      </c>
      <c r="F34" s="33">
        <v>100</v>
      </c>
      <c r="G34" s="33">
        <v>100</v>
      </c>
      <c r="H34" s="34">
        <v>2083</v>
      </c>
      <c r="I34" s="53">
        <v>0.2374</v>
      </c>
      <c r="J34" s="53">
        <v>0.2374</v>
      </c>
      <c r="K34" s="47">
        <v>15001908563</v>
      </c>
      <c r="L34" s="32">
        <f t="shared" si="19"/>
        <v>7.3603696290054322E-3</v>
      </c>
      <c r="M34" s="33">
        <v>100</v>
      </c>
      <c r="N34" s="33">
        <v>100</v>
      </c>
      <c r="O34" s="34">
        <v>2083</v>
      </c>
      <c r="P34" s="53">
        <v>0.23630000000000001</v>
      </c>
      <c r="Q34" s="53">
        <v>0.23630000000000001</v>
      </c>
      <c r="R34" s="59">
        <f t="shared" si="21"/>
        <v>1.02870284668249E-2</v>
      </c>
      <c r="S34" s="59">
        <f t="shared" si="22"/>
        <v>0</v>
      </c>
      <c r="T34" s="59">
        <f t="shared" si="23"/>
        <v>0</v>
      </c>
      <c r="U34" s="60">
        <f t="shared" si="24"/>
        <v>-1.0999999999999899E-3</v>
      </c>
      <c r="V34" s="61">
        <f t="shared" si="25"/>
        <v>-1.0999999999999899E-3</v>
      </c>
    </row>
    <row r="35" spans="1:22" ht="15" customHeight="1">
      <c r="A35" s="146">
        <v>27</v>
      </c>
      <c r="B35" s="140" t="s">
        <v>62</v>
      </c>
      <c r="C35" s="141" t="s">
        <v>63</v>
      </c>
      <c r="D35" s="47">
        <v>374174537.67000002</v>
      </c>
      <c r="E35" s="32">
        <f t="shared" si="20"/>
        <v>1.8358083516159459E-4</v>
      </c>
      <c r="F35" s="33">
        <v>1</v>
      </c>
      <c r="G35" s="33">
        <v>1</v>
      </c>
      <c r="H35" s="34">
        <v>321</v>
      </c>
      <c r="I35" s="53">
        <v>0.215</v>
      </c>
      <c r="J35" s="53">
        <v>0.215</v>
      </c>
      <c r="K35" s="47">
        <v>415399826.22000003</v>
      </c>
      <c r="L35" s="32">
        <f t="shared" si="19"/>
        <v>2.0380715240090767E-4</v>
      </c>
      <c r="M35" s="33">
        <v>1</v>
      </c>
      <c r="N35" s="33">
        <v>1</v>
      </c>
      <c r="O35" s="34">
        <v>334</v>
      </c>
      <c r="P35" s="53">
        <v>0.215</v>
      </c>
      <c r="Q35" s="53">
        <v>0.215</v>
      </c>
      <c r="R35" s="59">
        <f t="shared" si="21"/>
        <v>0.11017662721443194</v>
      </c>
      <c r="S35" s="59">
        <f t="shared" si="22"/>
        <v>0</v>
      </c>
      <c r="T35" s="59">
        <f t="shared" si="23"/>
        <v>4.0498442367601244E-2</v>
      </c>
      <c r="U35" s="60">
        <f t="shared" si="24"/>
        <v>0</v>
      </c>
      <c r="V35" s="61">
        <f t="shared" si="25"/>
        <v>0</v>
      </c>
    </row>
    <row r="36" spans="1:22">
      <c r="A36" s="146">
        <v>28</v>
      </c>
      <c r="B36" s="140" t="s">
        <v>64</v>
      </c>
      <c r="C36" s="141" t="s">
        <v>65</v>
      </c>
      <c r="D36" s="47">
        <v>38366142792.849998</v>
      </c>
      <c r="E36" s="32">
        <f t="shared" si="20"/>
        <v>1.882353775245969E-2</v>
      </c>
      <c r="F36" s="33">
        <v>100</v>
      </c>
      <c r="G36" s="33">
        <v>100</v>
      </c>
      <c r="H36" s="34">
        <v>3607</v>
      </c>
      <c r="I36" s="53">
        <v>0.229583179626213</v>
      </c>
      <c r="J36" s="53">
        <v>0.229583179626213</v>
      </c>
      <c r="K36" s="47">
        <v>39194285948.009995</v>
      </c>
      <c r="L36" s="32">
        <f t="shared" si="19"/>
        <v>1.9229848702970471E-2</v>
      </c>
      <c r="M36" s="33">
        <v>100</v>
      </c>
      <c r="N36" s="33">
        <v>100</v>
      </c>
      <c r="O36" s="34">
        <v>3637</v>
      </c>
      <c r="P36" s="53">
        <v>0.228752866600514</v>
      </c>
      <c r="Q36" s="53">
        <v>0.228752866600514</v>
      </c>
      <c r="R36" s="59">
        <f t="shared" si="21"/>
        <v>2.158525968146922E-2</v>
      </c>
      <c r="S36" s="59">
        <f t="shared" si="22"/>
        <v>0</v>
      </c>
      <c r="T36" s="59">
        <f t="shared" si="23"/>
        <v>8.3171610756861657E-3</v>
      </c>
      <c r="U36" s="60">
        <f t="shared" si="24"/>
        <v>-8.3031302569899768E-4</v>
      </c>
      <c r="V36" s="61">
        <f t="shared" si="25"/>
        <v>-8.3031302569899768E-4</v>
      </c>
    </row>
    <row r="37" spans="1:22">
      <c r="A37" s="146">
        <v>29</v>
      </c>
      <c r="B37" s="140" t="s">
        <v>66</v>
      </c>
      <c r="C37" s="141" t="s">
        <v>67</v>
      </c>
      <c r="D37" s="47">
        <v>18139557217.259998</v>
      </c>
      <c r="E37" s="32">
        <f t="shared" si="20"/>
        <v>8.8997906809550244E-3</v>
      </c>
      <c r="F37" s="33">
        <v>100</v>
      </c>
      <c r="G37" s="33">
        <v>100</v>
      </c>
      <c r="H37" s="34">
        <v>6620</v>
      </c>
      <c r="I37" s="53">
        <v>0.22720000000000001</v>
      </c>
      <c r="J37" s="53">
        <v>0.22720000000000001</v>
      </c>
      <c r="K37" s="47">
        <v>18960644349.200001</v>
      </c>
      <c r="L37" s="32">
        <f t="shared" si="19"/>
        <v>9.3026397426806632E-3</v>
      </c>
      <c r="M37" s="33">
        <v>100</v>
      </c>
      <c r="N37" s="33">
        <v>100</v>
      </c>
      <c r="O37" s="34">
        <v>6629</v>
      </c>
      <c r="P37" s="53">
        <v>0.22509999999999999</v>
      </c>
      <c r="Q37" s="53">
        <v>0.22509999999999999</v>
      </c>
      <c r="R37" s="59">
        <f t="shared" si="21"/>
        <v>4.5265004107086393E-2</v>
      </c>
      <c r="S37" s="59">
        <f t="shared" si="22"/>
        <v>0</v>
      </c>
      <c r="T37" s="59">
        <f t="shared" si="23"/>
        <v>1.3595166163141994E-3</v>
      </c>
      <c r="U37" s="60">
        <f t="shared" si="24"/>
        <v>-2.1000000000000185E-3</v>
      </c>
      <c r="V37" s="61">
        <f t="shared" si="25"/>
        <v>-2.1000000000000185E-3</v>
      </c>
    </row>
    <row r="38" spans="1:22">
      <c r="A38" s="146">
        <v>30</v>
      </c>
      <c r="B38" s="140" t="s">
        <v>68</v>
      </c>
      <c r="C38" s="141" t="s">
        <v>69</v>
      </c>
      <c r="D38" s="47">
        <v>44514190.369999997</v>
      </c>
      <c r="E38" s="32">
        <f t="shared" si="20"/>
        <v>2.183994746289763E-5</v>
      </c>
      <c r="F38" s="33">
        <v>100</v>
      </c>
      <c r="G38" s="33">
        <v>100</v>
      </c>
      <c r="H38" s="34">
        <v>0</v>
      </c>
      <c r="I38" s="53">
        <v>0</v>
      </c>
      <c r="J38" s="53">
        <v>0</v>
      </c>
      <c r="K38" s="47">
        <v>44514190.369999997</v>
      </c>
      <c r="L38" s="32">
        <f t="shared" si="19"/>
        <v>2.183994746289763E-5</v>
      </c>
      <c r="M38" s="33">
        <v>100</v>
      </c>
      <c r="N38" s="33">
        <v>100</v>
      </c>
      <c r="O38" s="34">
        <v>0</v>
      </c>
      <c r="P38" s="53">
        <v>0</v>
      </c>
      <c r="Q38" s="53">
        <v>0</v>
      </c>
      <c r="R38" s="59">
        <f t="shared" si="21"/>
        <v>0</v>
      </c>
      <c r="S38" s="59">
        <f t="shared" si="22"/>
        <v>0</v>
      </c>
      <c r="T38" s="59" t="e">
        <f t="shared" si="23"/>
        <v>#DIV/0!</v>
      </c>
      <c r="U38" s="60">
        <f t="shared" si="24"/>
        <v>0</v>
      </c>
      <c r="V38" s="61">
        <f t="shared" si="25"/>
        <v>0</v>
      </c>
    </row>
    <row r="39" spans="1:22">
      <c r="A39" s="175">
        <v>31</v>
      </c>
      <c r="B39" s="176" t="s">
        <v>70</v>
      </c>
      <c r="C39" s="177" t="s">
        <v>305</v>
      </c>
      <c r="D39" s="47">
        <v>14731760118.200001</v>
      </c>
      <c r="E39" s="32">
        <f t="shared" si="20"/>
        <v>7.2278269995074071E-3</v>
      </c>
      <c r="F39" s="33">
        <v>1</v>
      </c>
      <c r="G39" s="33">
        <v>1</v>
      </c>
      <c r="H39" s="34">
        <v>4179</v>
      </c>
      <c r="I39" s="53">
        <v>0.2303</v>
      </c>
      <c r="J39" s="53">
        <v>0.2303</v>
      </c>
      <c r="K39" s="47">
        <v>16156956300.059999</v>
      </c>
      <c r="L39" s="32">
        <f t="shared" si="19"/>
        <v>7.9270694091171292E-3</v>
      </c>
      <c r="M39" s="33">
        <v>1</v>
      </c>
      <c r="N39" s="33">
        <v>1</v>
      </c>
      <c r="O39" s="34">
        <v>4290</v>
      </c>
      <c r="P39" s="53">
        <v>0.2271</v>
      </c>
      <c r="Q39" s="53">
        <v>0.2271</v>
      </c>
      <c r="R39" s="59">
        <f t="shared" si="21"/>
        <v>9.6743102685963103E-2</v>
      </c>
      <c r="S39" s="59">
        <f t="shared" si="22"/>
        <v>0</v>
      </c>
      <c r="T39" s="59">
        <f t="shared" si="23"/>
        <v>2.6561378320172292E-2</v>
      </c>
      <c r="U39" s="60">
        <f t="shared" si="24"/>
        <v>-3.2000000000000084E-3</v>
      </c>
      <c r="V39" s="61">
        <f t="shared" si="25"/>
        <v>-3.2000000000000084E-3</v>
      </c>
    </row>
    <row r="40" spans="1:22">
      <c r="A40" s="146">
        <v>32</v>
      </c>
      <c r="B40" s="140" t="s">
        <v>71</v>
      </c>
      <c r="C40" s="141" t="s">
        <v>72</v>
      </c>
      <c r="D40" s="47">
        <v>34290423359.77</v>
      </c>
      <c r="E40" s="32">
        <f t="shared" si="20"/>
        <v>1.6823872082881029E-2</v>
      </c>
      <c r="F40" s="48">
        <v>100</v>
      </c>
      <c r="G40" s="48">
        <v>100</v>
      </c>
      <c r="H40" s="34">
        <v>3089</v>
      </c>
      <c r="I40" s="53">
        <v>0.22</v>
      </c>
      <c r="J40" s="53">
        <v>0.22</v>
      </c>
      <c r="K40" s="47">
        <v>34660986731.07</v>
      </c>
      <c r="L40" s="32">
        <f t="shared" si="19"/>
        <v>1.7005681175523101E-2</v>
      </c>
      <c r="M40" s="48">
        <v>100</v>
      </c>
      <c r="N40" s="48">
        <v>100</v>
      </c>
      <c r="O40" s="34">
        <v>3192</v>
      </c>
      <c r="P40" s="53">
        <v>0.22</v>
      </c>
      <c r="Q40" s="53">
        <v>0.22</v>
      </c>
      <c r="R40" s="59">
        <f t="shared" si="21"/>
        <v>1.0806614062827504E-2</v>
      </c>
      <c r="S40" s="59">
        <f t="shared" si="22"/>
        <v>0</v>
      </c>
      <c r="T40" s="59">
        <f t="shared" si="23"/>
        <v>3.3344124312075105E-2</v>
      </c>
      <c r="U40" s="60">
        <f t="shared" si="24"/>
        <v>0</v>
      </c>
      <c r="V40" s="61">
        <f t="shared" si="25"/>
        <v>0</v>
      </c>
    </row>
    <row r="41" spans="1:22">
      <c r="A41" s="146">
        <v>33</v>
      </c>
      <c r="B41" s="140" t="s">
        <v>73</v>
      </c>
      <c r="C41" s="141" t="s">
        <v>72</v>
      </c>
      <c r="D41" s="47">
        <v>2427419432.52</v>
      </c>
      <c r="E41" s="32">
        <f t="shared" si="20"/>
        <v>1.1909620827874798E-3</v>
      </c>
      <c r="F41" s="48">
        <v>1000000</v>
      </c>
      <c r="G41" s="48">
        <v>1000000</v>
      </c>
      <c r="H41" s="34">
        <v>9</v>
      </c>
      <c r="I41" s="53">
        <v>0.23</v>
      </c>
      <c r="J41" s="53">
        <v>0.23</v>
      </c>
      <c r="K41" s="47">
        <v>2683056149.7399998</v>
      </c>
      <c r="L41" s="32">
        <f t="shared" si="19"/>
        <v>1.316384839604261E-3</v>
      </c>
      <c r="M41" s="48">
        <v>1000000</v>
      </c>
      <c r="N41" s="48">
        <v>1000000</v>
      </c>
      <c r="O41" s="34">
        <v>12</v>
      </c>
      <c r="P41" s="53">
        <v>0.23</v>
      </c>
      <c r="Q41" s="53">
        <v>0.23</v>
      </c>
      <c r="R41" s="59">
        <f t="shared" si="21"/>
        <v>0.1053121326274517</v>
      </c>
      <c r="S41" s="59">
        <f t="shared" si="22"/>
        <v>0</v>
      </c>
      <c r="T41" s="59">
        <f t="shared" si="23"/>
        <v>0.33333333333333331</v>
      </c>
      <c r="U41" s="60">
        <f t="shared" si="24"/>
        <v>0</v>
      </c>
      <c r="V41" s="61">
        <f t="shared" si="25"/>
        <v>0</v>
      </c>
    </row>
    <row r="42" spans="1:22">
      <c r="A42" s="146">
        <v>34</v>
      </c>
      <c r="B42" s="140" t="s">
        <v>74</v>
      </c>
      <c r="C42" s="141" t="s">
        <v>75</v>
      </c>
      <c r="D42" s="47">
        <v>3831870795.71</v>
      </c>
      <c r="E42" s="32">
        <f t="shared" si="20"/>
        <v>1.8800264852018725E-3</v>
      </c>
      <c r="F42" s="33">
        <v>1</v>
      </c>
      <c r="G42" s="33">
        <v>1</v>
      </c>
      <c r="H42" s="34">
        <v>820</v>
      </c>
      <c r="I42" s="53">
        <v>0.2238</v>
      </c>
      <c r="J42" s="53">
        <v>0.2238</v>
      </c>
      <c r="K42" s="47">
        <v>3803688206.6999998</v>
      </c>
      <c r="L42" s="32">
        <f t="shared" si="19"/>
        <v>1.8661992930586306E-3</v>
      </c>
      <c r="M42" s="33">
        <v>1</v>
      </c>
      <c r="N42" s="33">
        <v>1</v>
      </c>
      <c r="O42" s="34">
        <v>841</v>
      </c>
      <c r="P42" s="53">
        <v>0.22159999999999999</v>
      </c>
      <c r="Q42" s="53">
        <v>0.22159999999999999</v>
      </c>
      <c r="R42" s="59">
        <f t="shared" si="21"/>
        <v>-7.3547858246035486E-3</v>
      </c>
      <c r="S42" s="59">
        <f t="shared" si="22"/>
        <v>0</v>
      </c>
      <c r="T42" s="59">
        <f t="shared" si="23"/>
        <v>2.5609756097560974E-2</v>
      </c>
      <c r="U42" s="60">
        <f t="shared" si="24"/>
        <v>-2.2000000000000075E-3</v>
      </c>
      <c r="V42" s="61">
        <f t="shared" si="25"/>
        <v>-2.2000000000000075E-3</v>
      </c>
    </row>
    <row r="43" spans="1:22">
      <c r="A43" s="146">
        <v>35</v>
      </c>
      <c r="B43" s="140" t="s">
        <v>76</v>
      </c>
      <c r="C43" s="141" t="s">
        <v>31</v>
      </c>
      <c r="D43" s="47">
        <v>396656272867.58002</v>
      </c>
      <c r="E43" s="32">
        <f t="shared" si="20"/>
        <v>0.19461102377131104</v>
      </c>
      <c r="F43" s="33">
        <v>100</v>
      </c>
      <c r="G43" s="33">
        <v>100</v>
      </c>
      <c r="H43" s="34">
        <v>15860</v>
      </c>
      <c r="I43" s="53">
        <v>0.2263</v>
      </c>
      <c r="J43" s="53">
        <v>0.2263</v>
      </c>
      <c r="K43" s="47">
        <v>402241600658.01001</v>
      </c>
      <c r="L43" s="32">
        <f t="shared" si="19"/>
        <v>0.19735134690180342</v>
      </c>
      <c r="M43" s="33">
        <v>100</v>
      </c>
      <c r="N43" s="33">
        <v>100</v>
      </c>
      <c r="O43" s="34">
        <v>15957</v>
      </c>
      <c r="P43" s="53">
        <v>0.22559999999999999</v>
      </c>
      <c r="Q43" s="53">
        <v>0.22559999999999999</v>
      </c>
      <c r="R43" s="59">
        <f t="shared" si="21"/>
        <v>1.4081027258314914E-2</v>
      </c>
      <c r="S43" s="59">
        <f t="shared" si="22"/>
        <v>0</v>
      </c>
      <c r="T43" s="59">
        <f t="shared" si="23"/>
        <v>6.1160151324085752E-3</v>
      </c>
      <c r="U43" s="60">
        <f t="shared" si="24"/>
        <v>-7.0000000000000617E-4</v>
      </c>
      <c r="V43" s="61">
        <f t="shared" si="25"/>
        <v>-7.0000000000000617E-4</v>
      </c>
    </row>
    <row r="44" spans="1:22">
      <c r="A44" s="146">
        <v>36</v>
      </c>
      <c r="B44" s="140" t="s">
        <v>77</v>
      </c>
      <c r="C44" s="141" t="s">
        <v>78</v>
      </c>
      <c r="D44" s="47">
        <v>1245333291.52</v>
      </c>
      <c r="E44" s="32">
        <f t="shared" si="20"/>
        <v>6.1099648077445599E-4</v>
      </c>
      <c r="F44" s="33">
        <v>1</v>
      </c>
      <c r="G44" s="33">
        <v>1</v>
      </c>
      <c r="H44" s="49">
        <v>955</v>
      </c>
      <c r="I44" s="56">
        <v>0.21440000000000001</v>
      </c>
      <c r="J44" s="56">
        <v>0.21440000000000001</v>
      </c>
      <c r="K44" s="47">
        <v>1345973570.6300001</v>
      </c>
      <c r="L44" s="32">
        <f t="shared" si="19"/>
        <v>6.6037350841764697E-4</v>
      </c>
      <c r="M44" s="33">
        <v>1</v>
      </c>
      <c r="N44" s="33">
        <v>1</v>
      </c>
      <c r="O44" s="49">
        <v>985</v>
      </c>
      <c r="P44" s="56">
        <v>1.1999999999999999E-3</v>
      </c>
      <c r="Q44" s="56">
        <v>-9.9000000000000008E-3</v>
      </c>
      <c r="R44" s="59">
        <f t="shared" si="21"/>
        <v>8.0813931334930394E-2</v>
      </c>
      <c r="S44" s="59">
        <f t="shared" si="22"/>
        <v>0</v>
      </c>
      <c r="T44" s="59">
        <f t="shared" si="23"/>
        <v>3.1413612565445025E-2</v>
      </c>
      <c r="U44" s="60">
        <f t="shared" si="24"/>
        <v>-0.2132</v>
      </c>
      <c r="V44" s="61">
        <f t="shared" si="25"/>
        <v>-0.2243</v>
      </c>
    </row>
    <row r="45" spans="1:22">
      <c r="A45" s="146">
        <v>37</v>
      </c>
      <c r="B45" s="140" t="s">
        <v>79</v>
      </c>
      <c r="C45" s="141" t="s">
        <v>80</v>
      </c>
      <c r="D45" s="47">
        <v>684463132.59000003</v>
      </c>
      <c r="E45" s="32">
        <f t="shared" si="20"/>
        <v>3.3581738164399947E-4</v>
      </c>
      <c r="F45" s="33">
        <v>10</v>
      </c>
      <c r="G45" s="33">
        <v>10</v>
      </c>
      <c r="H45" s="34">
        <v>422</v>
      </c>
      <c r="I45" s="53">
        <v>0.18540000000000001</v>
      </c>
      <c r="J45" s="53">
        <v>0.18540000000000001</v>
      </c>
      <c r="K45" s="47">
        <v>718738069.0695504</v>
      </c>
      <c r="L45" s="32">
        <f t="shared" si="19"/>
        <v>3.5263365541614967E-4</v>
      </c>
      <c r="M45" s="33">
        <v>10</v>
      </c>
      <c r="N45" s="33">
        <v>10</v>
      </c>
      <c r="O45" s="34">
        <v>418</v>
      </c>
      <c r="P45" s="53">
        <v>0.16239999999999999</v>
      </c>
      <c r="Q45" s="53">
        <v>0.16239999999999999</v>
      </c>
      <c r="R45" s="59">
        <f t="shared" si="21"/>
        <v>5.0075650312755966E-2</v>
      </c>
      <c r="S45" s="59">
        <f t="shared" si="22"/>
        <v>0</v>
      </c>
      <c r="T45" s="59">
        <f t="shared" si="23"/>
        <v>-9.4786729857819912E-3</v>
      </c>
      <c r="U45" s="60">
        <f t="shared" si="24"/>
        <v>-2.300000000000002E-2</v>
      </c>
      <c r="V45" s="61">
        <f t="shared" si="25"/>
        <v>-2.300000000000002E-2</v>
      </c>
    </row>
    <row r="46" spans="1:22">
      <c r="A46" s="146">
        <v>38</v>
      </c>
      <c r="B46" s="140" t="s">
        <v>81</v>
      </c>
      <c r="C46" s="141" t="s">
        <v>82</v>
      </c>
      <c r="D46" s="47">
        <v>6006529917.5699997</v>
      </c>
      <c r="E46" s="32">
        <f t="shared" si="20"/>
        <v>2.9469770593078324E-3</v>
      </c>
      <c r="F46" s="33">
        <v>100</v>
      </c>
      <c r="G46" s="33">
        <v>100</v>
      </c>
      <c r="H46" s="34">
        <v>849</v>
      </c>
      <c r="I46" s="53">
        <v>0.2044</v>
      </c>
      <c r="J46" s="53">
        <v>0.2044</v>
      </c>
      <c r="K46" s="47">
        <v>5854512062.3599997</v>
      </c>
      <c r="L46" s="32">
        <f t="shared" si="19"/>
        <v>2.872392708932984E-3</v>
      </c>
      <c r="M46" s="33">
        <v>100</v>
      </c>
      <c r="N46" s="33">
        <v>100</v>
      </c>
      <c r="O46" s="34">
        <v>849</v>
      </c>
      <c r="P46" s="53">
        <v>0.2044</v>
      </c>
      <c r="Q46" s="53">
        <v>0.2044</v>
      </c>
      <c r="R46" s="59">
        <f t="shared" si="21"/>
        <v>-2.5308765176599728E-2</v>
      </c>
      <c r="S46" s="59">
        <f t="shared" si="22"/>
        <v>0</v>
      </c>
      <c r="T46" s="59">
        <f t="shared" si="23"/>
        <v>0</v>
      </c>
      <c r="U46" s="60">
        <f t="shared" si="24"/>
        <v>0</v>
      </c>
      <c r="V46" s="61">
        <f t="shared" si="25"/>
        <v>0</v>
      </c>
    </row>
    <row r="47" spans="1:22">
      <c r="A47" s="146">
        <v>39</v>
      </c>
      <c r="B47" s="140" t="s">
        <v>83</v>
      </c>
      <c r="C47" s="140" t="s">
        <v>84</v>
      </c>
      <c r="D47" s="35">
        <v>83370715.472399399</v>
      </c>
      <c r="E47" s="32">
        <f>(D47/$D$182)</f>
        <v>1.4535207115839029E-3</v>
      </c>
      <c r="F47" s="35">
        <v>1</v>
      </c>
      <c r="G47" s="35">
        <v>1</v>
      </c>
      <c r="H47" s="34">
        <v>58</v>
      </c>
      <c r="I47" s="53">
        <v>0.16265847333319799</v>
      </c>
      <c r="J47" s="53">
        <v>0.16265847333319799</v>
      </c>
      <c r="K47" s="179">
        <v>84652931.198343799</v>
      </c>
      <c r="L47" s="57">
        <f>(K47/$K$182)</f>
        <v>1.4532030216994087E-3</v>
      </c>
      <c r="M47" s="35">
        <v>1</v>
      </c>
      <c r="N47" s="35">
        <v>1</v>
      </c>
      <c r="O47" s="34">
        <v>57</v>
      </c>
      <c r="P47" s="53">
        <v>3.0000000000000001E-3</v>
      </c>
      <c r="Q47" s="53">
        <v>0.16314909845782599</v>
      </c>
      <c r="R47" s="60">
        <f t="shared" si="21"/>
        <v>1.5379689602986416E-2</v>
      </c>
      <c r="S47" s="60">
        <f t="shared" si="22"/>
        <v>0</v>
      </c>
      <c r="T47" s="60">
        <f t="shared" si="23"/>
        <v>-1.7241379310344827E-2</v>
      </c>
      <c r="U47" s="60">
        <f t="shared" si="24"/>
        <v>-0.15965847333319799</v>
      </c>
      <c r="V47" s="61">
        <f t="shared" si="25"/>
        <v>4.906251246279969E-4</v>
      </c>
    </row>
    <row r="48" spans="1:22">
      <c r="A48" s="146">
        <v>40</v>
      </c>
      <c r="B48" s="140" t="s">
        <v>291</v>
      </c>
      <c r="C48" s="141" t="s">
        <v>37</v>
      </c>
      <c r="D48" s="47">
        <v>230301782.40000001</v>
      </c>
      <c r="E48" s="32">
        <f t="shared" ref="E48" si="28">(D48/$K$66)</f>
        <v>1.129927060656474E-4</v>
      </c>
      <c r="F48" s="33">
        <v>1</v>
      </c>
      <c r="G48" s="33">
        <v>1</v>
      </c>
      <c r="H48" s="34">
        <v>1028</v>
      </c>
      <c r="I48" s="53">
        <v>0.19439999999999999</v>
      </c>
      <c r="J48" s="53">
        <v>0.19439999999999999</v>
      </c>
      <c r="K48" s="47">
        <v>238325907.56999999</v>
      </c>
      <c r="L48" s="32">
        <f t="shared" ref="L48" si="29">(K48/$K$66)</f>
        <v>1.1692957362837006E-4</v>
      </c>
      <c r="M48" s="33">
        <v>1</v>
      </c>
      <c r="N48" s="33">
        <v>1</v>
      </c>
      <c r="O48" s="34">
        <v>1140</v>
      </c>
      <c r="P48" s="53">
        <v>0.21153195</v>
      </c>
      <c r="Q48" s="53">
        <v>0.21153195</v>
      </c>
      <c r="R48" s="59">
        <f t="shared" ref="R48" si="30">((K48-D48)/D48)</f>
        <v>3.4841784924023178E-2</v>
      </c>
      <c r="S48" s="59">
        <f t="shared" ref="S48" si="31">((N48-G48)/G48)</f>
        <v>0</v>
      </c>
      <c r="T48" s="59">
        <f t="shared" ref="T48" si="32">((O48-H48)/H48)</f>
        <v>0.10894941634241245</v>
      </c>
      <c r="U48" s="60">
        <f t="shared" ref="U48" si="33">P48-I48</f>
        <v>1.7131950000000007E-2</v>
      </c>
      <c r="V48" s="61">
        <f t="shared" ref="V48" si="34">Q48-J48</f>
        <v>1.7131950000000007E-2</v>
      </c>
    </row>
    <row r="49" spans="1:22">
      <c r="A49" s="146">
        <v>41</v>
      </c>
      <c r="B49" s="140" t="s">
        <v>85</v>
      </c>
      <c r="C49" s="141" t="s">
        <v>37</v>
      </c>
      <c r="D49" s="47">
        <v>52560033525.349998</v>
      </c>
      <c r="E49" s="32">
        <f t="shared" si="20"/>
        <v>2.5787470496496018E-2</v>
      </c>
      <c r="F49" s="33">
        <v>100</v>
      </c>
      <c r="G49" s="33">
        <v>100</v>
      </c>
      <c r="H49" s="34">
        <v>10569</v>
      </c>
      <c r="I49" s="53">
        <v>0.21030283</v>
      </c>
      <c r="J49" s="53">
        <v>0.21030283</v>
      </c>
      <c r="K49" s="47">
        <v>58047249969.93</v>
      </c>
      <c r="L49" s="32">
        <f t="shared" si="19"/>
        <v>2.8479657367043724E-2</v>
      </c>
      <c r="M49" s="33">
        <v>100</v>
      </c>
      <c r="N49" s="33">
        <v>100</v>
      </c>
      <c r="O49" s="34">
        <v>13063</v>
      </c>
      <c r="P49" s="53">
        <v>0.20959997999999999</v>
      </c>
      <c r="Q49" s="53">
        <v>0.20959997999999999</v>
      </c>
      <c r="R49" s="59">
        <f t="shared" si="21"/>
        <v>0.10439902862568545</v>
      </c>
      <c r="S49" s="59">
        <f t="shared" si="22"/>
        <v>0</v>
      </c>
      <c r="T49" s="59">
        <f t="shared" si="23"/>
        <v>0.23597312896205885</v>
      </c>
      <c r="U49" s="60">
        <f t="shared" si="24"/>
        <v>-7.0285000000000486E-4</v>
      </c>
      <c r="V49" s="61">
        <f t="shared" si="25"/>
        <v>-7.0285000000000486E-4</v>
      </c>
    </row>
    <row r="50" spans="1:22">
      <c r="A50" s="146">
        <v>42</v>
      </c>
      <c r="B50" s="140" t="s">
        <v>86</v>
      </c>
      <c r="C50" s="141" t="s">
        <v>41</v>
      </c>
      <c r="D50" s="47">
        <v>10096153348.860001</v>
      </c>
      <c r="E50" s="32">
        <f t="shared" si="20"/>
        <v>4.9534644319862622E-3</v>
      </c>
      <c r="F50" s="33">
        <v>1</v>
      </c>
      <c r="G50" s="33">
        <v>1</v>
      </c>
      <c r="H50" s="34">
        <v>1269</v>
      </c>
      <c r="I50" s="53">
        <v>0.2392</v>
      </c>
      <c r="J50" s="53">
        <v>0.2392</v>
      </c>
      <c r="K50" s="47">
        <v>10522969280.99</v>
      </c>
      <c r="L50" s="32">
        <f t="shared" si="19"/>
        <v>5.1628726556687734E-3</v>
      </c>
      <c r="M50" s="33">
        <v>1</v>
      </c>
      <c r="N50" s="33">
        <v>1</v>
      </c>
      <c r="O50" s="34">
        <v>1311</v>
      </c>
      <c r="P50" s="53">
        <v>0.2515</v>
      </c>
      <c r="Q50" s="53">
        <v>0.2515</v>
      </c>
      <c r="R50" s="59">
        <f t="shared" si="21"/>
        <v>4.2275103931359435E-2</v>
      </c>
      <c r="S50" s="59">
        <f t="shared" si="22"/>
        <v>0</v>
      </c>
      <c r="T50" s="59">
        <f t="shared" si="23"/>
        <v>3.309692671394799E-2</v>
      </c>
      <c r="U50" s="60">
        <f t="shared" si="24"/>
        <v>1.2300000000000005E-2</v>
      </c>
      <c r="V50" s="61">
        <f t="shared" si="25"/>
        <v>1.2300000000000005E-2</v>
      </c>
    </row>
    <row r="51" spans="1:22">
      <c r="A51" s="175">
        <v>43</v>
      </c>
      <c r="B51" s="176" t="s">
        <v>87</v>
      </c>
      <c r="C51" s="177" t="s">
        <v>43</v>
      </c>
      <c r="D51" s="50">
        <v>22962404107.52</v>
      </c>
      <c r="E51" s="32">
        <f t="shared" si="20"/>
        <v>1.1266018659704571E-2</v>
      </c>
      <c r="F51" s="33">
        <v>10</v>
      </c>
      <c r="G51" s="33">
        <v>10</v>
      </c>
      <c r="H51" s="34">
        <v>3576</v>
      </c>
      <c r="I51" s="53">
        <v>0.22500000000000001</v>
      </c>
      <c r="J51" s="53">
        <v>0.22500000000000001</v>
      </c>
      <c r="K51" s="50">
        <v>23917087273.260002</v>
      </c>
      <c r="L51" s="32">
        <f t="shared" si="19"/>
        <v>1.1734413794158736E-2</v>
      </c>
      <c r="M51" s="33">
        <v>10</v>
      </c>
      <c r="N51" s="33">
        <v>10</v>
      </c>
      <c r="O51" s="34">
        <v>3632</v>
      </c>
      <c r="P51" s="53">
        <v>0.24129999999999999</v>
      </c>
      <c r="Q51" s="53">
        <v>0.24129999999999999</v>
      </c>
      <c r="R51" s="59">
        <f t="shared" si="21"/>
        <v>4.15759239002048E-2</v>
      </c>
      <c r="S51" s="59">
        <f t="shared" si="22"/>
        <v>0</v>
      </c>
      <c r="T51" s="59">
        <f t="shared" si="23"/>
        <v>1.5659955257270694E-2</v>
      </c>
      <c r="U51" s="60">
        <f t="shared" si="24"/>
        <v>1.6299999999999981E-2</v>
      </c>
      <c r="V51" s="61">
        <f t="shared" si="25"/>
        <v>1.6299999999999981E-2</v>
      </c>
    </row>
    <row r="52" spans="1:22">
      <c r="A52" s="146">
        <v>44</v>
      </c>
      <c r="B52" s="140" t="s">
        <v>88</v>
      </c>
      <c r="C52" s="141" t="s">
        <v>89</v>
      </c>
      <c r="D52" s="47">
        <v>14267045756</v>
      </c>
      <c r="E52" s="32">
        <f t="shared" si="20"/>
        <v>6.9998247114428334E-3</v>
      </c>
      <c r="F52" s="33">
        <v>100</v>
      </c>
      <c r="G52" s="33">
        <v>100</v>
      </c>
      <c r="H52" s="34">
        <v>3479</v>
      </c>
      <c r="I52" s="53">
        <v>0.22289999999999999</v>
      </c>
      <c r="J52" s="53">
        <v>0.22289999999999999</v>
      </c>
      <c r="K52" s="47">
        <v>13548192256</v>
      </c>
      <c r="L52" s="32">
        <f t="shared" si="19"/>
        <v>6.6471344222783068E-3</v>
      </c>
      <c r="M52" s="33">
        <v>100</v>
      </c>
      <c r="N52" s="33">
        <v>100</v>
      </c>
      <c r="O52" s="34">
        <v>3532</v>
      </c>
      <c r="P52" s="53">
        <v>0.22700000000000001</v>
      </c>
      <c r="Q52" s="53">
        <v>0.22700000000000001</v>
      </c>
      <c r="R52" s="59">
        <f t="shared" si="21"/>
        <v>-5.0385588740239823E-2</v>
      </c>
      <c r="S52" s="59">
        <f t="shared" si="22"/>
        <v>0</v>
      </c>
      <c r="T52" s="59">
        <f t="shared" si="23"/>
        <v>1.5234262719172175E-2</v>
      </c>
      <c r="U52" s="60">
        <f t="shared" si="24"/>
        <v>4.1000000000000203E-3</v>
      </c>
      <c r="V52" s="61">
        <f t="shared" si="25"/>
        <v>4.1000000000000203E-3</v>
      </c>
    </row>
    <row r="53" spans="1:22">
      <c r="A53" s="175">
        <v>45</v>
      </c>
      <c r="B53" s="176" t="s">
        <v>90</v>
      </c>
      <c r="C53" s="177" t="s">
        <v>91</v>
      </c>
      <c r="D53" s="47">
        <v>237502854.38999999</v>
      </c>
      <c r="E53" s="32">
        <f t="shared" si="20"/>
        <v>1.1652575996668241E-4</v>
      </c>
      <c r="F53" s="33">
        <v>1</v>
      </c>
      <c r="G53" s="33">
        <v>1</v>
      </c>
      <c r="H53" s="34">
        <v>86</v>
      </c>
      <c r="I53" s="53">
        <v>0.19950000000000001</v>
      </c>
      <c r="J53" s="53">
        <v>0.19950000000000001</v>
      </c>
      <c r="K53" s="47">
        <v>237346947.00999999</v>
      </c>
      <c r="L53" s="32">
        <f t="shared" si="19"/>
        <v>1.1644926730310758E-4</v>
      </c>
      <c r="M53" s="33">
        <v>1</v>
      </c>
      <c r="N53" s="33">
        <v>1</v>
      </c>
      <c r="O53" s="34">
        <v>87</v>
      </c>
      <c r="P53" s="53">
        <v>0.1996</v>
      </c>
      <c r="Q53" s="53">
        <v>0.1996</v>
      </c>
      <c r="R53" s="59">
        <f t="shared" si="21"/>
        <v>-6.5644423685107375E-4</v>
      </c>
      <c r="S53" s="59">
        <f t="shared" si="22"/>
        <v>0</v>
      </c>
      <c r="T53" s="59">
        <f t="shared" si="23"/>
        <v>1.1627906976744186E-2</v>
      </c>
      <c r="U53" s="60">
        <f t="shared" si="24"/>
        <v>9.9999999999988987E-5</v>
      </c>
      <c r="V53" s="61">
        <f t="shared" si="25"/>
        <v>9.9999999999988987E-5</v>
      </c>
    </row>
    <row r="54" spans="1:22">
      <c r="A54" s="146">
        <v>46</v>
      </c>
      <c r="B54" s="140" t="s">
        <v>92</v>
      </c>
      <c r="C54" s="141" t="s">
        <v>45</v>
      </c>
      <c r="D54" s="50">
        <v>1195594512.24</v>
      </c>
      <c r="E54" s="32">
        <f t="shared" si="20"/>
        <v>5.8659319909473435E-4</v>
      </c>
      <c r="F54" s="33">
        <v>10</v>
      </c>
      <c r="G54" s="33">
        <v>10</v>
      </c>
      <c r="H54" s="34">
        <v>747</v>
      </c>
      <c r="I54" s="53">
        <v>0.16400000000000001</v>
      </c>
      <c r="J54" s="53">
        <v>0.16400000000000001</v>
      </c>
      <c r="K54" s="50">
        <v>1073862317.6800001</v>
      </c>
      <c r="L54" s="32">
        <f t="shared" si="19"/>
        <v>5.2686786855103002E-4</v>
      </c>
      <c r="M54" s="33">
        <v>10</v>
      </c>
      <c r="N54" s="33">
        <v>10</v>
      </c>
      <c r="O54" s="34">
        <v>748</v>
      </c>
      <c r="P54" s="53">
        <v>0.16400000000000001</v>
      </c>
      <c r="Q54" s="53">
        <v>0.16400000000000001</v>
      </c>
      <c r="R54" s="59">
        <f t="shared" si="21"/>
        <v>-0.10181729115829515</v>
      </c>
      <c r="S54" s="59">
        <f t="shared" si="22"/>
        <v>0</v>
      </c>
      <c r="T54" s="59">
        <f t="shared" si="23"/>
        <v>1.3386880856760374E-3</v>
      </c>
      <c r="U54" s="60">
        <f t="shared" si="24"/>
        <v>0</v>
      </c>
      <c r="V54" s="61">
        <f t="shared" si="25"/>
        <v>0</v>
      </c>
    </row>
    <row r="55" spans="1:22">
      <c r="A55" s="146">
        <v>47</v>
      </c>
      <c r="B55" s="140" t="s">
        <v>93</v>
      </c>
      <c r="C55" s="141" t="s">
        <v>94</v>
      </c>
      <c r="D55" s="50">
        <v>754837817.77999997</v>
      </c>
      <c r="E55" s="32">
        <f t="shared" si="20"/>
        <v>3.703452347733556E-4</v>
      </c>
      <c r="F55" s="33">
        <v>1</v>
      </c>
      <c r="G55" s="33">
        <v>1</v>
      </c>
      <c r="H55" s="34">
        <v>74</v>
      </c>
      <c r="I55" s="53">
        <v>0.2205</v>
      </c>
      <c r="J55" s="53">
        <v>0.2205</v>
      </c>
      <c r="K55" s="50">
        <v>755167817.77999997</v>
      </c>
      <c r="L55" s="32">
        <f t="shared" si="19"/>
        <v>3.7050714230447881E-4</v>
      </c>
      <c r="M55" s="33">
        <v>1</v>
      </c>
      <c r="N55" s="33">
        <v>1</v>
      </c>
      <c r="O55" s="34">
        <v>74</v>
      </c>
      <c r="P55" s="53">
        <v>0.22489999999999999</v>
      </c>
      <c r="Q55" s="53">
        <v>0.22489999999999999</v>
      </c>
      <c r="R55" s="59">
        <f t="shared" si="21"/>
        <v>4.3718000373979619E-4</v>
      </c>
      <c r="S55" s="59">
        <f t="shared" si="22"/>
        <v>0</v>
      </c>
      <c r="T55" s="59">
        <f t="shared" si="23"/>
        <v>0</v>
      </c>
      <c r="U55" s="60">
        <f t="shared" si="24"/>
        <v>4.3999999999999873E-3</v>
      </c>
      <c r="V55" s="61">
        <f t="shared" si="25"/>
        <v>4.3999999999999873E-3</v>
      </c>
    </row>
    <row r="56" spans="1:22">
      <c r="A56" s="146">
        <v>48</v>
      </c>
      <c r="B56" s="140" t="s">
        <v>95</v>
      </c>
      <c r="C56" s="141" t="s">
        <v>96</v>
      </c>
      <c r="D56" s="50">
        <v>7571267595.7465</v>
      </c>
      <c r="E56" s="32">
        <f t="shared" si="20"/>
        <v>3.7146825572746639E-3</v>
      </c>
      <c r="F56" s="33">
        <v>100</v>
      </c>
      <c r="G56" s="33">
        <v>100</v>
      </c>
      <c r="H56" s="34">
        <v>95</v>
      </c>
      <c r="I56" s="53">
        <v>0.2331</v>
      </c>
      <c r="J56" s="53">
        <v>0.2331</v>
      </c>
      <c r="K56" s="50">
        <v>8345117595.7466002</v>
      </c>
      <c r="L56" s="32">
        <f t="shared" si="19"/>
        <v>4.0943557177586902E-3</v>
      </c>
      <c r="M56" s="33">
        <v>100</v>
      </c>
      <c r="N56" s="33">
        <v>100</v>
      </c>
      <c r="O56" s="34">
        <v>96</v>
      </c>
      <c r="P56" s="53">
        <v>0.2291</v>
      </c>
      <c r="Q56" s="53">
        <v>0.2291</v>
      </c>
      <c r="R56" s="59">
        <f t="shared" si="21"/>
        <v>0.102208776828182</v>
      </c>
      <c r="S56" s="59">
        <f t="shared" si="22"/>
        <v>0</v>
      </c>
      <c r="T56" s="59">
        <f t="shared" si="23"/>
        <v>1.0526315789473684E-2</v>
      </c>
      <c r="U56" s="60">
        <f t="shared" si="24"/>
        <v>-4.0000000000000036E-3</v>
      </c>
      <c r="V56" s="61">
        <f t="shared" si="25"/>
        <v>-4.0000000000000036E-3</v>
      </c>
    </row>
    <row r="57" spans="1:22">
      <c r="A57" s="146">
        <v>49</v>
      </c>
      <c r="B57" s="140" t="s">
        <v>97</v>
      </c>
      <c r="C57" s="141" t="s">
        <v>98</v>
      </c>
      <c r="D57" s="50">
        <v>56968209.490000002</v>
      </c>
      <c r="E57" s="32">
        <f t="shared" si="20"/>
        <v>2.795024894253617E-5</v>
      </c>
      <c r="F57" s="33">
        <v>1000</v>
      </c>
      <c r="G57" s="33">
        <v>1000</v>
      </c>
      <c r="H57" s="34">
        <v>21</v>
      </c>
      <c r="I57" s="53">
        <v>0.187</v>
      </c>
      <c r="J57" s="53">
        <v>0.187</v>
      </c>
      <c r="K57" s="50">
        <v>51613000</v>
      </c>
      <c r="L57" s="32">
        <f t="shared" si="19"/>
        <v>2.5322828496555566E-5</v>
      </c>
      <c r="M57" s="33">
        <v>1000</v>
      </c>
      <c r="N57" s="33">
        <v>1000</v>
      </c>
      <c r="O57" s="34">
        <v>23</v>
      </c>
      <c r="P57" s="53">
        <v>0.186</v>
      </c>
      <c r="Q57" s="53">
        <v>0.186</v>
      </c>
      <c r="R57" s="59">
        <f t="shared" si="21"/>
        <v>-9.4003472075773004E-2</v>
      </c>
      <c r="S57" s="59">
        <f t="shared" si="22"/>
        <v>0</v>
      </c>
      <c r="T57" s="59">
        <f t="shared" si="23"/>
        <v>9.5238095238095233E-2</v>
      </c>
      <c r="U57" s="60">
        <f t="shared" si="24"/>
        <v>-1.0000000000000009E-3</v>
      </c>
      <c r="V57" s="61">
        <f t="shared" si="25"/>
        <v>-1.0000000000000009E-3</v>
      </c>
    </row>
    <row r="58" spans="1:22">
      <c r="A58" s="146">
        <v>50</v>
      </c>
      <c r="B58" s="140" t="s">
        <v>99</v>
      </c>
      <c r="C58" s="141" t="s">
        <v>49</v>
      </c>
      <c r="D58" s="47">
        <v>917911490033.10999</v>
      </c>
      <c r="E58" s="32">
        <f t="shared" si="20"/>
        <v>0.45035388830577994</v>
      </c>
      <c r="F58" s="33">
        <v>100</v>
      </c>
      <c r="G58" s="33">
        <v>100</v>
      </c>
      <c r="H58" s="34">
        <v>156418</v>
      </c>
      <c r="I58" s="53">
        <v>0.22009999999999999</v>
      </c>
      <c r="J58" s="53">
        <v>0.22009999999999999</v>
      </c>
      <c r="K58" s="47">
        <v>941831254853.96997</v>
      </c>
      <c r="L58" s="32">
        <f t="shared" si="19"/>
        <v>0.46208961578212465</v>
      </c>
      <c r="M58" s="33">
        <v>100</v>
      </c>
      <c r="N58" s="33">
        <v>100</v>
      </c>
      <c r="O58" s="34">
        <v>158316</v>
      </c>
      <c r="P58" s="53">
        <v>0.223</v>
      </c>
      <c r="Q58" s="53">
        <v>0.223</v>
      </c>
      <c r="R58" s="59">
        <f t="shared" si="21"/>
        <v>2.6058901191003913E-2</v>
      </c>
      <c r="S58" s="59">
        <f t="shared" si="22"/>
        <v>0</v>
      </c>
      <c r="T58" s="59">
        <f t="shared" si="23"/>
        <v>1.2134153358309146E-2</v>
      </c>
      <c r="U58" s="60">
        <f t="shared" si="24"/>
        <v>2.9000000000000137E-3</v>
      </c>
      <c r="V58" s="61">
        <f t="shared" si="25"/>
        <v>2.9000000000000137E-3</v>
      </c>
    </row>
    <row r="59" spans="1:22">
      <c r="A59" s="146">
        <v>51</v>
      </c>
      <c r="B59" s="140" t="s">
        <v>100</v>
      </c>
      <c r="C59" s="140" t="s">
        <v>101</v>
      </c>
      <c r="D59" s="47">
        <v>2041738965.8499999</v>
      </c>
      <c r="E59" s="32">
        <f t="shared" si="20"/>
        <v>1.0017361065420393E-3</v>
      </c>
      <c r="F59" s="33">
        <v>100</v>
      </c>
      <c r="G59" s="33">
        <v>100</v>
      </c>
      <c r="H59" s="34">
        <v>410</v>
      </c>
      <c r="I59" s="53">
        <v>0.21060000000000001</v>
      </c>
      <c r="J59" s="53">
        <v>0.21060000000000001</v>
      </c>
      <c r="K59" s="47">
        <v>2025221490.5599999</v>
      </c>
      <c r="L59" s="32">
        <f t="shared" si="19"/>
        <v>9.9363215610387911E-4</v>
      </c>
      <c r="M59" s="33">
        <v>100</v>
      </c>
      <c r="N59" s="33">
        <v>100</v>
      </c>
      <c r="O59" s="34">
        <v>419</v>
      </c>
      <c r="P59" s="53">
        <v>0.22239999999999999</v>
      </c>
      <c r="Q59" s="53">
        <v>0.22239999999999999</v>
      </c>
      <c r="R59" s="59">
        <f t="shared" si="21"/>
        <v>-8.089905500296677E-3</v>
      </c>
      <c r="S59" s="59">
        <f t="shared" si="22"/>
        <v>0</v>
      </c>
      <c r="T59" s="59">
        <f t="shared" si="23"/>
        <v>2.1951219512195121E-2</v>
      </c>
      <c r="U59" s="60">
        <f t="shared" si="24"/>
        <v>1.1799999999999977E-2</v>
      </c>
      <c r="V59" s="61">
        <f t="shared" si="25"/>
        <v>1.1799999999999977E-2</v>
      </c>
    </row>
    <row r="60" spans="1:22">
      <c r="A60" s="146">
        <v>52</v>
      </c>
      <c r="B60" s="140" t="s">
        <v>102</v>
      </c>
      <c r="C60" s="141" t="s">
        <v>103</v>
      </c>
      <c r="D60" s="47">
        <v>3681696695.7600002</v>
      </c>
      <c r="E60" s="32">
        <f t="shared" si="20"/>
        <v>1.8063467344092729E-3</v>
      </c>
      <c r="F60" s="33">
        <v>1</v>
      </c>
      <c r="G60" s="33">
        <v>1</v>
      </c>
      <c r="H60" s="34">
        <v>416</v>
      </c>
      <c r="I60" s="53">
        <v>0.21832605999999999</v>
      </c>
      <c r="J60" s="53">
        <v>0.21832605999999999</v>
      </c>
      <c r="K60" s="47">
        <v>3692560685.2800002</v>
      </c>
      <c r="L60" s="32">
        <f t="shared" si="19"/>
        <v>1.8116769214436119E-3</v>
      </c>
      <c r="M60" s="33">
        <v>1</v>
      </c>
      <c r="N60" s="33">
        <v>1</v>
      </c>
      <c r="O60" s="34">
        <v>421</v>
      </c>
      <c r="P60" s="53">
        <v>0.21822170159999998</v>
      </c>
      <c r="Q60" s="53">
        <v>0.21822170159999998</v>
      </c>
      <c r="R60" s="59">
        <f t="shared" si="21"/>
        <v>2.9508105685379835E-3</v>
      </c>
      <c r="S60" s="59">
        <f t="shared" si="22"/>
        <v>0</v>
      </c>
      <c r="T60" s="59">
        <f t="shared" si="23"/>
        <v>1.201923076923077E-2</v>
      </c>
      <c r="U60" s="60">
        <f t="shared" si="24"/>
        <v>-1.0435840000000418E-4</v>
      </c>
      <c r="V60" s="61">
        <f t="shared" si="25"/>
        <v>-1.0435840000000418E-4</v>
      </c>
    </row>
    <row r="61" spans="1:22">
      <c r="A61" s="146">
        <v>53</v>
      </c>
      <c r="B61" s="140" t="s">
        <v>104</v>
      </c>
      <c r="C61" s="141" t="s">
        <v>52</v>
      </c>
      <c r="D61" s="47">
        <v>91465233540.679993</v>
      </c>
      <c r="E61" s="32">
        <f t="shared" si="20"/>
        <v>4.4875485291458378E-2</v>
      </c>
      <c r="F61" s="33">
        <v>1</v>
      </c>
      <c r="G61" s="33">
        <v>1</v>
      </c>
      <c r="H61" s="34">
        <v>43884</v>
      </c>
      <c r="I61" s="53">
        <v>0.21160000000000001</v>
      </c>
      <c r="J61" s="53">
        <v>0.21160000000000001</v>
      </c>
      <c r="K61" s="47">
        <v>91465233540.679993</v>
      </c>
      <c r="L61" s="32">
        <f t="shared" si="19"/>
        <v>4.4875485291458378E-2</v>
      </c>
      <c r="M61" s="33">
        <v>1</v>
      </c>
      <c r="N61" s="33">
        <v>1</v>
      </c>
      <c r="O61" s="34">
        <v>43884</v>
      </c>
      <c r="P61" s="53">
        <v>0.21829999999999999</v>
      </c>
      <c r="Q61" s="53">
        <v>0.21829999999999999</v>
      </c>
      <c r="R61" s="59">
        <f t="shared" si="21"/>
        <v>0</v>
      </c>
      <c r="S61" s="59">
        <f t="shared" si="22"/>
        <v>0</v>
      </c>
      <c r="T61" s="59">
        <f t="shared" si="23"/>
        <v>0</v>
      </c>
      <c r="U61" s="60">
        <f t="shared" si="24"/>
        <v>6.6999999999999837E-3</v>
      </c>
      <c r="V61" s="61">
        <f t="shared" si="25"/>
        <v>6.6999999999999837E-3</v>
      </c>
    </row>
    <row r="62" spans="1:22">
      <c r="A62" s="146">
        <v>54</v>
      </c>
      <c r="B62" s="140" t="s">
        <v>105</v>
      </c>
      <c r="C62" s="141" t="s">
        <v>106</v>
      </c>
      <c r="D62" s="47">
        <v>1564419742.8299999</v>
      </c>
      <c r="E62" s="32">
        <f t="shared" si="20"/>
        <v>7.6754950970316885E-4</v>
      </c>
      <c r="F62" s="33">
        <v>1</v>
      </c>
      <c r="G62" s="33">
        <v>1</v>
      </c>
      <c r="H62" s="34">
        <v>148</v>
      </c>
      <c r="I62" s="53">
        <v>0.215</v>
      </c>
      <c r="J62" s="53">
        <v>0.215</v>
      </c>
      <c r="K62" s="47">
        <v>1541691715.6700001</v>
      </c>
      <c r="L62" s="32">
        <f t="shared" si="19"/>
        <v>7.5639848314323758E-4</v>
      </c>
      <c r="M62" s="33">
        <v>1</v>
      </c>
      <c r="N62" s="33">
        <v>1</v>
      </c>
      <c r="O62" s="34">
        <v>148</v>
      </c>
      <c r="P62" s="53">
        <v>0.21560000000000001</v>
      </c>
      <c r="Q62" s="53">
        <v>0.21560000000000001</v>
      </c>
      <c r="R62" s="59">
        <f t="shared" si="21"/>
        <v>-1.4528087659444492E-2</v>
      </c>
      <c r="S62" s="59">
        <f t="shared" si="22"/>
        <v>0</v>
      </c>
      <c r="T62" s="59">
        <f t="shared" si="23"/>
        <v>0</v>
      </c>
      <c r="U62" s="60">
        <f t="shared" si="24"/>
        <v>6.0000000000001719E-4</v>
      </c>
      <c r="V62" s="61">
        <f t="shared" si="25"/>
        <v>6.0000000000001719E-4</v>
      </c>
    </row>
    <row r="63" spans="1:22">
      <c r="A63" s="146">
        <v>55</v>
      </c>
      <c r="B63" s="140" t="s">
        <v>107</v>
      </c>
      <c r="C63" s="141" t="s">
        <v>108</v>
      </c>
      <c r="D63" s="47">
        <v>2868326977.3099999</v>
      </c>
      <c r="E63" s="32">
        <f t="shared" si="20"/>
        <v>1.4072840586376448E-3</v>
      </c>
      <c r="F63" s="33">
        <v>1</v>
      </c>
      <c r="G63" s="33">
        <v>1</v>
      </c>
      <c r="H63" s="34">
        <v>342</v>
      </c>
      <c r="I63" s="53">
        <v>0.1588</v>
      </c>
      <c r="J63" s="53">
        <v>0.1588</v>
      </c>
      <c r="K63" s="47">
        <v>3259166237.0900002</v>
      </c>
      <c r="L63" s="32">
        <f t="shared" si="19"/>
        <v>1.5990410877801025E-3</v>
      </c>
      <c r="M63" s="33">
        <v>1</v>
      </c>
      <c r="N63" s="33">
        <v>1</v>
      </c>
      <c r="O63" s="34">
        <v>342</v>
      </c>
      <c r="P63" s="53">
        <v>0.20200000000000001</v>
      </c>
      <c r="Q63" s="53">
        <v>0.20200000000000001</v>
      </c>
      <c r="R63" s="59">
        <f t="shared" si="21"/>
        <v>0.13626035764811603</v>
      </c>
      <c r="S63" s="59">
        <f t="shared" si="22"/>
        <v>0</v>
      </c>
      <c r="T63" s="59">
        <f t="shared" si="23"/>
        <v>0</v>
      </c>
      <c r="U63" s="60">
        <f t="shared" si="24"/>
        <v>4.3200000000000016E-2</v>
      </c>
      <c r="V63" s="61">
        <f t="shared" si="25"/>
        <v>4.3200000000000016E-2</v>
      </c>
    </row>
    <row r="64" spans="1:22">
      <c r="A64" s="146">
        <v>56</v>
      </c>
      <c r="B64" s="140" t="s">
        <v>109</v>
      </c>
      <c r="C64" s="141" t="s">
        <v>110</v>
      </c>
      <c r="D64" s="47">
        <v>3722458687.8000002</v>
      </c>
      <c r="E64" s="32">
        <f t="shared" si="20"/>
        <v>1.8263457449997614E-3</v>
      </c>
      <c r="F64" s="33">
        <v>1</v>
      </c>
      <c r="G64" s="33">
        <v>1</v>
      </c>
      <c r="H64" s="34">
        <v>2394</v>
      </c>
      <c r="I64" s="53">
        <v>0.23619999999999999</v>
      </c>
      <c r="J64" s="53">
        <v>0.23619999999999999</v>
      </c>
      <c r="K64" s="47">
        <v>3873996808.5100002</v>
      </c>
      <c r="L64" s="32">
        <f t="shared" si="19"/>
        <v>1.9006947237731259E-3</v>
      </c>
      <c r="M64" s="33">
        <v>1</v>
      </c>
      <c r="N64" s="33">
        <v>1</v>
      </c>
      <c r="O64" s="34">
        <v>2498</v>
      </c>
      <c r="P64" s="53">
        <v>0.23330000000000001</v>
      </c>
      <c r="Q64" s="53">
        <v>0.23330000000000001</v>
      </c>
      <c r="R64" s="59">
        <f t="shared" si="21"/>
        <v>4.0709147748677947E-2</v>
      </c>
      <c r="S64" s="59">
        <f t="shared" si="22"/>
        <v>0</v>
      </c>
      <c r="T64" s="59">
        <f t="shared" si="23"/>
        <v>4.3441938178780282E-2</v>
      </c>
      <c r="U64" s="60">
        <f t="shared" si="24"/>
        <v>-2.8999999999999859E-3</v>
      </c>
      <c r="V64" s="61">
        <f t="shared" si="25"/>
        <v>-2.8999999999999859E-3</v>
      </c>
    </row>
    <row r="65" spans="1:22">
      <c r="A65" s="146">
        <v>57</v>
      </c>
      <c r="B65" s="140" t="s">
        <v>111</v>
      </c>
      <c r="C65" s="141" t="s">
        <v>112</v>
      </c>
      <c r="D65" s="47">
        <v>63878205395.360001</v>
      </c>
      <c r="E65" s="32">
        <f t="shared" si="20"/>
        <v>3.1340492509531546E-2</v>
      </c>
      <c r="F65" s="33">
        <v>1</v>
      </c>
      <c r="G65" s="33">
        <v>1</v>
      </c>
      <c r="H65" s="34">
        <v>4605</v>
      </c>
      <c r="I65" s="53">
        <v>0.22140000000000001</v>
      </c>
      <c r="J65" s="53">
        <v>0.22140000000000001</v>
      </c>
      <c r="K65" s="47">
        <v>68288357092.18</v>
      </c>
      <c r="L65" s="32">
        <f t="shared" si="19"/>
        <v>3.3504240306837775E-2</v>
      </c>
      <c r="M65" s="33">
        <v>1</v>
      </c>
      <c r="N65" s="33">
        <v>1</v>
      </c>
      <c r="O65" s="34">
        <v>4698</v>
      </c>
      <c r="P65" s="53">
        <v>0.22109999999999999</v>
      </c>
      <c r="Q65" s="53">
        <v>0.22109999999999999</v>
      </c>
      <c r="R65" s="59">
        <f t="shared" si="21"/>
        <v>6.9040006204375073E-2</v>
      </c>
      <c r="S65" s="59">
        <f t="shared" si="22"/>
        <v>0</v>
      </c>
      <c r="T65" s="59">
        <f t="shared" si="23"/>
        <v>2.0195439739413682E-2</v>
      </c>
      <c r="U65" s="60">
        <f t="shared" si="24"/>
        <v>-3.0000000000002247E-4</v>
      </c>
      <c r="V65" s="61">
        <f t="shared" si="25"/>
        <v>-3.0000000000002247E-4</v>
      </c>
    </row>
    <row r="66" spans="1:22">
      <c r="A66" s="38"/>
      <c r="B66" s="39"/>
      <c r="C66" s="40" t="s">
        <v>53</v>
      </c>
      <c r="D66" s="51">
        <f>SUM(D28:D65)</f>
        <v>1986545662853.3892</v>
      </c>
      <c r="E66" s="42">
        <f>(D66/$D$214)</f>
        <v>0.47395796892923064</v>
      </c>
      <c r="F66" s="43"/>
      <c r="G66" s="48"/>
      <c r="H66" s="45">
        <f>SUM(H28:H65)</f>
        <v>371332</v>
      </c>
      <c r="I66" s="58"/>
      <c r="J66" s="58"/>
      <c r="K66" s="51">
        <f>SUM(K28:K65)</f>
        <v>2038200432744.7246</v>
      </c>
      <c r="L66" s="42">
        <f>(K66/$K$214)</f>
        <v>0.47738043121284729</v>
      </c>
      <c r="M66" s="43"/>
      <c r="N66" s="48"/>
      <c r="O66" s="45">
        <f>SUM(O28:O65)</f>
        <v>377111</v>
      </c>
      <c r="P66" s="58"/>
      <c r="Q66" s="58"/>
      <c r="R66" s="59">
        <f t="shared" si="21"/>
        <v>2.6002306847123135E-2</v>
      </c>
      <c r="S66" s="59" t="e">
        <f t="shared" si="22"/>
        <v>#DIV/0!</v>
      </c>
      <c r="T66" s="59">
        <f t="shared" si="23"/>
        <v>1.5562892505897687E-2</v>
      </c>
      <c r="U66" s="60">
        <f t="shared" si="24"/>
        <v>0</v>
      </c>
      <c r="V66" s="61">
        <f t="shared" si="25"/>
        <v>0</v>
      </c>
    </row>
    <row r="67" spans="1:22" ht="3" customHeight="1">
      <c r="A67" s="38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</row>
    <row r="68" spans="1:22" ht="15" customHeight="1">
      <c r="A68" s="186" t="s">
        <v>113</v>
      </c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</row>
    <row r="69" spans="1:22">
      <c r="A69" s="146">
        <v>58</v>
      </c>
      <c r="B69" s="140" t="s">
        <v>114</v>
      </c>
      <c r="C69" s="141" t="s">
        <v>21</v>
      </c>
      <c r="D69" s="31">
        <v>507907989.25999999</v>
      </c>
      <c r="E69" s="32">
        <f>(D69/$D$106)</f>
        <v>2.6340544827266007E-3</v>
      </c>
      <c r="F69" s="63">
        <v>1.3293999999999999</v>
      </c>
      <c r="G69" s="63">
        <v>1.3293999999999999</v>
      </c>
      <c r="H69" s="34">
        <v>467</v>
      </c>
      <c r="I69" s="53">
        <v>6.8919999999999997E-3</v>
      </c>
      <c r="J69" s="53">
        <v>1.9699999999999999E-2</v>
      </c>
      <c r="K69" s="31">
        <v>509332299.92000002</v>
      </c>
      <c r="L69" s="32">
        <f t="shared" ref="L69:L91" si="35">(K69/$K$106)</f>
        <v>2.6366991909036815E-3</v>
      </c>
      <c r="M69" s="63">
        <v>1.3331999999999999</v>
      </c>
      <c r="N69" s="63">
        <v>1.3331999999999999</v>
      </c>
      <c r="O69" s="34">
        <v>468</v>
      </c>
      <c r="P69" s="53">
        <v>4.4999999999999999E-4</v>
      </c>
      <c r="Q69" s="53">
        <v>2.2599999999999999E-2</v>
      </c>
      <c r="R69" s="59">
        <f>((K69-D69)/D69)</f>
        <v>2.8042690607706041E-3</v>
      </c>
      <c r="S69" s="59">
        <f>((N69-G69)/G69)</f>
        <v>2.8584323755077674E-3</v>
      </c>
      <c r="T69" s="59">
        <f>((O69-H69)/H69)</f>
        <v>2.1413276231263384E-3</v>
      </c>
      <c r="U69" s="60">
        <f>P69-I69</f>
        <v>-6.4419999999999998E-3</v>
      </c>
      <c r="V69" s="61">
        <f>Q69-J69</f>
        <v>2.8999999999999998E-3</v>
      </c>
    </row>
    <row r="70" spans="1:22">
      <c r="A70" s="146">
        <v>59</v>
      </c>
      <c r="B70" s="140" t="s">
        <v>115</v>
      </c>
      <c r="C70" s="141" t="s">
        <v>23</v>
      </c>
      <c r="D70" s="31">
        <v>1303648795.0799999</v>
      </c>
      <c r="E70" s="32">
        <f>(D70/$D$106)</f>
        <v>6.7608346889455762E-3</v>
      </c>
      <c r="F70" s="63">
        <v>1.1967000000000001</v>
      </c>
      <c r="G70" s="63">
        <v>1.1967000000000001</v>
      </c>
      <c r="H70" s="34">
        <v>852</v>
      </c>
      <c r="I70" s="53">
        <v>0.21</v>
      </c>
      <c r="J70" s="53">
        <v>0.126</v>
      </c>
      <c r="K70" s="31">
        <v>1310866526.8699999</v>
      </c>
      <c r="L70" s="32">
        <f t="shared" si="35"/>
        <v>6.7860622845315969E-3</v>
      </c>
      <c r="M70" s="63">
        <v>1.2030000000000001</v>
      </c>
      <c r="N70" s="63">
        <v>1.2030000000000001</v>
      </c>
      <c r="O70" s="34">
        <v>859</v>
      </c>
      <c r="P70" s="53">
        <v>0.27450000000000002</v>
      </c>
      <c r="Q70" s="53">
        <v>0.1497</v>
      </c>
      <c r="R70" s="59">
        <f t="shared" ref="R70:R106" si="36">((K70-D70)/D70)</f>
        <v>5.5365615472816338E-3</v>
      </c>
      <c r="S70" s="59">
        <f t="shared" ref="S70:S106" si="37">((N70-G70)/G70)</f>
        <v>5.2644773126096526E-3</v>
      </c>
      <c r="T70" s="59">
        <f t="shared" ref="T70:T106" si="38">((O70-H70)/H70)</f>
        <v>8.2159624413145546E-3</v>
      </c>
      <c r="U70" s="60">
        <f t="shared" ref="U70:U106" si="39">P70-I70</f>
        <v>6.450000000000003E-2</v>
      </c>
      <c r="V70" s="61">
        <f t="shared" ref="V70:V106" si="40">Q70-J70</f>
        <v>2.3699999999999999E-2</v>
      </c>
    </row>
    <row r="71" spans="1:22">
      <c r="A71" s="146">
        <v>60</v>
      </c>
      <c r="B71" s="140" t="s">
        <v>116</v>
      </c>
      <c r="C71" s="141" t="s">
        <v>23</v>
      </c>
      <c r="D71" s="31">
        <v>839702978.05999994</v>
      </c>
      <c r="E71" s="32">
        <f>(D71/$D$106)</f>
        <v>4.3547718096349506E-3</v>
      </c>
      <c r="F71" s="63">
        <v>1.0868</v>
      </c>
      <c r="G71" s="63">
        <v>1.0868</v>
      </c>
      <c r="H71" s="34">
        <v>216</v>
      </c>
      <c r="I71" s="53">
        <v>0.1154</v>
      </c>
      <c r="J71" s="53">
        <v>0.1217</v>
      </c>
      <c r="K71" s="31">
        <v>843160026.01999998</v>
      </c>
      <c r="L71" s="32">
        <f t="shared" si="35"/>
        <v>4.36485052834554E-3</v>
      </c>
      <c r="M71" s="63">
        <v>1.0892999999999999</v>
      </c>
      <c r="N71" s="63">
        <v>1.0892999999999999</v>
      </c>
      <c r="O71" s="34">
        <v>220</v>
      </c>
      <c r="P71" s="53">
        <v>0.1217</v>
      </c>
      <c r="Q71" s="53">
        <v>0.11990000000000001</v>
      </c>
      <c r="R71" s="59">
        <f t="shared" si="36"/>
        <v>4.1169890429434905E-3</v>
      </c>
      <c r="S71" s="59">
        <f t="shared" si="37"/>
        <v>2.3003312476996196E-3</v>
      </c>
      <c r="T71" s="59">
        <f t="shared" si="38"/>
        <v>1.8518518518518517E-2</v>
      </c>
      <c r="U71" s="60">
        <f t="shared" si="39"/>
        <v>6.3E-3</v>
      </c>
      <c r="V71" s="61">
        <f t="shared" si="40"/>
        <v>-1.799999999999996E-3</v>
      </c>
    </row>
    <row r="72" spans="1:22">
      <c r="A72" s="146">
        <v>61</v>
      </c>
      <c r="B72" s="140" t="s">
        <v>117</v>
      </c>
      <c r="C72" s="141" t="s">
        <v>118</v>
      </c>
      <c r="D72" s="31">
        <v>277305982.01999998</v>
      </c>
      <c r="E72" s="32">
        <f>(D72/$D$106)</f>
        <v>1.4381326548749533E-3</v>
      </c>
      <c r="F72" s="37">
        <v>1106.1300000000001</v>
      </c>
      <c r="G72" s="37">
        <v>1106.1300000000001</v>
      </c>
      <c r="H72" s="34">
        <v>111</v>
      </c>
      <c r="I72" s="53">
        <v>3.2100000000000002E-3</v>
      </c>
      <c r="J72" s="53">
        <v>-8.7880000000000007E-3</v>
      </c>
      <c r="K72" s="31">
        <v>278036011.57999998</v>
      </c>
      <c r="L72" s="32">
        <f t="shared" si="35"/>
        <v>1.4393301325877409E-3</v>
      </c>
      <c r="M72" s="37">
        <v>1109.04</v>
      </c>
      <c r="N72" s="37">
        <v>1109.04</v>
      </c>
      <c r="O72" s="34">
        <v>111</v>
      </c>
      <c r="P72" s="53">
        <v>1.8339999999999999E-3</v>
      </c>
      <c r="Q72" s="53">
        <v>-3.4150000000000001E-3</v>
      </c>
      <c r="R72" s="59">
        <f t="shared" si="36"/>
        <v>2.6325777564630785E-3</v>
      </c>
      <c r="S72" s="59">
        <f t="shared" si="37"/>
        <v>2.6307938488241474E-3</v>
      </c>
      <c r="T72" s="59">
        <f t="shared" si="38"/>
        <v>0</v>
      </c>
      <c r="U72" s="60">
        <f t="shared" si="39"/>
        <v>-1.3760000000000003E-3</v>
      </c>
      <c r="V72" s="61">
        <f t="shared" si="40"/>
        <v>5.373000000000001E-3</v>
      </c>
    </row>
    <row r="73" spans="1:22" ht="15" customHeight="1">
      <c r="A73" s="146">
        <v>62</v>
      </c>
      <c r="B73" s="140" t="s">
        <v>119</v>
      </c>
      <c r="C73" s="141" t="s">
        <v>27</v>
      </c>
      <c r="D73" s="31">
        <v>1615439413.6600001</v>
      </c>
      <c r="E73" s="32">
        <f>(D73/$K$106)</f>
        <v>8.3627678739798383E-3</v>
      </c>
      <c r="F73" s="37">
        <v>1.0505</v>
      </c>
      <c r="G73" s="37">
        <v>1.0482</v>
      </c>
      <c r="H73" s="34">
        <v>875</v>
      </c>
      <c r="I73" s="53">
        <v>1.0500000000000001E-2</v>
      </c>
      <c r="J73" s="53">
        <v>6.1699999999999998E-2</v>
      </c>
      <c r="K73" s="31">
        <v>1648171474.74</v>
      </c>
      <c r="L73" s="32">
        <f t="shared" si="35"/>
        <v>8.5322144199377545E-3</v>
      </c>
      <c r="M73" s="37">
        <v>1.0559000000000001</v>
      </c>
      <c r="N73" s="37">
        <v>1.0559000000000001</v>
      </c>
      <c r="O73" s="34">
        <v>889</v>
      </c>
      <c r="P73" s="53">
        <v>8.0999999999999996E-3</v>
      </c>
      <c r="Q73" s="53">
        <v>1.1299999999999999E-2</v>
      </c>
      <c r="R73" s="59">
        <f t="shared" si="36"/>
        <v>2.0262017134917452E-2</v>
      </c>
      <c r="S73" s="59">
        <f t="shared" si="37"/>
        <v>7.3459263499332569E-3</v>
      </c>
      <c r="T73" s="59">
        <f t="shared" si="38"/>
        <v>1.6E-2</v>
      </c>
      <c r="U73" s="60">
        <f t="shared" si="39"/>
        <v>-2.4000000000000011E-3</v>
      </c>
      <c r="V73" s="61">
        <f t="shared" si="40"/>
        <v>-5.04E-2</v>
      </c>
    </row>
    <row r="74" spans="1:22">
      <c r="A74" s="146">
        <v>63</v>
      </c>
      <c r="B74" s="140" t="s">
        <v>120</v>
      </c>
      <c r="C74" s="141" t="s">
        <v>121</v>
      </c>
      <c r="D74" s="31">
        <v>433892695.90756583</v>
      </c>
      <c r="E74" s="32">
        <f t="shared" ref="E74:E91" si="41">(D74/$D$106)</f>
        <v>2.2502048104082887E-3</v>
      </c>
      <c r="F74" s="37">
        <v>2.4967999999999999</v>
      </c>
      <c r="G74" s="37">
        <v>2.4967999999999999</v>
      </c>
      <c r="H74" s="34">
        <v>1390</v>
      </c>
      <c r="I74" s="53">
        <v>0.1361</v>
      </c>
      <c r="J74" s="53">
        <v>0.13220000000000001</v>
      </c>
      <c r="K74" s="31">
        <v>435020192.02626574</v>
      </c>
      <c r="L74" s="32">
        <f t="shared" si="35"/>
        <v>2.2520020594071475E-3</v>
      </c>
      <c r="M74" s="37">
        <v>2.5032999999999999</v>
      </c>
      <c r="N74" s="37">
        <v>2.5032999999999999</v>
      </c>
      <c r="O74" s="34">
        <v>1390</v>
      </c>
      <c r="P74" s="53">
        <v>0.13569999999999999</v>
      </c>
      <c r="Q74" s="53">
        <v>0.1331</v>
      </c>
      <c r="R74" s="59">
        <f t="shared" si="36"/>
        <v>2.5985598036895831E-3</v>
      </c>
      <c r="S74" s="59">
        <f t="shared" si="37"/>
        <v>2.6033322652995634E-3</v>
      </c>
      <c r="T74" s="59">
        <f t="shared" si="38"/>
        <v>0</v>
      </c>
      <c r="U74" s="60">
        <f t="shared" si="39"/>
        <v>-4.0000000000001146E-4</v>
      </c>
      <c r="V74" s="61">
        <f t="shared" si="40"/>
        <v>8.9999999999998415E-4</v>
      </c>
    </row>
    <row r="75" spans="1:22">
      <c r="A75" s="146">
        <v>64</v>
      </c>
      <c r="B75" s="140" t="s">
        <v>122</v>
      </c>
      <c r="C75" s="141" t="s">
        <v>63</v>
      </c>
      <c r="D75" s="31">
        <v>145930397.13</v>
      </c>
      <c r="E75" s="32">
        <f t="shared" si="41"/>
        <v>7.5680758100770795E-4</v>
      </c>
      <c r="F75" s="37">
        <v>11.19</v>
      </c>
      <c r="G75" s="37">
        <v>11.24</v>
      </c>
      <c r="H75" s="34">
        <v>29</v>
      </c>
      <c r="I75" s="53">
        <v>0.43180000000000002</v>
      </c>
      <c r="J75" s="53">
        <v>0.28100000000000003</v>
      </c>
      <c r="K75" s="31">
        <v>146413377.09999999</v>
      </c>
      <c r="L75" s="32"/>
      <c r="M75" s="37">
        <v>11.22</v>
      </c>
      <c r="N75" s="37">
        <v>11.27</v>
      </c>
      <c r="O75" s="34">
        <v>29</v>
      </c>
      <c r="P75" s="53">
        <v>0.1681</v>
      </c>
      <c r="Q75" s="53">
        <v>0.26140000000000002</v>
      </c>
      <c r="R75" s="59">
        <f t="shared" si="36"/>
        <v>3.3096598069951326E-3</v>
      </c>
      <c r="S75" s="59">
        <f t="shared" si="37"/>
        <v>2.6690391459074166E-3</v>
      </c>
      <c r="T75" s="59">
        <f t="shared" si="38"/>
        <v>0</v>
      </c>
      <c r="U75" s="60">
        <f t="shared" si="39"/>
        <v>-0.26370000000000005</v>
      </c>
      <c r="V75" s="61">
        <f t="shared" si="40"/>
        <v>-1.9600000000000006E-2</v>
      </c>
    </row>
    <row r="76" spans="1:22">
      <c r="A76" s="146">
        <v>65</v>
      </c>
      <c r="B76" s="140" t="s">
        <v>123</v>
      </c>
      <c r="C76" s="141" t="s">
        <v>65</v>
      </c>
      <c r="D76" s="31">
        <v>2014315851.5551</v>
      </c>
      <c r="E76" s="32">
        <f t="shared" si="41"/>
        <v>1.0446415119687934E-2</v>
      </c>
      <c r="F76" s="31">
        <v>4431.0901554594002</v>
      </c>
      <c r="G76" s="31">
        <v>4431.0901554594002</v>
      </c>
      <c r="H76" s="34">
        <v>1062</v>
      </c>
      <c r="I76" s="53">
        <v>9.6647951405073679E-2</v>
      </c>
      <c r="J76" s="53">
        <v>0.10255139593207248</v>
      </c>
      <c r="K76" s="31">
        <v>2017774767.2774701</v>
      </c>
      <c r="L76" s="32">
        <f t="shared" si="35"/>
        <v>1.0445567848616739E-2</v>
      </c>
      <c r="M76" s="31">
        <v>4439.3124159926501</v>
      </c>
      <c r="N76" s="31">
        <v>4439.3124159926501</v>
      </c>
      <c r="O76" s="34">
        <v>1064</v>
      </c>
      <c r="P76" s="53">
        <v>9.6755457762098804E-2</v>
      </c>
      <c r="Q76" s="53">
        <v>0.10181049719881377</v>
      </c>
      <c r="R76" s="59">
        <f t="shared" si="36"/>
        <v>1.7171665107534066E-3</v>
      </c>
      <c r="S76" s="59">
        <f t="shared" si="37"/>
        <v>1.8555841214649088E-3</v>
      </c>
      <c r="T76" s="59">
        <f t="shared" si="38"/>
        <v>1.8832391713747645E-3</v>
      </c>
      <c r="U76" s="60">
        <f t="shared" si="39"/>
        <v>1.0750635702512501E-4</v>
      </c>
      <c r="V76" s="61">
        <f t="shared" si="40"/>
        <v>-7.4089873325870748E-4</v>
      </c>
    </row>
    <row r="77" spans="1:22">
      <c r="A77" s="146">
        <v>66</v>
      </c>
      <c r="B77" s="140" t="s">
        <v>124</v>
      </c>
      <c r="C77" s="141" t="s">
        <v>67</v>
      </c>
      <c r="D77" s="31">
        <v>365551143.86000001</v>
      </c>
      <c r="E77" s="32">
        <f t="shared" si="41"/>
        <v>1.8957796481074189E-3</v>
      </c>
      <c r="F77" s="63">
        <v>111.31</v>
      </c>
      <c r="G77" s="63">
        <v>111.31</v>
      </c>
      <c r="H77" s="34">
        <v>136</v>
      </c>
      <c r="I77" s="53">
        <v>2.5000000000000001E-3</v>
      </c>
      <c r="J77" s="53">
        <v>0.13220000000000001</v>
      </c>
      <c r="K77" s="31">
        <v>366570402.81</v>
      </c>
      <c r="L77" s="32">
        <f t="shared" si="35"/>
        <v>1.8976528381376477E-3</v>
      </c>
      <c r="M77" s="63">
        <v>111.57</v>
      </c>
      <c r="N77" s="63">
        <v>111.57</v>
      </c>
      <c r="O77" s="34">
        <v>136</v>
      </c>
      <c r="P77" s="53">
        <v>2.3E-3</v>
      </c>
      <c r="Q77" s="53">
        <v>0.13200000000000001</v>
      </c>
      <c r="R77" s="59">
        <f t="shared" si="36"/>
        <v>2.7882800180495325E-3</v>
      </c>
      <c r="S77" s="59">
        <f t="shared" si="37"/>
        <v>2.335818884197205E-3</v>
      </c>
      <c r="T77" s="59">
        <f t="shared" si="38"/>
        <v>0</v>
      </c>
      <c r="U77" s="60">
        <f t="shared" si="39"/>
        <v>-2.0000000000000009E-4</v>
      </c>
      <c r="V77" s="61">
        <f t="shared" si="40"/>
        <v>-2.0000000000000573E-4</v>
      </c>
    </row>
    <row r="78" spans="1:22" ht="13.5" customHeight="1">
      <c r="A78" s="175">
        <v>67</v>
      </c>
      <c r="B78" s="176" t="s">
        <v>125</v>
      </c>
      <c r="C78" s="177" t="s">
        <v>305</v>
      </c>
      <c r="D78" s="31">
        <v>356711788.06</v>
      </c>
      <c r="E78" s="32">
        <f t="shared" si="41"/>
        <v>1.849937989260256E-3</v>
      </c>
      <c r="F78" s="63">
        <v>1.3717999999999999</v>
      </c>
      <c r="G78" s="63">
        <v>1.3717999999999999</v>
      </c>
      <c r="H78" s="34">
        <v>383</v>
      </c>
      <c r="I78" s="53">
        <v>-3.7129596572653689E-3</v>
      </c>
      <c r="J78" s="53">
        <v>6.3095255082151858E-2</v>
      </c>
      <c r="K78" s="31">
        <v>358963076.95999998</v>
      </c>
      <c r="L78" s="32">
        <f t="shared" si="35"/>
        <v>1.8582714167811262E-3</v>
      </c>
      <c r="M78" s="63">
        <v>1.3797999999999999</v>
      </c>
      <c r="N78" s="63">
        <v>1.3797999999999999</v>
      </c>
      <c r="O78" s="34">
        <v>385</v>
      </c>
      <c r="P78" s="53">
        <v>-3.7129596572653689E-3</v>
      </c>
      <c r="Q78" s="53">
        <v>6.3095255082151858E-2</v>
      </c>
      <c r="R78" s="59">
        <f t="shared" si="36"/>
        <v>6.3112265289682621E-3</v>
      </c>
      <c r="S78" s="59">
        <f t="shared" si="37"/>
        <v>5.8317538999854259E-3</v>
      </c>
      <c r="T78" s="59">
        <f t="shared" si="38"/>
        <v>5.2219321148825066E-3</v>
      </c>
      <c r="U78" s="60">
        <f t="shared" si="39"/>
        <v>0</v>
      </c>
      <c r="V78" s="61">
        <f t="shared" si="40"/>
        <v>0</v>
      </c>
    </row>
    <row r="79" spans="1:22" ht="13.5" customHeight="1">
      <c r="A79" s="175">
        <v>68</v>
      </c>
      <c r="B79" s="176" t="s">
        <v>303</v>
      </c>
      <c r="C79" s="177" t="s">
        <v>305</v>
      </c>
      <c r="D79" s="31">
        <v>24860494.390000001</v>
      </c>
      <c r="E79" s="32">
        <f t="shared" ref="E79" si="42">(D79/$D$106)</f>
        <v>1.2892866045715527E-4</v>
      </c>
      <c r="F79" s="63">
        <v>0.89290000000000003</v>
      </c>
      <c r="G79" s="63">
        <v>0.89290000000000003</v>
      </c>
      <c r="H79" s="34">
        <v>1</v>
      </c>
      <c r="I79" s="53">
        <v>-2.2393908856788158E-4</v>
      </c>
      <c r="J79" s="53">
        <v>-8.5611879160266247E-2</v>
      </c>
      <c r="K79" s="31">
        <v>24939675.449999999</v>
      </c>
      <c r="L79" s="32">
        <f t="shared" ref="L79" si="43">(K79/$K$106)</f>
        <v>1.2910711158656927E-4</v>
      </c>
      <c r="M79" s="63">
        <v>0.89270000000000005</v>
      </c>
      <c r="N79" s="63">
        <v>0.89270000000000005</v>
      </c>
      <c r="O79" s="34">
        <v>1</v>
      </c>
      <c r="P79" s="53">
        <v>-2.2393908856788158E-4</v>
      </c>
      <c r="Q79" s="53">
        <v>-8.5816692268305128E-2</v>
      </c>
      <c r="R79" s="59">
        <f t="shared" ref="R79" si="44">((K79-D79)/D79)</f>
        <v>3.1850155012142002E-3</v>
      </c>
      <c r="S79" s="59">
        <f t="shared" ref="S79" si="45">((N79-G79)/G79)</f>
        <v>-2.2398924851604654E-4</v>
      </c>
      <c r="T79" s="59">
        <f t="shared" ref="T79" si="46">((O79-H79)/H79)</f>
        <v>0</v>
      </c>
      <c r="U79" s="60">
        <f t="shared" ref="U79" si="47">P79-I79</f>
        <v>0</v>
      </c>
      <c r="V79" s="61">
        <f t="shared" ref="V79" si="48">Q79-J79</f>
        <v>-2.0481310803888153E-4</v>
      </c>
    </row>
    <row r="80" spans="1:22">
      <c r="A80" s="146">
        <v>69</v>
      </c>
      <c r="B80" s="140" t="s">
        <v>127</v>
      </c>
      <c r="C80" s="141" t="s">
        <v>29</v>
      </c>
      <c r="D80" s="31">
        <v>122107610.63</v>
      </c>
      <c r="E80" s="32">
        <f t="shared" si="41"/>
        <v>6.3326056285036708E-4</v>
      </c>
      <c r="F80" s="63">
        <v>132.44409999999999</v>
      </c>
      <c r="G80" s="63">
        <v>132.44409999999999</v>
      </c>
      <c r="H80" s="34">
        <v>183</v>
      </c>
      <c r="I80" s="53">
        <v>5.3300000000000005E-4</v>
      </c>
      <c r="J80" s="53">
        <v>1.29E-2</v>
      </c>
      <c r="K80" s="31">
        <v>125674839.75</v>
      </c>
      <c r="L80" s="32">
        <f t="shared" si="35"/>
        <v>6.5059048549998119E-4</v>
      </c>
      <c r="M80" s="63">
        <v>132.75829999999999</v>
      </c>
      <c r="N80" s="63">
        <v>132.75829999999999</v>
      </c>
      <c r="O80" s="34">
        <v>188</v>
      </c>
      <c r="P80" s="53">
        <v>1.7489000000000001E-2</v>
      </c>
      <c r="Q80" s="53">
        <v>1.5299999999999999E-2</v>
      </c>
      <c r="R80" s="59">
        <f t="shared" si="36"/>
        <v>2.921381477858179E-2</v>
      </c>
      <c r="S80" s="59">
        <f t="shared" si="37"/>
        <v>2.3723216058699451E-3</v>
      </c>
      <c r="T80" s="59">
        <f t="shared" si="38"/>
        <v>2.7322404371584699E-2</v>
      </c>
      <c r="U80" s="60">
        <f t="shared" si="39"/>
        <v>1.6956000000000002E-2</v>
      </c>
      <c r="V80" s="61">
        <f t="shared" si="40"/>
        <v>2.3999999999999994E-3</v>
      </c>
    </row>
    <row r="81" spans="1:22">
      <c r="A81" s="146">
        <v>70</v>
      </c>
      <c r="B81" s="140" t="s">
        <v>128</v>
      </c>
      <c r="C81" s="141" t="s">
        <v>98</v>
      </c>
      <c r="D81" s="31">
        <v>1540444745.1700003</v>
      </c>
      <c r="E81" s="32">
        <f t="shared" si="41"/>
        <v>7.9888788367346725E-3</v>
      </c>
      <c r="F81" s="37">
        <v>1000</v>
      </c>
      <c r="G81" s="37">
        <v>1000</v>
      </c>
      <c r="H81" s="34">
        <v>336</v>
      </c>
      <c r="I81" s="53">
        <v>1.12E-2</v>
      </c>
      <c r="J81" s="53">
        <v>0.217</v>
      </c>
      <c r="K81" s="31">
        <v>1541620584.7900004</v>
      </c>
      <c r="L81" s="32">
        <f t="shared" si="35"/>
        <v>7.9806243374604437E-3</v>
      </c>
      <c r="M81" s="37">
        <v>1000</v>
      </c>
      <c r="N81" s="37">
        <v>1000</v>
      </c>
      <c r="O81" s="34">
        <v>337</v>
      </c>
      <c r="P81" s="53">
        <v>1.0200000000000001E-2</v>
      </c>
      <c r="Q81" s="53">
        <v>0.20399999999999999</v>
      </c>
      <c r="R81" s="59">
        <f t="shared" si="36"/>
        <v>7.6331177972265452E-4</v>
      </c>
      <c r="S81" s="59">
        <f t="shared" si="37"/>
        <v>0</v>
      </c>
      <c r="T81" s="59">
        <f t="shared" si="38"/>
        <v>2.976190476190476E-3</v>
      </c>
      <c r="U81" s="60">
        <f t="shared" si="39"/>
        <v>-9.9999999999999915E-4</v>
      </c>
      <c r="V81" s="61">
        <f t="shared" si="40"/>
        <v>-1.3000000000000012E-2</v>
      </c>
    </row>
    <row r="82" spans="1:22">
      <c r="A82" s="146">
        <v>71</v>
      </c>
      <c r="B82" s="140" t="s">
        <v>129</v>
      </c>
      <c r="C82" s="141" t="s">
        <v>72</v>
      </c>
      <c r="D82" s="31">
        <v>190991623.66</v>
      </c>
      <c r="E82" s="32">
        <f t="shared" si="41"/>
        <v>9.904989744261045E-4</v>
      </c>
      <c r="F82" s="37">
        <v>1025.6600000000001</v>
      </c>
      <c r="G82" s="37">
        <v>1029.1300000000001</v>
      </c>
      <c r="H82" s="34">
        <v>73</v>
      </c>
      <c r="I82" s="53">
        <v>3.5000000000000001E-3</v>
      </c>
      <c r="J82" s="53">
        <v>1.6400000000000001E-2</v>
      </c>
      <c r="K82" s="31">
        <v>191735824.44999999</v>
      </c>
      <c r="L82" s="32">
        <f t="shared" si="35"/>
        <v>9.9257340104676487E-4</v>
      </c>
      <c r="M82" s="37">
        <v>1028.83</v>
      </c>
      <c r="N82" s="37">
        <v>1032.94</v>
      </c>
      <c r="O82" s="34">
        <v>73</v>
      </c>
      <c r="P82" s="53">
        <v>3.5000000000000001E-3</v>
      </c>
      <c r="Q82" s="53">
        <v>1.9900000000000001E-2</v>
      </c>
      <c r="R82" s="59">
        <f t="shared" si="36"/>
        <v>3.8965100968239587E-3</v>
      </c>
      <c r="S82" s="59">
        <f t="shared" si="37"/>
        <v>3.7021561901800014E-3</v>
      </c>
      <c r="T82" s="59">
        <f t="shared" si="38"/>
        <v>0</v>
      </c>
      <c r="U82" s="60">
        <f t="shared" si="39"/>
        <v>0</v>
      </c>
      <c r="V82" s="61">
        <f t="shared" si="40"/>
        <v>3.4999999999999996E-3</v>
      </c>
    </row>
    <row r="83" spans="1:22">
      <c r="A83" s="146">
        <v>72</v>
      </c>
      <c r="B83" s="140" t="s">
        <v>130</v>
      </c>
      <c r="C83" s="141" t="s">
        <v>75</v>
      </c>
      <c r="D83" s="31">
        <v>624957299.34000003</v>
      </c>
      <c r="E83" s="32">
        <f t="shared" si="41"/>
        <v>3.2410822642062352E-3</v>
      </c>
      <c r="F83" s="64">
        <v>1.1432</v>
      </c>
      <c r="G83" s="64">
        <v>1.1432</v>
      </c>
      <c r="H83" s="34">
        <v>47</v>
      </c>
      <c r="I83" s="53">
        <v>1.6999999999999999E-3</v>
      </c>
      <c r="J83" s="53">
        <v>-1.3299999999999999E-2</v>
      </c>
      <c r="K83" s="31">
        <v>626048294.24000001</v>
      </c>
      <c r="L83" s="32">
        <f t="shared" si="35"/>
        <v>3.2409117410156607E-3</v>
      </c>
      <c r="M83" s="64">
        <v>1.1458999999999999</v>
      </c>
      <c r="N83" s="64">
        <v>1.1458999999999999</v>
      </c>
      <c r="O83" s="34">
        <v>46</v>
      </c>
      <c r="P83" s="53">
        <v>1.6999999999999999E-3</v>
      </c>
      <c r="Q83" s="53">
        <v>7.7999999999999996E-3</v>
      </c>
      <c r="R83" s="59">
        <f t="shared" si="36"/>
        <v>1.7457111088263876E-3</v>
      </c>
      <c r="S83" s="59">
        <f t="shared" si="37"/>
        <v>2.3617914625611658E-3</v>
      </c>
      <c r="T83" s="59">
        <f t="shared" si="38"/>
        <v>-2.1276595744680851E-2</v>
      </c>
      <c r="U83" s="60">
        <f t="shared" si="39"/>
        <v>0</v>
      </c>
      <c r="V83" s="61">
        <f t="shared" si="40"/>
        <v>2.1100000000000001E-2</v>
      </c>
    </row>
    <row r="84" spans="1:22">
      <c r="A84" s="146">
        <v>73</v>
      </c>
      <c r="B84" s="140" t="s">
        <v>131</v>
      </c>
      <c r="C84" s="141" t="s">
        <v>31</v>
      </c>
      <c r="D84" s="31">
        <v>13175120235.98</v>
      </c>
      <c r="E84" s="32">
        <f t="shared" si="41"/>
        <v>6.8327305834679372E-2</v>
      </c>
      <c r="F84" s="64">
        <v>1698.14</v>
      </c>
      <c r="G84" s="64">
        <v>1698.14</v>
      </c>
      <c r="H84" s="34">
        <v>2161</v>
      </c>
      <c r="I84" s="53">
        <v>5.0000000000000001E-4</v>
      </c>
      <c r="J84" s="53">
        <v>3.0000000000000001E-3</v>
      </c>
      <c r="K84" s="31">
        <v>13124307654.469999</v>
      </c>
      <c r="L84" s="32">
        <f t="shared" si="35"/>
        <v>6.7941599971467287E-2</v>
      </c>
      <c r="M84" s="64">
        <v>1698.99</v>
      </c>
      <c r="N84" s="64">
        <v>1698.99</v>
      </c>
      <c r="O84" s="34">
        <v>2158</v>
      </c>
      <c r="P84" s="53">
        <v>5.0000000000000001E-4</v>
      </c>
      <c r="Q84" s="53">
        <v>3.5000000000000001E-3</v>
      </c>
      <c r="R84" s="59">
        <f t="shared" si="36"/>
        <v>-3.8567072330190889E-3</v>
      </c>
      <c r="S84" s="59">
        <f t="shared" si="37"/>
        <v>5.0054765802578648E-4</v>
      </c>
      <c r="T84" s="59">
        <f t="shared" si="38"/>
        <v>-1.3882461823229986E-3</v>
      </c>
      <c r="U84" s="60">
        <f t="shared" si="39"/>
        <v>0</v>
      </c>
      <c r="V84" s="61">
        <f t="shared" si="40"/>
        <v>5.0000000000000001E-4</v>
      </c>
    </row>
    <row r="85" spans="1:22">
      <c r="A85" s="146">
        <v>74</v>
      </c>
      <c r="B85" s="140" t="s">
        <v>132</v>
      </c>
      <c r="C85" s="141" t="s">
        <v>80</v>
      </c>
      <c r="D85" s="31">
        <v>23488895.149999999</v>
      </c>
      <c r="E85" s="32">
        <f t="shared" si="41"/>
        <v>1.2181542892108474E-4</v>
      </c>
      <c r="F85" s="63">
        <v>0.71640000000000004</v>
      </c>
      <c r="G85" s="63">
        <v>0.71640000000000004</v>
      </c>
      <c r="H85" s="34">
        <v>746</v>
      </c>
      <c r="I85" s="53">
        <v>2.0999999999999999E-3</v>
      </c>
      <c r="J85" s="53">
        <v>-4.1858518208450808E-4</v>
      </c>
      <c r="K85" s="31">
        <v>23510943.440000001</v>
      </c>
      <c r="L85" s="32">
        <f t="shared" si="35"/>
        <v>1.217108861059216E-4</v>
      </c>
      <c r="M85" s="63">
        <v>0.71699999999999997</v>
      </c>
      <c r="N85" s="63">
        <v>0.71699999999999997</v>
      </c>
      <c r="O85" s="34">
        <v>746</v>
      </c>
      <c r="P85" s="53">
        <v>1.4E-3</v>
      </c>
      <c r="Q85" s="53">
        <v>4.0000000000000002E-4</v>
      </c>
      <c r="R85" s="59">
        <f t="shared" si="36"/>
        <v>9.3866867126795586E-4</v>
      </c>
      <c r="S85" s="59">
        <f t="shared" si="37"/>
        <v>8.3752093802335833E-4</v>
      </c>
      <c r="T85" s="59">
        <f t="shared" si="38"/>
        <v>0</v>
      </c>
      <c r="U85" s="60">
        <f t="shared" si="39"/>
        <v>-6.9999999999999988E-4</v>
      </c>
      <c r="V85" s="61">
        <f t="shared" si="40"/>
        <v>8.185851820845081E-4</v>
      </c>
    </row>
    <row r="86" spans="1:22">
      <c r="A86" s="146">
        <v>75</v>
      </c>
      <c r="B86" s="140" t="s">
        <v>133</v>
      </c>
      <c r="C86" s="141" t="s">
        <v>37</v>
      </c>
      <c r="D86" s="31">
        <v>10821949681.75</v>
      </c>
      <c r="E86" s="32">
        <f t="shared" si="41"/>
        <v>5.6123561105204764E-2</v>
      </c>
      <c r="F86" s="63">
        <v>1</v>
      </c>
      <c r="G86" s="63">
        <v>1</v>
      </c>
      <c r="H86" s="34">
        <v>4294</v>
      </c>
      <c r="I86" s="53">
        <v>0.06</v>
      </c>
      <c r="J86" s="53">
        <v>0.06</v>
      </c>
      <c r="K86" s="31">
        <v>10835886459.76</v>
      </c>
      <c r="L86" s="32">
        <f t="shared" si="35"/>
        <v>5.6094956211614588E-2</v>
      </c>
      <c r="M86" s="63">
        <v>1</v>
      </c>
      <c r="N86" s="63">
        <v>1</v>
      </c>
      <c r="O86" s="34">
        <v>4291</v>
      </c>
      <c r="P86" s="53">
        <v>0.06</v>
      </c>
      <c r="Q86" s="53">
        <v>0.06</v>
      </c>
      <c r="R86" s="59">
        <f t="shared" si="36"/>
        <v>1.2878250610888569E-3</v>
      </c>
      <c r="S86" s="59">
        <f t="shared" si="37"/>
        <v>0</v>
      </c>
      <c r="T86" s="59">
        <f t="shared" si="38"/>
        <v>-6.9864927806241269E-4</v>
      </c>
      <c r="U86" s="60">
        <f t="shared" si="39"/>
        <v>0</v>
      </c>
      <c r="V86" s="61">
        <f t="shared" si="40"/>
        <v>0</v>
      </c>
    </row>
    <row r="87" spans="1:22">
      <c r="A87" s="146">
        <v>76</v>
      </c>
      <c r="B87" s="140" t="s">
        <v>134</v>
      </c>
      <c r="C87" s="141" t="s">
        <v>135</v>
      </c>
      <c r="D87" s="31">
        <v>1124830607.25</v>
      </c>
      <c r="E87" s="32">
        <f t="shared" si="41"/>
        <v>5.833468198938381E-3</v>
      </c>
      <c r="F87" s="31">
        <v>239.7</v>
      </c>
      <c r="G87" s="31">
        <v>244</v>
      </c>
      <c r="H87" s="34">
        <v>508</v>
      </c>
      <c r="I87" s="53">
        <v>2.7000000000000001E-3</v>
      </c>
      <c r="J87" s="53">
        <v>0.18049999999999999</v>
      </c>
      <c r="K87" s="31">
        <v>1205895012.4000001</v>
      </c>
      <c r="L87" s="32">
        <f t="shared" si="35"/>
        <v>6.2426482750245309E-3</v>
      </c>
      <c r="M87" s="31">
        <v>240.44</v>
      </c>
      <c r="N87" s="31">
        <v>244.81</v>
      </c>
      <c r="O87" s="34">
        <v>508</v>
      </c>
      <c r="P87" s="53">
        <v>2.8E-3</v>
      </c>
      <c r="Q87" s="53">
        <v>0.1825</v>
      </c>
      <c r="R87" s="59">
        <f t="shared" si="36"/>
        <v>7.2068100412192165E-2</v>
      </c>
      <c r="S87" s="59">
        <f t="shared" si="37"/>
        <v>3.3196721311475504E-3</v>
      </c>
      <c r="T87" s="59">
        <f t="shared" si="38"/>
        <v>0</v>
      </c>
      <c r="U87" s="60">
        <f t="shared" si="39"/>
        <v>9.9999999999999829E-5</v>
      </c>
      <c r="V87" s="61">
        <f t="shared" si="40"/>
        <v>2.0000000000000018E-3</v>
      </c>
    </row>
    <row r="88" spans="1:22">
      <c r="A88" s="146">
        <v>77</v>
      </c>
      <c r="B88" s="140" t="s">
        <v>136</v>
      </c>
      <c r="C88" s="141" t="s">
        <v>41</v>
      </c>
      <c r="D88" s="31">
        <v>1096617944.5699999</v>
      </c>
      <c r="E88" s="32">
        <f t="shared" si="41"/>
        <v>5.6871549056385856E-3</v>
      </c>
      <c r="F88" s="63">
        <v>3.66</v>
      </c>
      <c r="G88" s="63">
        <v>3.66</v>
      </c>
      <c r="H88" s="49">
        <v>770</v>
      </c>
      <c r="I88" s="56">
        <v>1.9E-3</v>
      </c>
      <c r="J88" s="56">
        <v>8.9499999999999996E-2</v>
      </c>
      <c r="K88" s="31">
        <v>1099086735.6300001</v>
      </c>
      <c r="L88" s="32">
        <f t="shared" si="35"/>
        <v>5.6897257586525883E-3</v>
      </c>
      <c r="M88" s="63">
        <v>3.66</v>
      </c>
      <c r="N88" s="63">
        <v>3.66</v>
      </c>
      <c r="O88" s="49">
        <v>771</v>
      </c>
      <c r="P88" s="56">
        <v>1.9E-3</v>
      </c>
      <c r="Q88" s="56">
        <v>9.11E-2</v>
      </c>
      <c r="R88" s="59">
        <f t="shared" si="36"/>
        <v>2.2512772768534537E-3</v>
      </c>
      <c r="S88" s="59">
        <f t="shared" si="37"/>
        <v>0</v>
      </c>
      <c r="T88" s="59">
        <f t="shared" si="38"/>
        <v>1.2987012987012987E-3</v>
      </c>
      <c r="U88" s="60">
        <f t="shared" si="39"/>
        <v>0</v>
      </c>
      <c r="V88" s="61">
        <f t="shared" si="40"/>
        <v>1.6000000000000042E-3</v>
      </c>
    </row>
    <row r="89" spans="1:22">
      <c r="A89" s="175">
        <v>78</v>
      </c>
      <c r="B89" s="176" t="s">
        <v>137</v>
      </c>
      <c r="C89" s="177" t="s">
        <v>43</v>
      </c>
      <c r="D89" s="31">
        <v>560184571.54999995</v>
      </c>
      <c r="E89" s="32">
        <f t="shared" si="41"/>
        <v>2.905165331215561E-3</v>
      </c>
      <c r="F89" s="63">
        <v>105.95453999999999</v>
      </c>
      <c r="G89" s="63">
        <v>105.95453999999999</v>
      </c>
      <c r="H89" s="49">
        <v>59</v>
      </c>
      <c r="I89" s="56">
        <v>0.13639999999999999</v>
      </c>
      <c r="J89" s="56">
        <v>0.17100000000000001</v>
      </c>
      <c r="K89" s="31">
        <v>561533749.11000001</v>
      </c>
      <c r="L89" s="32">
        <f t="shared" si="35"/>
        <v>2.9069343966129824E-3</v>
      </c>
      <c r="M89" s="63">
        <v>106.22790000000001</v>
      </c>
      <c r="N89" s="63">
        <v>106.22790000000001</v>
      </c>
      <c r="O89" s="49">
        <v>59</v>
      </c>
      <c r="P89" s="56">
        <v>0.1467</v>
      </c>
      <c r="Q89" s="56">
        <v>0.17030000000000001</v>
      </c>
      <c r="R89" s="59">
        <f t="shared" si="36"/>
        <v>2.4084518362706094E-3</v>
      </c>
      <c r="S89" s="59">
        <f t="shared" si="37"/>
        <v>2.579974392791578E-3</v>
      </c>
      <c r="T89" s="59">
        <f t="shared" si="38"/>
        <v>0</v>
      </c>
      <c r="U89" s="60">
        <f t="shared" si="39"/>
        <v>1.0300000000000004E-2</v>
      </c>
      <c r="V89" s="61">
        <f t="shared" si="40"/>
        <v>-7.0000000000000617E-4</v>
      </c>
    </row>
    <row r="90" spans="1:22">
      <c r="A90" s="146">
        <v>79</v>
      </c>
      <c r="B90" s="141" t="s">
        <v>138</v>
      </c>
      <c r="C90" s="148" t="s">
        <v>47</v>
      </c>
      <c r="D90" s="31">
        <v>1410663719.3399999</v>
      </c>
      <c r="E90" s="32">
        <f t="shared" si="41"/>
        <v>7.3158232831915387E-3</v>
      </c>
      <c r="F90" s="63">
        <v>98.22</v>
      </c>
      <c r="G90" s="63">
        <v>98.22</v>
      </c>
      <c r="H90" s="34">
        <v>289</v>
      </c>
      <c r="I90" s="53">
        <v>2E-3</v>
      </c>
      <c r="J90" s="53">
        <v>1.06E-2</v>
      </c>
      <c r="K90" s="31">
        <v>1409419513.29</v>
      </c>
      <c r="L90" s="32">
        <f t="shared" si="35"/>
        <v>7.2962490125195343E-3</v>
      </c>
      <c r="M90" s="63">
        <v>98.46</v>
      </c>
      <c r="N90" s="63">
        <v>98.46</v>
      </c>
      <c r="O90" s="34">
        <v>289</v>
      </c>
      <c r="P90" s="53">
        <v>2.0999999999999999E-3</v>
      </c>
      <c r="Q90" s="53">
        <v>1.21E-2</v>
      </c>
      <c r="R90" s="59">
        <f t="shared" si="36"/>
        <v>-8.820004604513914E-4</v>
      </c>
      <c r="S90" s="59">
        <f t="shared" si="37"/>
        <v>2.4434941967012309E-3</v>
      </c>
      <c r="T90" s="59">
        <f t="shared" si="38"/>
        <v>0</v>
      </c>
      <c r="U90" s="60">
        <f t="shared" si="39"/>
        <v>9.9999999999999829E-5</v>
      </c>
      <c r="V90" s="61">
        <f t="shared" si="40"/>
        <v>1.4999999999999996E-3</v>
      </c>
    </row>
    <row r="91" spans="1:22">
      <c r="A91" s="146">
        <v>80</v>
      </c>
      <c r="B91" s="140" t="s">
        <v>139</v>
      </c>
      <c r="C91" s="141" t="s">
        <v>19</v>
      </c>
      <c r="D91" s="31">
        <v>1373660276.3299999</v>
      </c>
      <c r="E91" s="32">
        <f t="shared" si="41"/>
        <v>7.1239202476066545E-3</v>
      </c>
      <c r="F91" s="63">
        <v>347.45460000000003</v>
      </c>
      <c r="G91" s="63">
        <v>347.45460000000003</v>
      </c>
      <c r="H91" s="34">
        <v>196</v>
      </c>
      <c r="I91" s="53">
        <v>2.5999999999999999E-3</v>
      </c>
      <c r="J91" s="53">
        <v>1.38E-2</v>
      </c>
      <c r="K91" s="31">
        <v>1378842374.54</v>
      </c>
      <c r="L91" s="32">
        <f t="shared" si="35"/>
        <v>7.1379580166118766E-3</v>
      </c>
      <c r="M91" s="63">
        <v>348.5367</v>
      </c>
      <c r="N91" s="63">
        <v>348.5367</v>
      </c>
      <c r="O91" s="34">
        <v>196</v>
      </c>
      <c r="P91" s="53">
        <v>3.0999999999999999E-3</v>
      </c>
      <c r="Q91" s="53">
        <v>1.6799999999999999E-2</v>
      </c>
      <c r="R91" s="59">
        <f t="shared" si="36"/>
        <v>3.7724743878049813E-3</v>
      </c>
      <c r="S91" s="59">
        <f t="shared" si="37"/>
        <v>3.1143637183101576E-3</v>
      </c>
      <c r="T91" s="59">
        <f t="shared" si="38"/>
        <v>0</v>
      </c>
      <c r="U91" s="60">
        <f t="shared" si="39"/>
        <v>5.0000000000000001E-4</v>
      </c>
      <c r="V91" s="61">
        <f t="shared" si="40"/>
        <v>2.9999999999999992E-3</v>
      </c>
    </row>
    <row r="92" spans="1:22">
      <c r="A92" s="146">
        <v>81</v>
      </c>
      <c r="B92" s="140" t="s">
        <v>140</v>
      </c>
      <c r="C92" s="141" t="s">
        <v>89</v>
      </c>
      <c r="D92" s="47">
        <v>1387646682</v>
      </c>
      <c r="E92" s="32">
        <f>(D92/$K$66)</f>
        <v>6.8081954046655653E-4</v>
      </c>
      <c r="F92" s="63">
        <v>102.24</v>
      </c>
      <c r="G92" s="63">
        <v>102.24</v>
      </c>
      <c r="H92" s="34">
        <v>384</v>
      </c>
      <c r="I92" s="53">
        <v>2.5999999999999999E-3</v>
      </c>
      <c r="J92" s="53">
        <v>0.1421</v>
      </c>
      <c r="K92" s="47">
        <v>1388777904</v>
      </c>
      <c r="L92" s="32">
        <f>(K92/$K$66)</f>
        <v>6.8137455065192705E-4</v>
      </c>
      <c r="M92" s="63">
        <v>102.52</v>
      </c>
      <c r="N92" s="63">
        <v>102.52</v>
      </c>
      <c r="O92" s="34">
        <v>386</v>
      </c>
      <c r="P92" s="53">
        <v>2.5999999999999999E-3</v>
      </c>
      <c r="Q92" s="53">
        <v>0.1424</v>
      </c>
      <c r="R92" s="59">
        <f t="shared" si="36"/>
        <v>8.1520895388845097E-4</v>
      </c>
      <c r="S92" s="59">
        <f t="shared" si="37"/>
        <v>2.7386541471048627E-3</v>
      </c>
      <c r="T92" s="59">
        <f t="shared" si="38"/>
        <v>5.208333333333333E-3</v>
      </c>
      <c r="U92" s="60">
        <f t="shared" si="39"/>
        <v>0</v>
      </c>
      <c r="V92" s="61">
        <f t="shared" si="40"/>
        <v>2.9999999999999472E-4</v>
      </c>
    </row>
    <row r="93" spans="1:22">
      <c r="A93" s="146">
        <v>82</v>
      </c>
      <c r="B93" s="140" t="s">
        <v>141</v>
      </c>
      <c r="C93" s="141" t="s">
        <v>45</v>
      </c>
      <c r="D93" s="31">
        <v>59127912.469999999</v>
      </c>
      <c r="E93" s="32">
        <f t="shared" ref="E93:E105" si="49">(D93/$D$106)</f>
        <v>3.0664243561670485E-4</v>
      </c>
      <c r="F93" s="31">
        <v>12.289887</v>
      </c>
      <c r="G93" s="31">
        <v>12.620153999999999</v>
      </c>
      <c r="H93" s="34">
        <v>56</v>
      </c>
      <c r="I93" s="53">
        <v>0</v>
      </c>
      <c r="J93" s="53">
        <v>4.4000000000000003E-3</v>
      </c>
      <c r="K93" s="31">
        <v>59296849.659999996</v>
      </c>
      <c r="L93" s="32">
        <f t="shared" ref="L93:L105" si="50">(K93/$K$106)</f>
        <v>3.0696650408037454E-4</v>
      </c>
      <c r="M93" s="31">
        <v>12.315526</v>
      </c>
      <c r="N93" s="31">
        <v>12.653319</v>
      </c>
      <c r="O93" s="34">
        <v>56</v>
      </c>
      <c r="P93" s="53">
        <v>0</v>
      </c>
      <c r="Q93" s="53">
        <v>4.4000000000000003E-3</v>
      </c>
      <c r="R93" s="59">
        <f t="shared" si="36"/>
        <v>2.8571478840169109E-3</v>
      </c>
      <c r="S93" s="59">
        <f t="shared" si="37"/>
        <v>2.6279394054938105E-3</v>
      </c>
      <c r="T93" s="59">
        <f t="shared" si="38"/>
        <v>0</v>
      </c>
      <c r="U93" s="60">
        <f t="shared" si="39"/>
        <v>0</v>
      </c>
      <c r="V93" s="61">
        <f t="shared" si="40"/>
        <v>0</v>
      </c>
    </row>
    <row r="94" spans="1:22">
      <c r="A94" s="146">
        <v>83</v>
      </c>
      <c r="B94" s="140" t="s">
        <v>142</v>
      </c>
      <c r="C94" s="141" t="s">
        <v>143</v>
      </c>
      <c r="D94" s="31">
        <v>417247317.50999999</v>
      </c>
      <c r="E94" s="32">
        <f t="shared" si="49"/>
        <v>2.1638804475080935E-3</v>
      </c>
      <c r="F94" s="31">
        <v>133.49</v>
      </c>
      <c r="G94" s="31">
        <v>133.49</v>
      </c>
      <c r="H94" s="34">
        <v>119</v>
      </c>
      <c r="I94" s="53">
        <v>0.1837</v>
      </c>
      <c r="J94" s="53">
        <v>0.1908</v>
      </c>
      <c r="K94" s="31">
        <v>420133900.99000001</v>
      </c>
      <c r="L94" s="32">
        <f t="shared" si="50"/>
        <v>2.1749390662746805E-3</v>
      </c>
      <c r="M94" s="31">
        <v>133.93</v>
      </c>
      <c r="N94" s="31">
        <v>133.93</v>
      </c>
      <c r="O94" s="34">
        <v>121</v>
      </c>
      <c r="P94" s="53">
        <v>0.1837</v>
      </c>
      <c r="Q94" s="53">
        <v>0.1908</v>
      </c>
      <c r="R94" s="59">
        <f t="shared" si="36"/>
        <v>6.9181594676898973E-3</v>
      </c>
      <c r="S94" s="59">
        <f t="shared" si="37"/>
        <v>3.2961270507153922E-3</v>
      </c>
      <c r="T94" s="59">
        <f t="shared" si="38"/>
        <v>1.680672268907563E-2</v>
      </c>
      <c r="U94" s="60">
        <f t="shared" si="39"/>
        <v>0</v>
      </c>
      <c r="V94" s="61">
        <f t="shared" si="40"/>
        <v>0</v>
      </c>
    </row>
    <row r="95" spans="1:22">
      <c r="A95" s="146">
        <v>84</v>
      </c>
      <c r="B95" s="140" t="s">
        <v>144</v>
      </c>
      <c r="C95" s="141" t="s">
        <v>145</v>
      </c>
      <c r="D95" s="31">
        <v>7920802543.242898</v>
      </c>
      <c r="E95" s="32">
        <f t="shared" si="49"/>
        <v>4.1077962715685777E-2</v>
      </c>
      <c r="F95" s="31">
        <v>1.0195753262995404</v>
      </c>
      <c r="G95" s="31">
        <v>1.0195753262995404</v>
      </c>
      <c r="H95" s="34">
        <v>4536</v>
      </c>
      <c r="I95" s="53">
        <v>0.19040000000000001</v>
      </c>
      <c r="J95" s="53">
        <v>0.19040000000000001</v>
      </c>
      <c r="K95" s="31">
        <v>8037257833.905714</v>
      </c>
      <c r="L95" s="32">
        <f t="shared" si="50"/>
        <v>4.1607082902600206E-2</v>
      </c>
      <c r="M95" s="31">
        <v>1.0195753262995404</v>
      </c>
      <c r="N95" s="31">
        <v>1.0195753262995404</v>
      </c>
      <c r="O95" s="34">
        <v>4540</v>
      </c>
      <c r="P95" s="53">
        <v>0.19040000000000001</v>
      </c>
      <c r="Q95" s="53">
        <v>0.19040000000000001</v>
      </c>
      <c r="R95" s="59">
        <f t="shared" si="36"/>
        <v>1.4702461022988394E-2</v>
      </c>
      <c r="S95" s="59">
        <f t="shared" si="37"/>
        <v>0</v>
      </c>
      <c r="T95" s="59">
        <f t="shared" si="38"/>
        <v>8.8183421516754845E-4</v>
      </c>
      <c r="U95" s="60">
        <f t="shared" si="39"/>
        <v>0</v>
      </c>
      <c r="V95" s="61">
        <f t="shared" si="40"/>
        <v>0</v>
      </c>
    </row>
    <row r="96" spans="1:22" ht="14.25" customHeight="1">
      <c r="A96" s="146">
        <v>85</v>
      </c>
      <c r="B96" s="140" t="s">
        <v>146</v>
      </c>
      <c r="C96" s="141" t="s">
        <v>49</v>
      </c>
      <c r="D96" s="31">
        <v>5163662827</v>
      </c>
      <c r="E96" s="32">
        <f t="shared" si="49"/>
        <v>2.6779199194256951E-2</v>
      </c>
      <c r="F96" s="31">
        <v>5168.6400000000003</v>
      </c>
      <c r="G96" s="31">
        <v>5168.6400000000003</v>
      </c>
      <c r="H96" s="34">
        <v>272</v>
      </c>
      <c r="I96" s="53">
        <v>1E-4</v>
      </c>
      <c r="J96" s="53">
        <v>2.0000000000000001E-4</v>
      </c>
      <c r="K96" s="31">
        <v>5148931982.0900002</v>
      </c>
      <c r="L96" s="32">
        <f t="shared" si="50"/>
        <v>2.665486715318699E-2</v>
      </c>
      <c r="M96" s="31">
        <v>5168.91</v>
      </c>
      <c r="N96" s="31">
        <v>5168.91</v>
      </c>
      <c r="O96" s="34">
        <v>271</v>
      </c>
      <c r="P96" s="53">
        <v>1E-4</v>
      </c>
      <c r="Q96" s="53">
        <v>2.9999999999999997E-4</v>
      </c>
      <c r="R96" s="59">
        <f t="shared" si="36"/>
        <v>-2.8527898516096987E-3</v>
      </c>
      <c r="S96" s="59">
        <f t="shared" si="37"/>
        <v>5.2238112927100177E-5</v>
      </c>
      <c r="T96" s="59">
        <f t="shared" si="38"/>
        <v>-3.6764705882352941E-3</v>
      </c>
      <c r="U96" s="60">
        <f t="shared" si="39"/>
        <v>0</v>
      </c>
      <c r="V96" s="61">
        <f t="shared" si="40"/>
        <v>9.9999999999999964E-5</v>
      </c>
    </row>
    <row r="97" spans="1:28" ht="13.5" customHeight="1">
      <c r="A97" s="146">
        <v>86</v>
      </c>
      <c r="B97" s="140" t="s">
        <v>147</v>
      </c>
      <c r="C97" s="141" t="s">
        <v>49</v>
      </c>
      <c r="D97" s="31">
        <v>21107661115.900002</v>
      </c>
      <c r="E97" s="32">
        <f t="shared" si="49"/>
        <v>0.10946614457318403</v>
      </c>
      <c r="F97" s="63">
        <v>258.98</v>
      </c>
      <c r="G97" s="63">
        <v>258.98</v>
      </c>
      <c r="H97" s="34">
        <v>6316</v>
      </c>
      <c r="I97" s="53">
        <v>0</v>
      </c>
      <c r="J97" s="53">
        <v>5.0000000000000001E-4</v>
      </c>
      <c r="K97" s="31">
        <v>20966496478.130001</v>
      </c>
      <c r="L97" s="32">
        <f t="shared" si="50"/>
        <v>0.10853885431702126</v>
      </c>
      <c r="M97" s="63">
        <v>258.98</v>
      </c>
      <c r="N97" s="63">
        <v>258.98</v>
      </c>
      <c r="O97" s="34">
        <v>6306</v>
      </c>
      <c r="P97" s="53">
        <v>0</v>
      </c>
      <c r="Q97" s="53">
        <v>5.0000000000000001E-4</v>
      </c>
      <c r="R97" s="59">
        <f t="shared" si="36"/>
        <v>-6.6878389317925804E-3</v>
      </c>
      <c r="S97" s="59">
        <f t="shared" si="37"/>
        <v>0</v>
      </c>
      <c r="T97" s="59">
        <f t="shared" si="38"/>
        <v>-1.5832805573147563E-3</v>
      </c>
      <c r="U97" s="60">
        <f t="shared" si="39"/>
        <v>0</v>
      </c>
      <c r="V97" s="61">
        <f t="shared" si="40"/>
        <v>0</v>
      </c>
    </row>
    <row r="98" spans="1:28" ht="13.5" customHeight="1">
      <c r="A98" s="146">
        <v>87</v>
      </c>
      <c r="B98" s="140" t="s">
        <v>148</v>
      </c>
      <c r="C98" s="141" t="s">
        <v>49</v>
      </c>
      <c r="D98" s="31">
        <v>412192555.97000003</v>
      </c>
      <c r="E98" s="32">
        <f t="shared" si="49"/>
        <v>2.1376660197473694E-3</v>
      </c>
      <c r="F98" s="37">
        <v>7128.73</v>
      </c>
      <c r="G98" s="37">
        <v>7162.07</v>
      </c>
      <c r="H98" s="34">
        <v>15</v>
      </c>
      <c r="I98" s="53">
        <v>1.6400000000000001E-2</v>
      </c>
      <c r="J98" s="53">
        <v>4.9700000000000001E-2</v>
      </c>
      <c r="K98" s="31">
        <v>418660481.33999997</v>
      </c>
      <c r="L98" s="32">
        <f t="shared" si="50"/>
        <v>2.1673115028948853E-3</v>
      </c>
      <c r="M98" s="37">
        <v>7239.78</v>
      </c>
      <c r="N98" s="37">
        <v>7275.01</v>
      </c>
      <c r="O98" s="34">
        <v>15</v>
      </c>
      <c r="P98" s="53">
        <v>1.5800000000000002E-2</v>
      </c>
      <c r="Q98" s="53">
        <v>6.6199999999999995E-2</v>
      </c>
      <c r="R98" s="59">
        <f t="shared" si="36"/>
        <v>1.5691514260317427E-2</v>
      </c>
      <c r="S98" s="59">
        <f t="shared" si="37"/>
        <v>1.5769184048745756E-2</v>
      </c>
      <c r="T98" s="59">
        <f t="shared" si="38"/>
        <v>0</v>
      </c>
      <c r="U98" s="60">
        <f t="shared" si="39"/>
        <v>-5.9999999999999984E-4</v>
      </c>
      <c r="V98" s="61">
        <f t="shared" si="40"/>
        <v>1.6499999999999994E-2</v>
      </c>
    </row>
    <row r="99" spans="1:28" ht="15" customHeight="1">
      <c r="A99" s="146">
        <v>88</v>
      </c>
      <c r="B99" s="140" t="s">
        <v>149</v>
      </c>
      <c r="C99" s="141" t="s">
        <v>49</v>
      </c>
      <c r="D99" s="31">
        <v>7727523052.8400002</v>
      </c>
      <c r="E99" s="32">
        <f t="shared" si="49"/>
        <v>4.007559866770808E-2</v>
      </c>
      <c r="F99" s="63">
        <v>140.27000000000001</v>
      </c>
      <c r="G99" s="63">
        <v>140.27000000000001</v>
      </c>
      <c r="H99" s="34">
        <v>4482</v>
      </c>
      <c r="I99" s="53">
        <v>3.3E-3</v>
      </c>
      <c r="J99" s="53">
        <v>1.7299999999999999E-2</v>
      </c>
      <c r="K99" s="31">
        <v>7745350395.9899998</v>
      </c>
      <c r="L99" s="32">
        <f t="shared" si="50"/>
        <v>4.0095943504034628E-2</v>
      </c>
      <c r="M99" s="63">
        <v>140.75</v>
      </c>
      <c r="N99" s="63">
        <v>140.75</v>
      </c>
      <c r="O99" s="34">
        <v>4482</v>
      </c>
      <c r="P99" s="53">
        <v>3.3999999999999998E-3</v>
      </c>
      <c r="Q99" s="53">
        <v>2.0799999999999999E-2</v>
      </c>
      <c r="R99" s="59">
        <f t="shared" si="36"/>
        <v>2.3069932018446398E-3</v>
      </c>
      <c r="S99" s="59">
        <f t="shared" si="37"/>
        <v>3.4219719113138215E-3</v>
      </c>
      <c r="T99" s="59">
        <f t="shared" si="38"/>
        <v>0</v>
      </c>
      <c r="U99" s="60">
        <f t="shared" si="39"/>
        <v>9.9999999999999829E-5</v>
      </c>
      <c r="V99" s="61">
        <f t="shared" si="40"/>
        <v>3.4999999999999996E-3</v>
      </c>
    </row>
    <row r="100" spans="1:28" ht="15" customHeight="1">
      <c r="A100" s="146">
        <v>89</v>
      </c>
      <c r="B100" s="140" t="s">
        <v>150</v>
      </c>
      <c r="C100" s="141" t="s">
        <v>49</v>
      </c>
      <c r="D100" s="31">
        <v>7778118247.3299999</v>
      </c>
      <c r="E100" s="32">
        <f t="shared" si="49"/>
        <v>4.0337989694565091E-2</v>
      </c>
      <c r="F100" s="63">
        <v>361.87</v>
      </c>
      <c r="G100" s="63">
        <v>362.54</v>
      </c>
      <c r="H100" s="34">
        <v>10152</v>
      </c>
      <c r="I100" s="53">
        <v>5.7999999999999996E-3</v>
      </c>
      <c r="J100" s="53">
        <v>2.3400000000000001E-2</v>
      </c>
      <c r="K100" s="31">
        <v>7786570701</v>
      </c>
      <c r="L100" s="32">
        <f t="shared" si="50"/>
        <v>4.030933178686244E-2</v>
      </c>
      <c r="M100" s="63">
        <v>361.91</v>
      </c>
      <c r="N100" s="63">
        <v>362.58</v>
      </c>
      <c r="O100" s="34">
        <v>10158</v>
      </c>
      <c r="P100" s="53">
        <v>1E-4</v>
      </c>
      <c r="Q100" s="53">
        <v>2.35E-2</v>
      </c>
      <c r="R100" s="59">
        <f t="shared" si="36"/>
        <v>1.0866964735206431E-3</v>
      </c>
      <c r="S100" s="59">
        <f t="shared" si="37"/>
        <v>1.103326529485398E-4</v>
      </c>
      <c r="T100" s="59">
        <f t="shared" si="38"/>
        <v>5.9101654846335696E-4</v>
      </c>
      <c r="U100" s="60">
        <f t="shared" si="39"/>
        <v>-5.6999999999999993E-3</v>
      </c>
      <c r="V100" s="61">
        <f t="shared" si="40"/>
        <v>9.9999999999999395E-5</v>
      </c>
    </row>
    <row r="101" spans="1:28">
      <c r="A101" s="146">
        <v>90</v>
      </c>
      <c r="B101" s="140" t="s">
        <v>151</v>
      </c>
      <c r="C101" s="141" t="s">
        <v>52</v>
      </c>
      <c r="D101" s="31">
        <v>87848274497.630005</v>
      </c>
      <c r="E101" s="32">
        <f t="shared" si="49"/>
        <v>0.45558870136580221</v>
      </c>
      <c r="F101" s="31">
        <v>1.9781</v>
      </c>
      <c r="G101" s="31">
        <v>1.9781</v>
      </c>
      <c r="H101" s="34">
        <v>6405</v>
      </c>
      <c r="I101" s="53">
        <v>4.8599999999999997E-2</v>
      </c>
      <c r="J101" s="53">
        <v>7.3700000000000002E-2</v>
      </c>
      <c r="K101" s="31">
        <v>87848274497.630005</v>
      </c>
      <c r="L101" s="32">
        <f t="shared" si="50"/>
        <v>0.45477083296419096</v>
      </c>
      <c r="M101" s="31">
        <v>1.9812000000000001</v>
      </c>
      <c r="N101" s="31">
        <v>1.9812000000000001</v>
      </c>
      <c r="O101" s="34">
        <v>6410</v>
      </c>
      <c r="P101" s="53">
        <v>8.5099999999999995E-2</v>
      </c>
      <c r="Q101" s="53">
        <v>7.5499999999999998E-2</v>
      </c>
      <c r="R101" s="59">
        <f t="shared" si="36"/>
        <v>0</v>
      </c>
      <c r="S101" s="59">
        <f t="shared" si="37"/>
        <v>1.5671604064506864E-3</v>
      </c>
      <c r="T101" s="59">
        <f t="shared" si="38"/>
        <v>7.8064012490241998E-4</v>
      </c>
      <c r="U101" s="60">
        <f t="shared" si="39"/>
        <v>3.6499999999999998E-2</v>
      </c>
      <c r="V101" s="61">
        <f t="shared" si="40"/>
        <v>1.799999999999996E-3</v>
      </c>
    </row>
    <row r="102" spans="1:28">
      <c r="A102" s="146">
        <v>91</v>
      </c>
      <c r="B102" s="140" t="s">
        <v>152</v>
      </c>
      <c r="C102" s="141" t="s">
        <v>52</v>
      </c>
      <c r="D102" s="31">
        <v>10578115382.290001</v>
      </c>
      <c r="E102" s="32">
        <f t="shared" si="49"/>
        <v>5.4859015472695866E-2</v>
      </c>
      <c r="F102" s="31">
        <v>111.09780000000001</v>
      </c>
      <c r="G102" s="31">
        <v>111.09780000000001</v>
      </c>
      <c r="H102" s="34">
        <v>311</v>
      </c>
      <c r="I102" s="53">
        <v>0.2243</v>
      </c>
      <c r="J102" s="53">
        <v>0.23319999999999999</v>
      </c>
      <c r="K102" s="31">
        <v>10796405805.870001</v>
      </c>
      <c r="L102" s="32">
        <f t="shared" si="50"/>
        <v>5.5890573712832438E-2</v>
      </c>
      <c r="M102" s="31">
        <v>111.5227</v>
      </c>
      <c r="N102" s="31">
        <v>111.5227</v>
      </c>
      <c r="O102" s="34">
        <v>330</v>
      </c>
      <c r="P102" s="53">
        <v>0.2243</v>
      </c>
      <c r="Q102" s="53">
        <v>0.23319999999999999</v>
      </c>
      <c r="R102" s="59">
        <f t="shared" ref="R102:R104" si="51">((K102-D102)/D102)</f>
        <v>2.0636041080196968E-2</v>
      </c>
      <c r="S102" s="59">
        <f t="shared" ref="S102:S104" si="52">((N102-G102)/G102)</f>
        <v>3.8245581820701563E-3</v>
      </c>
      <c r="T102" s="59">
        <f t="shared" ref="T102:T104" si="53">((O102-H102)/H102)</f>
        <v>6.1093247588424437E-2</v>
      </c>
      <c r="U102" s="60">
        <f t="shared" ref="U102:U104" si="54">P102-I102</f>
        <v>0</v>
      </c>
      <c r="V102" s="61">
        <f t="shared" ref="V102:V104" si="55">Q102-J102</f>
        <v>0</v>
      </c>
    </row>
    <row r="103" spans="1:28">
      <c r="A103" s="146">
        <v>92</v>
      </c>
      <c r="B103" s="140" t="s">
        <v>153</v>
      </c>
      <c r="C103" s="140" t="s">
        <v>154</v>
      </c>
      <c r="D103" s="31">
        <v>97284473.189999998</v>
      </c>
      <c r="E103" s="32">
        <f t="shared" si="49"/>
        <v>5.0452563874642774E-4</v>
      </c>
      <c r="F103" s="31">
        <v>111.65039176892581</v>
      </c>
      <c r="G103" s="31">
        <v>111.65039176892581</v>
      </c>
      <c r="H103" s="65">
        <v>56</v>
      </c>
      <c r="I103" s="66">
        <v>2.5602156695623221E-3</v>
      </c>
      <c r="J103" s="66">
        <v>1.1294867449062274E-2</v>
      </c>
      <c r="K103" s="31">
        <v>97400323.060000002</v>
      </c>
      <c r="L103" s="67">
        <f t="shared" si="50"/>
        <v>5.0421964804980314E-4</v>
      </c>
      <c r="M103" s="31">
        <v>111.89901974141463</v>
      </c>
      <c r="N103" s="31">
        <v>111.89901974141463</v>
      </c>
      <c r="O103" s="65">
        <v>57</v>
      </c>
      <c r="P103" s="66">
        <v>2.2268437087384816E-3</v>
      </c>
      <c r="Q103" s="66">
        <v>1.354686306232078E-2</v>
      </c>
      <c r="R103" s="59">
        <f t="shared" si="51"/>
        <v>1.1908361756119694E-3</v>
      </c>
      <c r="S103" s="59">
        <f t="shared" si="52"/>
        <v>2.2268437087384816E-3</v>
      </c>
      <c r="T103" s="59">
        <f t="shared" si="53"/>
        <v>1.7857142857142856E-2</v>
      </c>
      <c r="U103" s="60">
        <f t="shared" si="54"/>
        <v>-3.3337196082384047E-4</v>
      </c>
      <c r="V103" s="61">
        <f t="shared" si="55"/>
        <v>2.2519956132585062E-3</v>
      </c>
    </row>
    <row r="104" spans="1:28">
      <c r="A104" s="146">
        <v>93</v>
      </c>
      <c r="B104" s="140" t="s">
        <v>155</v>
      </c>
      <c r="C104" s="141" t="s">
        <v>110</v>
      </c>
      <c r="D104" s="31">
        <v>262233411</v>
      </c>
      <c r="E104" s="32">
        <f t="shared" si="49"/>
        <v>1.3599650062043936E-3</v>
      </c>
      <c r="F104" s="31">
        <v>1.0995999999999999</v>
      </c>
      <c r="G104" s="31">
        <v>1.0995999999999999</v>
      </c>
      <c r="H104" s="34">
        <v>401</v>
      </c>
      <c r="I104" s="53">
        <v>1.9273999999999999E-2</v>
      </c>
      <c r="J104" s="53">
        <v>2.1357000000000001E-2</v>
      </c>
      <c r="K104" s="31">
        <v>262612183.37</v>
      </c>
      <c r="L104" s="32">
        <f t="shared" si="50"/>
        <v>1.3594844299524829E-3</v>
      </c>
      <c r="M104" s="31">
        <v>1.1012</v>
      </c>
      <c r="N104" s="31">
        <v>1.1012</v>
      </c>
      <c r="O104" s="34">
        <v>416</v>
      </c>
      <c r="P104" s="53">
        <v>-9.6000000000000002E-4</v>
      </c>
      <c r="Q104" s="53">
        <v>2.188E-2</v>
      </c>
      <c r="R104" s="59">
        <f t="shared" si="51"/>
        <v>1.4444092709452832E-3</v>
      </c>
      <c r="S104" s="59">
        <f t="shared" si="52"/>
        <v>1.4550745725718862E-3</v>
      </c>
      <c r="T104" s="59">
        <f t="shared" si="53"/>
        <v>3.7406483790523692E-2</v>
      </c>
      <c r="U104" s="60">
        <f t="shared" si="54"/>
        <v>-2.0233999999999999E-2</v>
      </c>
      <c r="V104" s="61">
        <f t="shared" si="55"/>
        <v>5.2299999999999916E-4</v>
      </c>
    </row>
    <row r="105" spans="1:28">
      <c r="A105" s="146">
        <v>94</v>
      </c>
      <c r="B105" s="140" t="s">
        <v>156</v>
      </c>
      <c r="C105" s="141" t="s">
        <v>112</v>
      </c>
      <c r="D105" s="31">
        <v>2113471294.3199999</v>
      </c>
      <c r="E105" s="32">
        <f t="shared" si="49"/>
        <v>1.0960643767443908E-2</v>
      </c>
      <c r="F105" s="63">
        <v>28.406300000000002</v>
      </c>
      <c r="G105" s="63">
        <v>28.406300000000002</v>
      </c>
      <c r="H105" s="34">
        <v>1299</v>
      </c>
      <c r="I105" s="53">
        <v>0.1229</v>
      </c>
      <c r="J105" s="53">
        <v>0.1229</v>
      </c>
      <c r="K105" s="31">
        <v>2131444562.9100001</v>
      </c>
      <c r="L105" s="32">
        <f t="shared" si="50"/>
        <v>1.1034010910683593E-2</v>
      </c>
      <c r="M105" s="63">
        <v>28.5322</v>
      </c>
      <c r="N105" s="63">
        <v>28.5322</v>
      </c>
      <c r="O105" s="34">
        <v>1300</v>
      </c>
      <c r="P105" s="53">
        <v>0.12509999999999999</v>
      </c>
      <c r="Q105" s="53">
        <v>0.12509999999999999</v>
      </c>
      <c r="R105" s="59">
        <f t="shared" si="36"/>
        <v>8.5041460644881724E-3</v>
      </c>
      <c r="S105" s="59">
        <f t="shared" si="37"/>
        <v>4.4321154110179041E-3</v>
      </c>
      <c r="T105" s="59">
        <f t="shared" si="38"/>
        <v>7.6982294072363352E-4</v>
      </c>
      <c r="U105" s="60">
        <f t="shared" si="39"/>
        <v>2.1999999999999936E-3</v>
      </c>
      <c r="V105" s="61">
        <f t="shared" si="40"/>
        <v>2.1999999999999936E-3</v>
      </c>
    </row>
    <row r="106" spans="1:28">
      <c r="A106" s="38"/>
      <c r="B106" s="39"/>
      <c r="C106" s="40" t="s">
        <v>53</v>
      </c>
      <c r="D106" s="51">
        <f>SUM(D69:D105)</f>
        <v>192823646052.3956</v>
      </c>
      <c r="E106" s="42">
        <f>(D106/$D$214)</f>
        <v>4.6004632741868695E-2</v>
      </c>
      <c r="F106" s="43"/>
      <c r="G106" s="48"/>
      <c r="H106" s="45">
        <f>SUM(H69:H105)</f>
        <v>49988</v>
      </c>
      <c r="I106" s="56"/>
      <c r="J106" s="56"/>
      <c r="K106" s="51">
        <f>SUM(K69:K105)</f>
        <v>193170423716.56946</v>
      </c>
      <c r="L106" s="42">
        <f>(K106/$K$214)</f>
        <v>4.5243725145913537E-2</v>
      </c>
      <c r="M106" s="43"/>
      <c r="N106" s="48"/>
      <c r="O106" s="45">
        <f>SUM(O69:O105)</f>
        <v>50062</v>
      </c>
      <c r="P106" s="56"/>
      <c r="Q106" s="56"/>
      <c r="R106" s="59">
        <f t="shared" si="36"/>
        <v>1.7984187690322452E-3</v>
      </c>
      <c r="S106" s="59" t="e">
        <f t="shared" si="37"/>
        <v>#DIV/0!</v>
      </c>
      <c r="T106" s="59">
        <f t="shared" si="38"/>
        <v>1.4803552852684645E-3</v>
      </c>
      <c r="U106" s="60">
        <f t="shared" si="39"/>
        <v>0</v>
      </c>
      <c r="V106" s="61">
        <f t="shared" si="40"/>
        <v>0</v>
      </c>
    </row>
    <row r="107" spans="1:28" ht="3.75" customHeight="1">
      <c r="A107" s="38"/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</row>
    <row r="108" spans="1:28" ht="15" customHeight="1">
      <c r="A108" s="186" t="s">
        <v>157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</row>
    <row r="109" spans="1:28">
      <c r="A109" s="188" t="s">
        <v>158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Z109" s="68"/>
      <c r="AB109" s="71"/>
    </row>
    <row r="110" spans="1:28" ht="16.5" customHeight="1">
      <c r="A110" s="146">
        <v>95</v>
      </c>
      <c r="B110" s="140" t="s">
        <v>159</v>
      </c>
      <c r="C110" s="141" t="s">
        <v>19</v>
      </c>
      <c r="D110" s="31">
        <f>1904879.82*1500.41</f>
        <v>2858100730.7262001</v>
      </c>
      <c r="E110" s="32">
        <f t="shared" ref="E110:E115" si="56">(D110/$D$143)</f>
        <v>1.6279513666295653E-3</v>
      </c>
      <c r="F110" s="31">
        <f>110.7277*1500.41</f>
        <v>166136.94835700002</v>
      </c>
      <c r="G110" s="31">
        <f>110.7277*1500.41</f>
        <v>166136.94835700002</v>
      </c>
      <c r="H110" s="34">
        <v>298</v>
      </c>
      <c r="I110" s="53">
        <v>1.1999999999999999E-3</v>
      </c>
      <c r="J110" s="53">
        <v>5.8999999999999999E-3</v>
      </c>
      <c r="K110" s="31">
        <f>1898334.63*1508.6637</f>
        <v>2863948546.7339311</v>
      </c>
      <c r="L110" s="32">
        <f t="shared" ref="L110:L125" si="57">(K110/$K$143)</f>
        <v>1.6096911623556948E-3</v>
      </c>
      <c r="M110" s="31">
        <f>111.0074*1508.6637</f>
        <v>167472.83481138002</v>
      </c>
      <c r="N110" s="31">
        <f>111.0074*1508.6637</f>
        <v>167472.83481138002</v>
      </c>
      <c r="O110" s="34">
        <v>298</v>
      </c>
      <c r="P110" s="53">
        <v>2.5000000000000001E-3</v>
      </c>
      <c r="Q110" s="53">
        <v>8.3999999999999995E-3</v>
      </c>
      <c r="R110" s="60">
        <f>((K110-D110)/D110)</f>
        <v>2.046049652786422E-3</v>
      </c>
      <c r="S110" s="60">
        <f>((N110-G110)/G110)</f>
        <v>8.0408751189374704E-3</v>
      </c>
      <c r="T110" s="60">
        <f>((O110-H110)/H110)</f>
        <v>0</v>
      </c>
      <c r="U110" s="60">
        <f>P110-I110</f>
        <v>1.3000000000000002E-3</v>
      </c>
      <c r="V110" s="61">
        <f>Q110-J110</f>
        <v>2.4999999999999996E-3</v>
      </c>
      <c r="X110" s="68"/>
      <c r="Y110" s="72"/>
      <c r="Z110" s="68"/>
      <c r="AA110" s="73"/>
    </row>
    <row r="111" spans="1:28" ht="16.5" customHeight="1">
      <c r="A111" s="175">
        <v>96</v>
      </c>
      <c r="B111" s="176" t="s">
        <v>160</v>
      </c>
      <c r="C111" s="177" t="s">
        <v>57</v>
      </c>
      <c r="D111" s="31">
        <f>1598969.2*1500.41</f>
        <v>2399109377.3720002</v>
      </c>
      <c r="E111" s="32">
        <f t="shared" si="56"/>
        <v>1.3665135548228879E-3</v>
      </c>
      <c r="F111" s="31">
        <f>100*1500.41</f>
        <v>150041</v>
      </c>
      <c r="G111" s="31">
        <f>100*1500.41</f>
        <v>150041</v>
      </c>
      <c r="H111" s="34">
        <v>42</v>
      </c>
      <c r="I111" s="53">
        <v>4.0900000000000002E-4</v>
      </c>
      <c r="J111" s="53">
        <v>6.8652000000000005E-2</v>
      </c>
      <c r="K111" s="31">
        <f>1716332.84*1508.6637</f>
        <v>2589369052.8259082</v>
      </c>
      <c r="L111" s="32">
        <f t="shared" si="57"/>
        <v>1.4553629062800434E-3</v>
      </c>
      <c r="M111" s="31">
        <f>100*1508.6637</f>
        <v>150866.37</v>
      </c>
      <c r="N111" s="31">
        <f>100*1508.6637</f>
        <v>150866.37</v>
      </c>
      <c r="O111" s="34">
        <v>44</v>
      </c>
      <c r="P111" s="53">
        <v>9.2599999999999996E-4</v>
      </c>
      <c r="Q111" s="53">
        <v>6.9578000000000001E-2</v>
      </c>
      <c r="R111" s="60">
        <f>((K111-D111)/D111)</f>
        <v>7.9304294021942279E-2</v>
      </c>
      <c r="S111" s="60">
        <f>((N111-G111)/G111)</f>
        <v>5.5009630700941434E-3</v>
      </c>
      <c r="T111" s="60">
        <f>((O111-H111)/H111)</f>
        <v>4.7619047619047616E-2</v>
      </c>
      <c r="U111" s="60">
        <f>P111-I111</f>
        <v>5.1699999999999988E-4</v>
      </c>
      <c r="V111" s="61">
        <f>Q111-J111</f>
        <v>9.2599999999999627E-4</v>
      </c>
      <c r="X111" s="68"/>
      <c r="Y111" s="72"/>
      <c r="Z111" s="68"/>
      <c r="AA111" s="73"/>
    </row>
    <row r="112" spans="1:28">
      <c r="A112" s="146">
        <v>97</v>
      </c>
      <c r="B112" s="140" t="s">
        <v>161</v>
      </c>
      <c r="C112" s="141" t="s">
        <v>23</v>
      </c>
      <c r="D112" s="31">
        <f>10100972.17*1498.71</f>
        <v>15138428000.9007</v>
      </c>
      <c r="E112" s="32">
        <f t="shared" si="56"/>
        <v>8.622727774338361E-3</v>
      </c>
      <c r="F112" s="31">
        <f>1.1437*1498.71</f>
        <v>1714.074627</v>
      </c>
      <c r="G112" s="31">
        <f>1.1437*1498.71</f>
        <v>1714.074627</v>
      </c>
      <c r="H112" s="34">
        <v>310</v>
      </c>
      <c r="I112" s="53">
        <v>5.9299999999999999E-2</v>
      </c>
      <c r="J112" s="53">
        <v>6.6000000000000003E-2</v>
      </c>
      <c r="K112" s="31">
        <f>10145115.04*1515</f>
        <v>15369849285.599998</v>
      </c>
      <c r="L112" s="32">
        <f t="shared" si="57"/>
        <v>8.6386714558764691E-3</v>
      </c>
      <c r="M112" s="31">
        <f>1.1451*1515</f>
        <v>1734.8265000000001</v>
      </c>
      <c r="N112" s="31">
        <f>1.1451*1515</f>
        <v>1734.8265000000001</v>
      </c>
      <c r="O112" s="34">
        <v>306</v>
      </c>
      <c r="P112" s="53">
        <v>6.5699999999999995E-2</v>
      </c>
      <c r="Q112" s="53">
        <v>6.3799999999999996E-2</v>
      </c>
      <c r="R112" s="60">
        <f t="shared" ref="R112:R123" si="58">((K112-D112)/D112)</f>
        <v>1.5287008973820125E-2</v>
      </c>
      <c r="S112" s="60">
        <f t="shared" ref="S112:S123" si="59">((N112-G112)/G112)</f>
        <v>1.2106750005581968E-2</v>
      </c>
      <c r="T112" s="60">
        <f t="shared" ref="T112:T123" si="60">((O112-H112)/H112)</f>
        <v>-1.2903225806451613E-2</v>
      </c>
      <c r="U112" s="60">
        <f t="shared" ref="U112:U123" si="61">P112-I112</f>
        <v>6.399999999999996E-3</v>
      </c>
      <c r="V112" s="61">
        <f t="shared" ref="V112:V123" si="62">Q112-J112</f>
        <v>-2.2000000000000075E-3</v>
      </c>
    </row>
    <row r="113" spans="1:24">
      <c r="A113" s="146">
        <v>98</v>
      </c>
      <c r="B113" s="140" t="s">
        <v>294</v>
      </c>
      <c r="C113" s="141" t="s">
        <v>23</v>
      </c>
      <c r="D113" s="31">
        <f>1116565.68*1498.71</f>
        <v>1673408150.2728</v>
      </c>
      <c r="E113" s="32">
        <f t="shared" si="56"/>
        <v>9.5315992745765568E-4</v>
      </c>
      <c r="F113" s="31">
        <f>1.0034*1498.71</f>
        <v>1503.8056140000001</v>
      </c>
      <c r="G113" s="31">
        <f>1.0034*1498.71</f>
        <v>1503.8056140000001</v>
      </c>
      <c r="H113" s="34">
        <v>22</v>
      </c>
      <c r="I113" s="53">
        <v>4.1599999999999998E-2</v>
      </c>
      <c r="J113" s="53">
        <v>3.27E-2</v>
      </c>
      <c r="K113" s="31">
        <f>1392016.26*1515</f>
        <v>2108904633.9000001</v>
      </c>
      <c r="L113" s="32">
        <f t="shared" si="57"/>
        <v>1.1853163896087195E-3</v>
      </c>
      <c r="M113" s="31">
        <f>1.0042*1515</f>
        <v>1521.3630000000001</v>
      </c>
      <c r="N113" s="31">
        <f>1.0042*1515</f>
        <v>1521.3630000000001</v>
      </c>
      <c r="O113" s="34">
        <v>30</v>
      </c>
      <c r="P113" s="53">
        <v>4.1599999999999998E-2</v>
      </c>
      <c r="Q113" s="53">
        <v>3.4099999999999998E-2</v>
      </c>
      <c r="R113" s="60">
        <f t="shared" si="58"/>
        <v>0.26024522681821838</v>
      </c>
      <c r="S113" s="60">
        <f t="shared" ref="S113" si="63">((N113-G113)/G113)</f>
        <v>1.167530286929754E-2</v>
      </c>
      <c r="T113" s="60">
        <f t="shared" ref="T113" si="64">((O113-H113)/H113)</f>
        <v>0.36363636363636365</v>
      </c>
      <c r="U113" s="60">
        <f t="shared" ref="U113" si="65">P113-I113</f>
        <v>0</v>
      </c>
      <c r="V113" s="61">
        <f t="shared" ref="V113" si="66">Q113-J113</f>
        <v>1.3999999999999985E-3</v>
      </c>
    </row>
    <row r="114" spans="1:24">
      <c r="A114" s="146">
        <v>99</v>
      </c>
      <c r="B114" s="140" t="s">
        <v>162</v>
      </c>
      <c r="C114" s="141" t="s">
        <v>27</v>
      </c>
      <c r="D114" s="31">
        <f>3879774.54*1500.41</f>
        <v>5821252517.5614004</v>
      </c>
      <c r="E114" s="32">
        <f t="shared" si="56"/>
        <v>3.3157389764397805E-3</v>
      </c>
      <c r="F114" s="31">
        <f>1.0843*1500.41</f>
        <v>1626.8945630000001</v>
      </c>
      <c r="G114" s="31">
        <f>1.0843*1500.41</f>
        <v>1626.8945630000001</v>
      </c>
      <c r="H114" s="34">
        <v>318</v>
      </c>
      <c r="I114" s="53">
        <v>1.6999999999999999E-3</v>
      </c>
      <c r="J114" s="53">
        <v>8.6E-3</v>
      </c>
      <c r="K114" s="31">
        <f>4100583.05*1508.6637</f>
        <v>6186400796.370285</v>
      </c>
      <c r="L114" s="32">
        <f t="shared" si="57"/>
        <v>3.4770857528372435E-3</v>
      </c>
      <c r="M114" s="31">
        <f>1.0857*1508.6637</f>
        <v>1637.9561790900002</v>
      </c>
      <c r="N114" s="31">
        <f>1.0857*1508.6637</f>
        <v>1637.9561790900002</v>
      </c>
      <c r="O114" s="34">
        <v>325</v>
      </c>
      <c r="P114" s="53">
        <v>3.0000000000000001E-3</v>
      </c>
      <c r="Q114" s="53">
        <v>9.9000000000000008E-3</v>
      </c>
      <c r="R114" s="60">
        <f t="shared" si="58"/>
        <v>6.2726754715985086E-2</v>
      </c>
      <c r="S114" s="60">
        <f t="shared" ref="S114:T117" si="67">((N114-G114)/G114)</f>
        <v>6.7992212535288579E-3</v>
      </c>
      <c r="T114" s="60">
        <f t="shared" si="67"/>
        <v>2.20125786163522E-2</v>
      </c>
      <c r="U114" s="60">
        <f t="shared" si="61"/>
        <v>1.3000000000000002E-3</v>
      </c>
      <c r="V114" s="61">
        <f t="shared" si="62"/>
        <v>1.3000000000000008E-3</v>
      </c>
    </row>
    <row r="115" spans="1:24">
      <c r="A115" s="146">
        <v>100</v>
      </c>
      <c r="B115" s="140" t="s">
        <v>163</v>
      </c>
      <c r="C115" s="141" t="s">
        <v>63</v>
      </c>
      <c r="D115" s="31">
        <f xml:space="preserve"> 441265.46*1500.41</f>
        <v>662079108.83860004</v>
      </c>
      <c r="E115" s="32">
        <f t="shared" si="56"/>
        <v>3.7711497655186656E-4</v>
      </c>
      <c r="F115" s="31">
        <f>1.08*1500.41</f>
        <v>1620.4428000000003</v>
      </c>
      <c r="G115" s="31">
        <f>1.09*1500.41</f>
        <v>1635.4469000000001</v>
      </c>
      <c r="H115" s="34">
        <v>21</v>
      </c>
      <c r="I115" s="53">
        <v>0.93</v>
      </c>
      <c r="J115" s="53">
        <v>0.38600000000000001</v>
      </c>
      <c r="K115" s="31">
        <f>411498.01*1508.6637</f>
        <v>620812110.309237</v>
      </c>
      <c r="L115" s="32">
        <f t="shared" si="57"/>
        <v>3.4892937185893052E-4</v>
      </c>
      <c r="M115" s="31">
        <f>1.09*1508.6637</f>
        <v>1644.4434330000001</v>
      </c>
      <c r="N115" s="31">
        <f>1.1*1508.6637</f>
        <v>1659.5300700000003</v>
      </c>
      <c r="O115" s="34">
        <v>21</v>
      </c>
      <c r="P115" s="53">
        <v>0.23050000000000001</v>
      </c>
      <c r="Q115" s="53">
        <v>0.36099999999999999</v>
      </c>
      <c r="R115" s="60">
        <f t="shared" si="58"/>
        <v>-6.2329407435544083E-2</v>
      </c>
      <c r="S115" s="60">
        <f t="shared" si="67"/>
        <v>1.4725742547801526E-2</v>
      </c>
      <c r="T115" s="60">
        <f t="shared" si="67"/>
        <v>0</v>
      </c>
      <c r="U115" s="60">
        <f t="shared" si="61"/>
        <v>-0.69950000000000001</v>
      </c>
      <c r="V115" s="61">
        <f t="shared" si="62"/>
        <v>-2.5000000000000022E-2</v>
      </c>
    </row>
    <row r="116" spans="1:24">
      <c r="A116" s="146">
        <v>101</v>
      </c>
      <c r="B116" s="140" t="s">
        <v>164</v>
      </c>
      <c r="C116" s="141" t="s">
        <v>29</v>
      </c>
      <c r="D116" s="31">
        <f>246473.38*1500.41</f>
        <v>369811124.08580005</v>
      </c>
      <c r="E116" s="32">
        <v>0</v>
      </c>
      <c r="F116" s="31">
        <f>1.2201*1500.41</f>
        <v>1830.6502410000001</v>
      </c>
      <c r="G116" s="31">
        <f>1.2201*1500.41</f>
        <v>1830.6502410000001</v>
      </c>
      <c r="H116" s="34">
        <v>38</v>
      </c>
      <c r="I116" s="53">
        <v>9.8499999999999998E-4</v>
      </c>
      <c r="J116" s="53">
        <v>1.5699999999999999E-2</v>
      </c>
      <c r="K116" s="31">
        <f>247172.83*1508.6637</f>
        <v>372900676.247271</v>
      </c>
      <c r="L116" s="32">
        <f t="shared" si="57"/>
        <v>2.0958998152261835E-4</v>
      </c>
      <c r="M116" s="31">
        <f>1.2235*1508.6637</f>
        <v>1845.8500369500002</v>
      </c>
      <c r="N116" s="31">
        <f>1.2235*1508.6637</f>
        <v>1845.8500369500002</v>
      </c>
      <c r="O116" s="34">
        <v>38</v>
      </c>
      <c r="P116" s="53">
        <v>1.6000000000000001E-3</v>
      </c>
      <c r="Q116" s="53">
        <v>1.8599999999999998E-2</v>
      </c>
      <c r="R116" s="60">
        <f t="shared" si="58"/>
        <v>8.3544056959036772E-3</v>
      </c>
      <c r="S116" s="60">
        <f t="shared" si="67"/>
        <v>8.3029491978201305E-3</v>
      </c>
      <c r="T116" s="60">
        <f t="shared" si="67"/>
        <v>0</v>
      </c>
      <c r="U116" s="60">
        <f t="shared" si="61"/>
        <v>6.150000000000001E-4</v>
      </c>
      <c r="V116" s="61">
        <f t="shared" si="62"/>
        <v>2.8999999999999998E-3</v>
      </c>
    </row>
    <row r="117" spans="1:24">
      <c r="A117" s="146">
        <v>102</v>
      </c>
      <c r="B117" s="140" t="s">
        <v>165</v>
      </c>
      <c r="C117" s="141" t="s">
        <v>72</v>
      </c>
      <c r="D117" s="31">
        <f>439204.62*1500.41</f>
        <v>658987003.89420009</v>
      </c>
      <c r="E117" s="32">
        <f t="shared" ref="E117:E125" si="68">(D117/$D$143)</f>
        <v>3.7535373825264156E-4</v>
      </c>
      <c r="F117" s="31">
        <f>107.05*1500.41</f>
        <v>160618.89050000001</v>
      </c>
      <c r="G117" s="31">
        <f>107.43*1500.41</f>
        <v>161189.04630000002</v>
      </c>
      <c r="H117" s="34">
        <v>45</v>
      </c>
      <c r="I117" s="53">
        <v>1.4200000000000001E-2</v>
      </c>
      <c r="J117" s="53">
        <v>1.9199999999999998E-2</v>
      </c>
      <c r="K117" s="31">
        <f>439567.9*1508.6637</f>
        <v>663160134.41523004</v>
      </c>
      <c r="L117" s="32">
        <f t="shared" si="57"/>
        <v>3.7273121013719893E-4</v>
      </c>
      <c r="M117" s="31">
        <f>107.12*1508.6637</f>
        <v>161608.055544</v>
      </c>
      <c r="N117" s="31">
        <f>107.58*1508.6637</f>
        <v>162302.04084600002</v>
      </c>
      <c r="O117" s="34">
        <v>45</v>
      </c>
      <c r="P117" s="53">
        <v>1.1000000000000001E-3</v>
      </c>
      <c r="Q117" s="53">
        <v>2.0299999999999999E-2</v>
      </c>
      <c r="R117" s="60">
        <f t="shared" si="58"/>
        <v>6.3326446445367869E-3</v>
      </c>
      <c r="S117" s="60">
        <f t="shared" si="67"/>
        <v>6.904901862428859E-3</v>
      </c>
      <c r="T117" s="60">
        <f t="shared" si="67"/>
        <v>0</v>
      </c>
      <c r="U117" s="60">
        <f t="shared" si="61"/>
        <v>-1.3100000000000001E-2</v>
      </c>
      <c r="V117" s="61">
        <f t="shared" si="62"/>
        <v>1.1000000000000003E-3</v>
      </c>
    </row>
    <row r="118" spans="1:24">
      <c r="A118" s="146">
        <v>103</v>
      </c>
      <c r="B118" s="140" t="s">
        <v>166</v>
      </c>
      <c r="C118" s="141" t="s">
        <v>75</v>
      </c>
      <c r="D118" s="31">
        <v>4998927880.2472</v>
      </c>
      <c r="E118" s="32">
        <f t="shared" si="68"/>
        <v>2.8473494257367617E-3</v>
      </c>
      <c r="F118" s="31">
        <v>168029.71557200002</v>
      </c>
      <c r="G118" s="31">
        <v>168029.71557200002</v>
      </c>
      <c r="H118" s="34">
        <v>58</v>
      </c>
      <c r="I118" s="53" t="s">
        <v>302</v>
      </c>
      <c r="J118" s="53">
        <v>7.0599999999999996E-2</v>
      </c>
      <c r="K118" s="31">
        <v>5009964268.2461996</v>
      </c>
      <c r="L118" s="32">
        <f t="shared" si="57"/>
        <v>2.8158659538456217E-3</v>
      </c>
      <c r="M118" s="31">
        <v>169162.877614</v>
      </c>
      <c r="N118" s="31">
        <v>169162.877614</v>
      </c>
      <c r="O118" s="34">
        <v>58</v>
      </c>
      <c r="P118" s="53" t="s">
        <v>296</v>
      </c>
      <c r="Q118" s="53">
        <v>7.0000000000000007E-2</v>
      </c>
      <c r="R118" s="60">
        <f t="shared" si="58"/>
        <v>2.2077509944900104E-3</v>
      </c>
      <c r="S118" s="60">
        <f t="shared" si="59"/>
        <v>6.7438193187586912E-3</v>
      </c>
      <c r="T118" s="60">
        <f t="shared" si="60"/>
        <v>0</v>
      </c>
      <c r="U118" s="60">
        <f t="shared" si="61"/>
        <v>-5.9999999999999995E-4</v>
      </c>
      <c r="V118" s="61">
        <f t="shared" si="62"/>
        <v>-5.9999999999998943E-4</v>
      </c>
      <c r="X118" s="69"/>
    </row>
    <row r="119" spans="1:24">
      <c r="A119" s="146">
        <v>104</v>
      </c>
      <c r="B119" s="140" t="s">
        <v>167</v>
      </c>
      <c r="C119" s="141" t="s">
        <v>31</v>
      </c>
      <c r="D119" s="31">
        <v>49992779882.639999</v>
      </c>
      <c r="E119" s="32">
        <f t="shared" si="68"/>
        <v>2.8475488444690302E-2</v>
      </c>
      <c r="F119" s="31">
        <v>191388.45</v>
      </c>
      <c r="G119" s="31">
        <v>191388.45</v>
      </c>
      <c r="H119" s="34">
        <v>2317</v>
      </c>
      <c r="I119" s="53">
        <v>1.1999999999999999E-3</v>
      </c>
      <c r="J119" s="53">
        <v>7.7999999999999996E-3</v>
      </c>
      <c r="K119" s="31">
        <v>51173423660.800003</v>
      </c>
      <c r="L119" s="32">
        <f t="shared" si="57"/>
        <v>2.8762181467335661E-2</v>
      </c>
      <c r="M119" s="31">
        <v>192773.38</v>
      </c>
      <c r="N119" s="31">
        <v>192773.38</v>
      </c>
      <c r="O119" s="34">
        <v>2326</v>
      </c>
      <c r="P119" s="53">
        <v>1.6000000000000001E-3</v>
      </c>
      <c r="Q119" s="53">
        <v>9.4000000000000004E-3</v>
      </c>
      <c r="R119" s="60">
        <f t="shared" si="58"/>
        <v>2.3616285810303228E-2</v>
      </c>
      <c r="S119" s="60">
        <f t="shared" si="59"/>
        <v>7.2362255925056762E-3</v>
      </c>
      <c r="T119" s="60">
        <f t="shared" si="60"/>
        <v>3.8843331894691411E-3</v>
      </c>
      <c r="U119" s="60">
        <f t="shared" si="61"/>
        <v>4.0000000000000018E-4</v>
      </c>
      <c r="V119" s="61">
        <f t="shared" si="62"/>
        <v>1.6000000000000007E-3</v>
      </c>
    </row>
    <row r="120" spans="1:24">
      <c r="A120" s="146">
        <v>105</v>
      </c>
      <c r="B120" s="182" t="s">
        <v>168</v>
      </c>
      <c r="C120" s="182" t="s">
        <v>31</v>
      </c>
      <c r="D120" s="31">
        <v>113774042699.14</v>
      </c>
      <c r="E120" s="32">
        <f t="shared" si="68"/>
        <v>6.4804786727014424E-2</v>
      </c>
      <c r="F120" s="31">
        <v>179939.4</v>
      </c>
      <c r="G120" s="31">
        <v>179939.4</v>
      </c>
      <c r="H120" s="34">
        <v>700</v>
      </c>
      <c r="I120" s="53">
        <v>1.4E-3</v>
      </c>
      <c r="J120" s="53">
        <v>8.3999999999999995E-3</v>
      </c>
      <c r="K120" s="31">
        <v>117719341908.57001</v>
      </c>
      <c r="L120" s="32">
        <f t="shared" si="57"/>
        <v>6.6164521190386391E-2</v>
      </c>
      <c r="M120" s="31">
        <v>181244.45</v>
      </c>
      <c r="N120" s="31">
        <v>181244.45</v>
      </c>
      <c r="O120" s="34">
        <v>711</v>
      </c>
      <c r="P120" s="53">
        <v>1.6000000000000001E-3</v>
      </c>
      <c r="Q120" s="53">
        <v>1.03E-2</v>
      </c>
      <c r="R120" s="60">
        <f t="shared" si="58"/>
        <v>3.4676619691389673E-2</v>
      </c>
      <c r="S120" s="60">
        <f t="shared" si="59"/>
        <v>7.2527195266851923E-3</v>
      </c>
      <c r="T120" s="60">
        <f t="shared" si="60"/>
        <v>1.5714285714285715E-2</v>
      </c>
      <c r="U120" s="60">
        <f t="shared" si="61"/>
        <v>2.0000000000000009E-4</v>
      </c>
      <c r="V120" s="61">
        <f t="shared" si="62"/>
        <v>1.9000000000000006E-3</v>
      </c>
    </row>
    <row r="121" spans="1:24">
      <c r="A121" s="146">
        <v>106</v>
      </c>
      <c r="B121" s="140" t="s">
        <v>169</v>
      </c>
      <c r="C121" s="141" t="s">
        <v>35</v>
      </c>
      <c r="D121" s="31">
        <f>136888.21*1500.41</f>
        <v>205388439.1661</v>
      </c>
      <c r="E121" s="32">
        <f t="shared" si="68"/>
        <v>1.1698761580926134E-4</v>
      </c>
      <c r="F121" s="31">
        <f>113.11*1500.41</f>
        <v>169711.3751</v>
      </c>
      <c r="G121" s="31">
        <f>113.11*1500.41</f>
        <v>169711.3751</v>
      </c>
      <c r="H121" s="34">
        <v>8</v>
      </c>
      <c r="I121" s="53">
        <v>-1.2200000000000001E-2</v>
      </c>
      <c r="J121" s="53">
        <v>-2.3999999999999998E-3</v>
      </c>
      <c r="K121" s="31">
        <f>137208.33*1508.6637</f>
        <v>207001226.80862099</v>
      </c>
      <c r="L121" s="32">
        <f t="shared" si="57"/>
        <v>1.163456814790255E-4</v>
      </c>
      <c r="M121" s="31">
        <f>113.38*1508.6637</f>
        <v>171052.29030600001</v>
      </c>
      <c r="N121" s="31">
        <f>113.38*1508.6637</f>
        <v>171052.29030600001</v>
      </c>
      <c r="O121" s="34">
        <v>8</v>
      </c>
      <c r="P121" s="53">
        <v>2.3E-3</v>
      </c>
      <c r="Q121" s="53">
        <v>0</v>
      </c>
      <c r="R121" s="60">
        <f t="shared" si="58"/>
        <v>7.8523779092391569E-3</v>
      </c>
      <c r="S121" s="60">
        <f t="shared" si="59"/>
        <v>7.9011510289742799E-3</v>
      </c>
      <c r="T121" s="60">
        <f t="shared" si="60"/>
        <v>0</v>
      </c>
      <c r="U121" s="60">
        <f t="shared" si="61"/>
        <v>1.4500000000000001E-2</v>
      </c>
      <c r="V121" s="61">
        <f t="shared" si="62"/>
        <v>2.3999999999999998E-3</v>
      </c>
    </row>
    <row r="122" spans="1:24">
      <c r="A122" s="146">
        <v>107</v>
      </c>
      <c r="B122" s="140" t="s">
        <v>170</v>
      </c>
      <c r="C122" s="141" t="s">
        <v>41</v>
      </c>
      <c r="D122" s="31">
        <f>10410525.15*1500.41</f>
        <v>15620056040.311501</v>
      </c>
      <c r="E122" s="32">
        <f t="shared" si="68"/>
        <v>8.8970592618666938E-3</v>
      </c>
      <c r="F122" s="31">
        <f>1.39*1500.41</f>
        <v>2085.5699</v>
      </c>
      <c r="G122" s="31">
        <f>1.39*1500.41</f>
        <v>2085.5699</v>
      </c>
      <c r="H122" s="49">
        <v>114</v>
      </c>
      <c r="I122" s="56">
        <v>1.1000000000000001E-3</v>
      </c>
      <c r="J122" s="56">
        <v>4.8599999999999997E-2</v>
      </c>
      <c r="K122" s="31">
        <f>10380228.06*1508.6637</f>
        <v>15660273271.843424</v>
      </c>
      <c r="L122" s="32">
        <f t="shared" si="57"/>
        <v>8.8019051580061E-3</v>
      </c>
      <c r="M122" s="31">
        <f>1.39*1508.6637</f>
        <v>2097.042543</v>
      </c>
      <c r="N122" s="31">
        <f>1.39*1508.6637</f>
        <v>2097.042543</v>
      </c>
      <c r="O122" s="49">
        <v>115</v>
      </c>
      <c r="P122" s="56">
        <v>8.9999999999999998E-4</v>
      </c>
      <c r="Q122" s="56">
        <v>4.87E-2</v>
      </c>
      <c r="R122" s="60">
        <f t="shared" si="58"/>
        <v>2.5747174932108162E-3</v>
      </c>
      <c r="S122" s="60">
        <f t="shared" si="59"/>
        <v>5.5009630700942041E-3</v>
      </c>
      <c r="T122" s="60">
        <f t="shared" si="60"/>
        <v>8.771929824561403E-3</v>
      </c>
      <c r="U122" s="60">
        <f t="shared" si="61"/>
        <v>-2.0000000000000009E-4</v>
      </c>
      <c r="V122" s="61">
        <f t="shared" si="62"/>
        <v>1.0000000000000286E-4</v>
      </c>
    </row>
    <row r="123" spans="1:24">
      <c r="A123" s="146">
        <v>108</v>
      </c>
      <c r="B123" s="140" t="s">
        <v>171</v>
      </c>
      <c r="C123" s="141" t="s">
        <v>89</v>
      </c>
      <c r="D123" s="31">
        <f>19822381.12*1500.41</f>
        <v>29741698856.259205</v>
      </c>
      <c r="E123" s="32">
        <f t="shared" si="68"/>
        <v>1.6940634309494704E-2</v>
      </c>
      <c r="F123" s="31">
        <f>104.17*1500.41</f>
        <v>156297.70970000001</v>
      </c>
      <c r="G123" s="31">
        <f>104.17*1500.41</f>
        <v>156297.70970000001</v>
      </c>
      <c r="H123" s="34">
        <v>512</v>
      </c>
      <c r="I123" s="56">
        <v>1.6000000000000001E-3</v>
      </c>
      <c r="J123" s="53">
        <v>9.6199999999999994E-2</v>
      </c>
      <c r="K123" s="31">
        <f>19910323*1508.6637</f>
        <v>30037981565.375103</v>
      </c>
      <c r="L123" s="32">
        <f t="shared" si="57"/>
        <v>1.6882940692467548E-2</v>
      </c>
      <c r="M123" s="31">
        <f>104.35*1508.6637</f>
        <v>157429.057095</v>
      </c>
      <c r="N123" s="31">
        <f>104.35*1508.6637</f>
        <v>157429.057095</v>
      </c>
      <c r="O123" s="34">
        <v>543</v>
      </c>
      <c r="P123" s="56">
        <v>1.8E-3</v>
      </c>
      <c r="Q123" s="53">
        <v>9.5799999999999996E-2</v>
      </c>
      <c r="R123" s="60">
        <f t="shared" si="58"/>
        <v>9.9618623182160561E-3</v>
      </c>
      <c r="S123" s="60">
        <f t="shared" si="59"/>
        <v>7.2384131358771264E-3</v>
      </c>
      <c r="T123" s="60">
        <f t="shared" si="60"/>
        <v>6.0546875E-2</v>
      </c>
      <c r="U123" s="60">
        <f t="shared" si="61"/>
        <v>1.9999999999999987E-4</v>
      </c>
      <c r="V123" s="61">
        <f t="shared" si="62"/>
        <v>-3.9999999999999758E-4</v>
      </c>
    </row>
    <row r="124" spans="1:24">
      <c r="A124" s="146">
        <v>109</v>
      </c>
      <c r="B124" s="140" t="s">
        <v>172</v>
      </c>
      <c r="C124" s="141" t="s">
        <v>45</v>
      </c>
      <c r="D124" s="31">
        <f>1716561.38*1500.41</f>
        <v>2575545860.1658001</v>
      </c>
      <c r="E124" s="32">
        <f t="shared" si="68"/>
        <v>1.4670103673388342E-3</v>
      </c>
      <c r="F124" s="31">
        <f>137.166455*1500.41</f>
        <v>205805.92074655002</v>
      </c>
      <c r="G124" s="31">
        <f>141.177251*1500.41</f>
        <v>211823.75917291004</v>
      </c>
      <c r="H124" s="34">
        <v>51</v>
      </c>
      <c r="I124" s="53">
        <v>6.9999999999999999E-4</v>
      </c>
      <c r="J124" s="53">
        <v>4.2299999999999997E-2</v>
      </c>
      <c r="K124" s="31">
        <f>1716561.38*1508.6637</f>
        <v>2589713842.8279061</v>
      </c>
      <c r="L124" s="32">
        <f t="shared" si="57"/>
        <v>1.4555566965699276E-3</v>
      </c>
      <c r="M124" s="31">
        <f>137.311717*1508.6637</f>
        <v>207157.20302257288</v>
      </c>
      <c r="N124" s="31">
        <f>141.363506*1508.6637</f>
        <v>213269.9900069322</v>
      </c>
      <c r="O124" s="34">
        <v>51</v>
      </c>
      <c r="P124" s="53">
        <v>1E-3</v>
      </c>
      <c r="Q124" s="53">
        <v>4.3499999999999997E-2</v>
      </c>
      <c r="R124" s="60">
        <f t="shared" ref="R124:R125" si="69">((K124-D124)/D124)</f>
        <v>5.5009630700941885E-3</v>
      </c>
      <c r="S124" s="60">
        <f t="shared" ref="S124:S125" si="70">((N124-G124)/G124)</f>
        <v>6.8275194419603214E-3</v>
      </c>
      <c r="T124" s="60">
        <f t="shared" ref="T124:T125" si="71">((O124-H124)/H124)</f>
        <v>0</v>
      </c>
      <c r="U124" s="60">
        <f t="shared" ref="U124:U125" si="72">P124-I124</f>
        <v>3.0000000000000003E-4</v>
      </c>
      <c r="V124" s="61">
        <f t="shared" ref="V124:V125" si="73">Q124-J124</f>
        <v>1.1999999999999997E-3</v>
      </c>
    </row>
    <row r="125" spans="1:24">
      <c r="A125" s="146">
        <v>110</v>
      </c>
      <c r="B125" s="140" t="s">
        <v>173</v>
      </c>
      <c r="C125" s="141" t="s">
        <v>52</v>
      </c>
      <c r="D125" s="35">
        <f>122927771.77*1500.65</f>
        <v>184471560706.65051</v>
      </c>
      <c r="E125" s="32">
        <f t="shared" si="68"/>
        <v>0.10507352876970719</v>
      </c>
      <c r="F125" s="31">
        <f>125.2352*1500.65</f>
        <v>187934.20288000003</v>
      </c>
      <c r="G125" s="31">
        <f>125.2352*1500.65</f>
        <v>187934.20288000003</v>
      </c>
      <c r="H125" s="34">
        <v>3494</v>
      </c>
      <c r="I125" s="53">
        <v>4.2299999999999997E-2</v>
      </c>
      <c r="J125" s="53">
        <v>5.4600000000000003E-2</v>
      </c>
      <c r="K125" s="35">
        <f>122807283.25*1509.7</f>
        <v>185402155522.52499</v>
      </c>
      <c r="L125" s="32">
        <f t="shared" si="57"/>
        <v>0.10420585647973601</v>
      </c>
      <c r="M125" s="31">
        <f>125.3791*1509.7</f>
        <v>189284.82727000001</v>
      </c>
      <c r="N125" s="31">
        <f>125.3791*1509.7</f>
        <v>189284.82727000001</v>
      </c>
      <c r="O125" s="34">
        <v>3511</v>
      </c>
      <c r="P125" s="53">
        <v>6.1699999999999998E-2</v>
      </c>
      <c r="Q125" s="53">
        <v>5.57E-2</v>
      </c>
      <c r="R125" s="60">
        <f t="shared" si="69"/>
        <v>5.0446519361015615E-3</v>
      </c>
      <c r="S125" s="60">
        <f t="shared" si="70"/>
        <v>7.1866875177712328E-3</v>
      </c>
      <c r="T125" s="60">
        <f t="shared" si="71"/>
        <v>4.8654836863194044E-3</v>
      </c>
      <c r="U125" s="60">
        <f t="shared" si="72"/>
        <v>1.9400000000000001E-2</v>
      </c>
      <c r="V125" s="61">
        <f t="shared" si="73"/>
        <v>1.0999999999999968E-3</v>
      </c>
    </row>
    <row r="126" spans="1:24" ht="6" customHeight="1">
      <c r="A126" s="38"/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</row>
    <row r="127" spans="1:24">
      <c r="A127" s="188" t="s">
        <v>174</v>
      </c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</row>
    <row r="128" spans="1:24">
      <c r="A128" s="146">
        <v>111</v>
      </c>
      <c r="B128" s="140" t="s">
        <v>175</v>
      </c>
      <c r="C128" s="141" t="s">
        <v>118</v>
      </c>
      <c r="D128" s="35">
        <f>1267228.1*1500.41</f>
        <v>1901361713.5210001</v>
      </c>
      <c r="E128" s="32">
        <f t="shared" ref="E128:E140" si="74">(D128/$D$143)</f>
        <v>1.0830004578590094E-3</v>
      </c>
      <c r="F128" s="31">
        <f>112.89*1500.41</f>
        <v>169381.2849</v>
      </c>
      <c r="G128" s="31">
        <f>112.89*1500.41</f>
        <v>169381.2849</v>
      </c>
      <c r="H128" s="34">
        <v>22</v>
      </c>
      <c r="I128" s="53">
        <v>7.0899999999999999E-4</v>
      </c>
      <c r="J128" s="53">
        <v>3.9300000000000002E-2</v>
      </c>
      <c r="K128" s="35">
        <f>1280470.1*1508.6637</f>
        <v>1931798758.8053703</v>
      </c>
      <c r="L128" s="32">
        <f t="shared" ref="L128:L142" si="75">(K128/$K$143)</f>
        <v>1.0857734832718682E-3</v>
      </c>
      <c r="M128" s="31">
        <f>114.07*1508.6637</f>
        <v>172093.268259</v>
      </c>
      <c r="N128" s="31">
        <f>114.07*1508.6637</f>
        <v>172093.268259</v>
      </c>
      <c r="O128" s="34">
        <v>22</v>
      </c>
      <c r="P128" s="53">
        <v>1.0095E-2</v>
      </c>
      <c r="Q128" s="53">
        <v>5.0099999999999999E-2</v>
      </c>
      <c r="R128" s="60">
        <f>((K128-D128)/D128)</f>
        <v>1.6008024705623174E-2</v>
      </c>
      <c r="S128" s="60">
        <f>((N128-G128)/G128)</f>
        <v>1.6011115753438266E-2</v>
      </c>
      <c r="T128" s="60">
        <f>((O128-H128)/H128)</f>
        <v>0</v>
      </c>
      <c r="U128" s="60">
        <f>P128-I128</f>
        <v>9.3860000000000002E-3</v>
      </c>
      <c r="V128" s="61">
        <f>Q128-J128</f>
        <v>1.0799999999999997E-2</v>
      </c>
    </row>
    <row r="129" spans="1:24">
      <c r="A129" s="146">
        <v>112</v>
      </c>
      <c r="B129" s="141" t="s">
        <v>176</v>
      </c>
      <c r="C129" s="141" t="s">
        <v>25</v>
      </c>
      <c r="D129" s="31">
        <f>10763519.04*1500.41</f>
        <v>16149691602.8064</v>
      </c>
      <c r="E129" s="32">
        <f t="shared" si="74"/>
        <v>9.1987354514109689E-3</v>
      </c>
      <c r="F129" s="35">
        <f>134.5*1500.41</f>
        <v>201805.14500000002</v>
      </c>
      <c r="G129" s="35">
        <f>134.5*1500.41</f>
        <v>201805.14500000002</v>
      </c>
      <c r="H129" s="34">
        <v>528</v>
      </c>
      <c r="I129" s="53">
        <v>5.0000000000000001E-4</v>
      </c>
      <c r="J129" s="53">
        <v>5.5999999999999999E-3</v>
      </c>
      <c r="K129" s="31">
        <f>10838916.15*1508.6637</f>
        <v>16352279342.848757</v>
      </c>
      <c r="L129" s="32">
        <f t="shared" si="75"/>
        <v>9.1908493162606505E-3</v>
      </c>
      <c r="M129" s="35">
        <f>134.65*1508.6637</f>
        <v>203141.56720500003</v>
      </c>
      <c r="N129" s="35">
        <f>134.65*1508.6637</f>
        <v>203141.56720500003</v>
      </c>
      <c r="O129" s="34">
        <v>533</v>
      </c>
      <c r="P129" s="53">
        <v>5.0000000000000001E-4</v>
      </c>
      <c r="Q129" s="53">
        <v>6.7000000000000002E-3</v>
      </c>
      <c r="R129" s="60">
        <f t="shared" ref="R129:R143" si="76">((K129-D129)/D129)</f>
        <v>1.2544372055200854E-2</v>
      </c>
      <c r="S129" s="60">
        <f t="shared" ref="S129:S143" si="77">((N129-G129)/G129)</f>
        <v>6.6223396088341043E-3</v>
      </c>
      <c r="T129" s="60">
        <f t="shared" ref="T129:T143" si="78">((O129-H129)/H129)</f>
        <v>9.46969696969697E-3</v>
      </c>
      <c r="U129" s="60">
        <f t="shared" ref="U129:U143" si="79">P129-I129</f>
        <v>0</v>
      </c>
      <c r="V129" s="61">
        <f t="shared" ref="V129:V143" si="80">Q129-J129</f>
        <v>1.1000000000000003E-3</v>
      </c>
    </row>
    <row r="130" spans="1:24">
      <c r="A130" s="146">
        <v>113</v>
      </c>
      <c r="B130" s="140" t="s">
        <v>177</v>
      </c>
      <c r="C130" s="141" t="s">
        <v>67</v>
      </c>
      <c r="D130" s="35">
        <v>15626339377.08</v>
      </c>
      <c r="E130" s="32">
        <f t="shared" si="74"/>
        <v>8.9006382003447206E-3</v>
      </c>
      <c r="F130" s="35">
        <v>175611.83</v>
      </c>
      <c r="G130" s="35">
        <v>175611.83</v>
      </c>
      <c r="H130" s="34">
        <v>660</v>
      </c>
      <c r="I130" s="53">
        <v>1.1999999999999999E-3</v>
      </c>
      <c r="J130" s="53">
        <v>6.3700000000000007E-2</v>
      </c>
      <c r="K130" s="35">
        <v>16022033910.200001</v>
      </c>
      <c r="L130" s="32">
        <f t="shared" si="75"/>
        <v>9.0052338466848191E-3</v>
      </c>
      <c r="M130" s="35">
        <v>175806.5</v>
      </c>
      <c r="N130" s="35">
        <v>175806.5</v>
      </c>
      <c r="O130" s="34">
        <v>662</v>
      </c>
      <c r="P130" s="53">
        <v>1.1000000000000001E-3</v>
      </c>
      <c r="Q130" s="53">
        <v>6.3899999999999998E-2</v>
      </c>
      <c r="R130" s="60">
        <f t="shared" si="76"/>
        <v>2.5322279490511225E-2</v>
      </c>
      <c r="S130" s="60">
        <f t="shared" si="77"/>
        <v>1.1085244086347305E-3</v>
      </c>
      <c r="T130" s="60">
        <f t="shared" si="78"/>
        <v>3.0303030303030303E-3</v>
      </c>
      <c r="U130" s="60">
        <f t="shared" si="79"/>
        <v>-9.9999999999999829E-5</v>
      </c>
      <c r="V130" s="61">
        <f t="shared" si="80"/>
        <v>1.9999999999999185E-4</v>
      </c>
    </row>
    <row r="131" spans="1:24">
      <c r="A131" s="175">
        <v>114</v>
      </c>
      <c r="B131" s="176" t="s">
        <v>304</v>
      </c>
      <c r="C131" s="177" t="s">
        <v>305</v>
      </c>
      <c r="D131" s="31">
        <f>60033.82*1500.41</f>
        <v>90075343.8662</v>
      </c>
      <c r="E131" s="32">
        <f t="shared" ref="E131" si="81">(D131/$D$106)</f>
        <v>4.6713847450910662E-4</v>
      </c>
      <c r="F131" s="37">
        <f>0.9841*1500.41</f>
        <v>1476.5534810000001</v>
      </c>
      <c r="G131" s="37">
        <f>0.9841*1500.41</f>
        <v>1476.5534810000001</v>
      </c>
      <c r="H131" s="34">
        <v>2</v>
      </c>
      <c r="I131" s="53">
        <v>1.2208769966426392E-3</v>
      </c>
      <c r="J131" s="53">
        <v>4.2745461985576161E-2</v>
      </c>
      <c r="K131" s="31">
        <f>60128.6*1508.6637</f>
        <v>90713836.151820004</v>
      </c>
      <c r="L131" s="32">
        <f t="shared" ref="L131" si="82">(K131/$K$106)</f>
        <v>4.6960520356325593E-4</v>
      </c>
      <c r="M131" s="37">
        <f>0.9852*1508.6637</f>
        <v>1486.33547724</v>
      </c>
      <c r="N131" s="37">
        <f>0.9852*1508.6637</f>
        <v>1486.33547724</v>
      </c>
      <c r="O131" s="34">
        <v>2</v>
      </c>
      <c r="P131" s="53">
        <v>1.1177725840869623E-3</v>
      </c>
      <c r="Q131" s="53">
        <v>4.3849325507904324E-2</v>
      </c>
      <c r="R131" s="59">
        <f t="shared" si="76"/>
        <v>7.088424625593827E-3</v>
      </c>
      <c r="S131" s="59">
        <f t="shared" si="77"/>
        <v>6.6248844798869142E-3</v>
      </c>
      <c r="T131" s="59">
        <f t="shared" si="78"/>
        <v>0</v>
      </c>
      <c r="U131" s="60">
        <f t="shared" si="79"/>
        <v>-1.0310441255567682E-4</v>
      </c>
      <c r="V131" s="61">
        <f t="shared" si="80"/>
        <v>1.1038635223281634E-3</v>
      </c>
    </row>
    <row r="132" spans="1:24">
      <c r="A132" s="146">
        <v>115</v>
      </c>
      <c r="B132" s="140" t="s">
        <v>178</v>
      </c>
      <c r="C132" s="141" t="s">
        <v>65</v>
      </c>
      <c r="D132" s="35">
        <v>6543526674.703208</v>
      </c>
      <c r="E132" s="32">
        <f t="shared" si="74"/>
        <v>3.7271405721076359E-3</v>
      </c>
      <c r="F132" s="35">
        <v>1906.9000700558377</v>
      </c>
      <c r="G132" s="35">
        <v>1906.9000700558377</v>
      </c>
      <c r="H132" s="34">
        <v>234</v>
      </c>
      <c r="I132" s="53">
        <v>5.4876000950611722E-2</v>
      </c>
      <c r="J132" s="53">
        <v>5.4294618229559319E-2</v>
      </c>
      <c r="K132" s="35">
        <v>6459647016.4053383</v>
      </c>
      <c r="L132" s="32">
        <f t="shared" si="75"/>
        <v>3.6306646381978496E-3</v>
      </c>
      <c r="M132" s="35">
        <v>1925.7623127935635</v>
      </c>
      <c r="N132" s="35">
        <v>1925.7623127935635</v>
      </c>
      <c r="O132" s="34">
        <v>233</v>
      </c>
      <c r="P132" s="53">
        <v>5.564218312137946E-2</v>
      </c>
      <c r="Q132" s="53">
        <v>5.4553165152453828E-2</v>
      </c>
      <c r="R132" s="60">
        <f t="shared" si="76"/>
        <v>-1.2818723368568551E-2</v>
      </c>
      <c r="S132" s="60">
        <f t="shared" si="77"/>
        <v>9.8915737819305558E-3</v>
      </c>
      <c r="T132" s="60">
        <f t="shared" si="78"/>
        <v>-4.2735042735042739E-3</v>
      </c>
      <c r="U132" s="60">
        <f t="shared" si="79"/>
        <v>7.6618217076773742E-4</v>
      </c>
      <c r="V132" s="61">
        <f t="shared" si="80"/>
        <v>2.585469228945092E-4</v>
      </c>
    </row>
    <row r="133" spans="1:24">
      <c r="A133" s="146">
        <v>116</v>
      </c>
      <c r="B133" s="140" t="s">
        <v>179</v>
      </c>
      <c r="C133" s="141" t="s">
        <v>37</v>
      </c>
      <c r="D133" s="35">
        <v>76181884700.25</v>
      </c>
      <c r="E133" s="32">
        <f t="shared" si="74"/>
        <v>4.3392593541892503E-2</v>
      </c>
      <c r="F133" s="35">
        <f>100*1475</f>
        <v>147500</v>
      </c>
      <c r="G133" s="35">
        <f>100*1475</f>
        <v>147500</v>
      </c>
      <c r="H133" s="34">
        <v>1819</v>
      </c>
      <c r="I133" s="53">
        <v>3.1099999999999999E-2</v>
      </c>
      <c r="J133" s="53">
        <v>4.2890499999999998E-2</v>
      </c>
      <c r="K133" s="35">
        <v>76012522869.75</v>
      </c>
      <c r="L133" s="32">
        <f t="shared" si="75"/>
        <v>4.2723074208624735E-2</v>
      </c>
      <c r="M133" s="35">
        <f>100*1475</f>
        <v>147500</v>
      </c>
      <c r="N133" s="35">
        <f>100*1475</f>
        <v>147500</v>
      </c>
      <c r="O133" s="34">
        <v>1833</v>
      </c>
      <c r="P133" s="53">
        <v>5.4100000000000002E-2</v>
      </c>
      <c r="Q133" s="53">
        <v>4.4412600000000003E-2</v>
      </c>
      <c r="R133" s="60">
        <f t="shared" si="76"/>
        <v>-2.223124712211855E-3</v>
      </c>
      <c r="S133" s="60">
        <f t="shared" si="77"/>
        <v>0</v>
      </c>
      <c r="T133" s="60">
        <f t="shared" si="78"/>
        <v>7.696536558548653E-3</v>
      </c>
      <c r="U133" s="60">
        <f t="shared" si="79"/>
        <v>2.3000000000000003E-2</v>
      </c>
      <c r="V133" s="61">
        <f t="shared" si="80"/>
        <v>1.5221000000000054E-3</v>
      </c>
    </row>
    <row r="134" spans="1:24" ht="15.6">
      <c r="A134" s="146">
        <v>117</v>
      </c>
      <c r="B134" s="140" t="s">
        <v>180</v>
      </c>
      <c r="C134" s="141" t="s">
        <v>135</v>
      </c>
      <c r="D134" s="35">
        <f>1101320.78*1500.41</f>
        <v>1652432711.5198002</v>
      </c>
      <c r="E134" s="32">
        <f t="shared" si="74"/>
        <v>9.4121248494224638E-4</v>
      </c>
      <c r="F134" s="35">
        <f>1.08*1500.41</f>
        <v>1620.4428000000003</v>
      </c>
      <c r="G134" s="35">
        <f>1.12*1500.41</f>
        <v>1680.4592000000002</v>
      </c>
      <c r="H134" s="34">
        <v>47</v>
      </c>
      <c r="I134" s="53">
        <v>1.9E-3</v>
      </c>
      <c r="J134" s="53">
        <v>9.9599999999999994E-2</v>
      </c>
      <c r="K134" s="35">
        <f>1069131.99*1508.6637</f>
        <v>1612960623.821763</v>
      </c>
      <c r="L134" s="32">
        <f t="shared" si="75"/>
        <v>9.0656952072499305E-4</v>
      </c>
      <c r="M134" s="35">
        <f>1.1*1508.6637</f>
        <v>1659.5300700000003</v>
      </c>
      <c r="N134" s="35">
        <f>1.13*1508.6637</f>
        <v>1704.7899809999999</v>
      </c>
      <c r="O134" s="34">
        <v>47</v>
      </c>
      <c r="P134" s="53">
        <v>1.9E-3</v>
      </c>
      <c r="Q134" s="53">
        <v>9.9599999999999994E-2</v>
      </c>
      <c r="R134" s="60">
        <f t="shared" si="76"/>
        <v>-2.3887258720346492E-2</v>
      </c>
      <c r="S134" s="60">
        <f t="shared" si="77"/>
        <v>1.4478650240362668E-2</v>
      </c>
      <c r="T134" s="60">
        <f t="shared" si="78"/>
        <v>0</v>
      </c>
      <c r="U134" s="60">
        <f t="shared" si="79"/>
        <v>0</v>
      </c>
      <c r="V134" s="61">
        <f t="shared" si="80"/>
        <v>0</v>
      </c>
      <c r="X134" s="70"/>
    </row>
    <row r="135" spans="1:24" ht="15.6">
      <c r="A135" s="175">
        <v>118</v>
      </c>
      <c r="B135" s="176" t="s">
        <v>181</v>
      </c>
      <c r="C135" s="177" t="s">
        <v>43</v>
      </c>
      <c r="D135" s="31">
        <f>2712093.65*1500.41</f>
        <v>4069252433.3965001</v>
      </c>
      <c r="E135" s="32">
        <f t="shared" si="74"/>
        <v>2.3178137106543897E-3</v>
      </c>
      <c r="F135" s="35">
        <f>10.42886*1500.41</f>
        <v>15647.565832600001</v>
      </c>
      <c r="G135" s="35">
        <f>10.42886*1500.41</f>
        <v>15647.565832600001</v>
      </c>
      <c r="H135" s="34">
        <v>68</v>
      </c>
      <c r="I135" s="53">
        <v>7.6399999999999996E-2</v>
      </c>
      <c r="J135" s="53">
        <v>9.6100000000000005E-2</v>
      </c>
      <c r="K135" s="31">
        <f>2766107.18*1508.6637</f>
        <v>4173125492.7753663</v>
      </c>
      <c r="L135" s="32">
        <f t="shared" si="75"/>
        <v>2.3455181248917285E-3</v>
      </c>
      <c r="M135" s="35">
        <f>10.44403*1508.6637</f>
        <v>15756.528942711</v>
      </c>
      <c r="N135" s="35">
        <f>10.44403*1508.6637</f>
        <v>15756.528942711</v>
      </c>
      <c r="O135" s="34">
        <v>68</v>
      </c>
      <c r="P135" s="53">
        <v>7.5700000000000003E-2</v>
      </c>
      <c r="Q135" s="53">
        <v>9.5600000000000004E-2</v>
      </c>
      <c r="R135" s="60">
        <f t="shared" si="76"/>
        <v>2.5526324817397979E-2</v>
      </c>
      <c r="S135" s="60">
        <f t="shared" si="77"/>
        <v>6.9635821492430592E-3</v>
      </c>
      <c r="T135" s="60">
        <f t="shared" si="78"/>
        <v>0</v>
      </c>
      <c r="U135" s="60">
        <f t="shared" si="79"/>
        <v>-6.999999999999923E-4</v>
      </c>
      <c r="V135" s="61">
        <f t="shared" si="80"/>
        <v>-5.0000000000000044E-4</v>
      </c>
      <c r="X135" s="70"/>
    </row>
    <row r="136" spans="1:24" ht="15.6">
      <c r="A136" s="146">
        <v>119</v>
      </c>
      <c r="B136" s="141" t="s">
        <v>182</v>
      </c>
      <c r="C136" s="148" t="s">
        <v>47</v>
      </c>
      <c r="D136" s="35">
        <v>24556733557</v>
      </c>
      <c r="E136" s="32">
        <f t="shared" si="74"/>
        <v>1.3987319454594123E-2</v>
      </c>
      <c r="F136" s="35">
        <f>1.0624*1500.41</f>
        <v>1594.0355840000002</v>
      </c>
      <c r="G136" s="35">
        <f>1.0624*1500.41</f>
        <v>1594.0355840000002</v>
      </c>
      <c r="H136" s="34">
        <v>460</v>
      </c>
      <c r="I136" s="53">
        <v>-2.0999999999999999E-3</v>
      </c>
      <c r="J136" s="53">
        <v>2.0199999999999999E-2</v>
      </c>
      <c r="K136" s="35">
        <v>25009410911.09</v>
      </c>
      <c r="L136" s="32">
        <f t="shared" si="75"/>
        <v>1.4056616961646723E-2</v>
      </c>
      <c r="M136" s="35">
        <f>1.073*1508.6637</f>
        <v>1618.7961501</v>
      </c>
      <c r="N136" s="35">
        <f>1.073*1508.6637</f>
        <v>1618.7961501</v>
      </c>
      <c r="O136" s="34">
        <v>460</v>
      </c>
      <c r="P136" s="53">
        <v>4.0800000000000003E-2</v>
      </c>
      <c r="Q136" s="53">
        <v>4.8300000000000003E-2</v>
      </c>
      <c r="R136" s="60">
        <f t="shared" si="76"/>
        <v>1.8433940044968341E-2</v>
      </c>
      <c r="S136" s="60">
        <f t="shared" si="77"/>
        <v>1.5533258070605139E-2</v>
      </c>
      <c r="T136" s="60">
        <f t="shared" si="78"/>
        <v>0</v>
      </c>
      <c r="U136" s="60">
        <f t="shared" si="79"/>
        <v>4.2900000000000001E-2</v>
      </c>
      <c r="V136" s="61">
        <f t="shared" si="80"/>
        <v>2.8100000000000003E-2</v>
      </c>
      <c r="X136" s="70"/>
    </row>
    <row r="137" spans="1:24">
      <c r="A137" s="175">
        <v>120</v>
      </c>
      <c r="B137" s="176" t="s">
        <v>183</v>
      </c>
      <c r="C137" s="177" t="s">
        <v>91</v>
      </c>
      <c r="D137" s="31">
        <f>344075.06*1503.11</f>
        <v>517182663.43659997</v>
      </c>
      <c r="E137" s="32">
        <f t="shared" si="74"/>
        <v>2.9458311762329143E-4</v>
      </c>
      <c r="F137" s="35">
        <f>1.13*1503.11</f>
        <v>1698.5142999999998</v>
      </c>
      <c r="G137" s="35">
        <f>1.13*1503.11</f>
        <v>1698.5142999999998</v>
      </c>
      <c r="H137" s="34">
        <v>3</v>
      </c>
      <c r="I137" s="34">
        <v>0.1946</v>
      </c>
      <c r="J137" s="53">
        <v>2.0178000000000001E-2</v>
      </c>
      <c r="K137" s="31">
        <f>329677.78*1516.36</f>
        <v>499910198.48080003</v>
      </c>
      <c r="L137" s="32">
        <f t="shared" si="75"/>
        <v>2.8097607737531189E-4</v>
      </c>
      <c r="M137" s="35">
        <f>1.09*1516.36</f>
        <v>1652.8324</v>
      </c>
      <c r="N137" s="35">
        <f>1.09*1516.36</f>
        <v>1652.8324</v>
      </c>
      <c r="O137" s="34">
        <v>3</v>
      </c>
      <c r="P137" s="53">
        <v>-4.1842999999999998E-2</v>
      </c>
      <c r="Q137" s="53">
        <v>-2.2509000000000001E-2</v>
      </c>
      <c r="R137" s="60">
        <f t="shared" si="76"/>
        <v>-3.3397223412376276E-2</v>
      </c>
      <c r="S137" s="60">
        <f t="shared" si="77"/>
        <v>-2.6895210714446043E-2</v>
      </c>
      <c r="T137" s="60">
        <f t="shared" si="78"/>
        <v>0</v>
      </c>
      <c r="U137" s="60">
        <f t="shared" si="79"/>
        <v>-0.23644299999999999</v>
      </c>
      <c r="V137" s="61">
        <f t="shared" si="80"/>
        <v>-4.2687000000000003E-2</v>
      </c>
    </row>
    <row r="138" spans="1:24">
      <c r="A138" s="146">
        <v>121</v>
      </c>
      <c r="B138" s="140" t="s">
        <v>184</v>
      </c>
      <c r="C138" s="141" t="s">
        <v>49</v>
      </c>
      <c r="D138" s="31">
        <v>975485218887.53003</v>
      </c>
      <c r="E138" s="32">
        <f t="shared" si="74"/>
        <v>0.55562859564134315</v>
      </c>
      <c r="F138" s="35">
        <v>2383.63</v>
      </c>
      <c r="G138" s="35">
        <v>2383.63</v>
      </c>
      <c r="H138" s="34">
        <v>9739</v>
      </c>
      <c r="I138" s="53">
        <v>1.2999999999999999E-3</v>
      </c>
      <c r="J138" s="53">
        <v>7.1000000000000004E-3</v>
      </c>
      <c r="K138" s="31">
        <v>984871335046.85999</v>
      </c>
      <c r="L138" s="32">
        <f t="shared" si="75"/>
        <v>0.55354998814148304</v>
      </c>
      <c r="M138" s="35">
        <v>2407.83</v>
      </c>
      <c r="N138" s="35">
        <v>2407.83</v>
      </c>
      <c r="O138" s="34">
        <v>9835</v>
      </c>
      <c r="P138" s="53">
        <v>1.2999999999999999E-3</v>
      </c>
      <c r="Q138" s="53">
        <v>8.3999999999999995E-3</v>
      </c>
      <c r="R138" s="60">
        <f t="shared" si="76"/>
        <v>9.6219973174315639E-3</v>
      </c>
      <c r="S138" s="60">
        <f t="shared" si="77"/>
        <v>1.0152582405826331E-2</v>
      </c>
      <c r="T138" s="60">
        <f t="shared" si="78"/>
        <v>9.857274874217066E-3</v>
      </c>
      <c r="U138" s="60">
        <f t="shared" si="79"/>
        <v>0</v>
      </c>
      <c r="V138" s="61">
        <f t="shared" si="80"/>
        <v>1.2999999999999991E-3</v>
      </c>
    </row>
    <row r="139" spans="1:24">
      <c r="A139" s="146">
        <v>122</v>
      </c>
      <c r="B139" s="140" t="s">
        <v>293</v>
      </c>
      <c r="C139" s="140" t="s">
        <v>101</v>
      </c>
      <c r="D139" s="31">
        <f>267371.97*1500.41</f>
        <v>401167577.50769997</v>
      </c>
      <c r="E139" s="32">
        <f t="shared" si="74"/>
        <v>2.2850185055765831E-4</v>
      </c>
      <c r="F139" s="35">
        <f>101.03*1500.41</f>
        <v>151586.42230000001</v>
      </c>
      <c r="G139" s="35">
        <f>101.03*1500.41</f>
        <v>151586.42230000001</v>
      </c>
      <c r="H139" s="34">
        <v>14</v>
      </c>
      <c r="I139" s="53">
        <v>0</v>
      </c>
      <c r="J139" s="53">
        <v>0</v>
      </c>
      <c r="K139" s="31">
        <f>269612.97*1508.6637</f>
        <v>406755300.88818896</v>
      </c>
      <c r="L139" s="32">
        <f t="shared" si="75"/>
        <v>2.2861807829185047E-4</v>
      </c>
      <c r="M139" s="35">
        <f>101.12*1508.6637</f>
        <v>152556.073344</v>
      </c>
      <c r="N139" s="35">
        <f>101.12*1508.6637</f>
        <v>152556.073344</v>
      </c>
      <c r="O139" s="34">
        <v>14</v>
      </c>
      <c r="P139" s="53">
        <v>0</v>
      </c>
      <c r="Q139" s="53">
        <v>0</v>
      </c>
      <c r="R139" s="60">
        <f t="shared" ref="R139" si="83">((K139-D139)/D139)</f>
        <v>1.3928651500710426E-2</v>
      </c>
      <c r="S139" s="60">
        <f t="shared" ref="S139" si="84">((N139-G139)/G139)</f>
        <v>6.3966879703842598E-3</v>
      </c>
      <c r="T139" s="60">
        <f t="shared" ref="T139" si="85">((O139-H139)/H139)</f>
        <v>0</v>
      </c>
      <c r="U139" s="60">
        <f t="shared" ref="U139" si="86">P139-I139</f>
        <v>0</v>
      </c>
      <c r="V139" s="61">
        <f t="shared" ref="V139" si="87">Q139-J139</f>
        <v>0</v>
      </c>
    </row>
    <row r="140" spans="1:24" ht="16.5" customHeight="1">
      <c r="A140" s="146">
        <v>123</v>
      </c>
      <c r="B140" s="140" t="s">
        <v>185</v>
      </c>
      <c r="C140" s="141" t="s">
        <v>52</v>
      </c>
      <c r="D140" s="31">
        <f>132469314.28*1500.65</f>
        <v>198790076474.28201</v>
      </c>
      <c r="E140" s="32">
        <f t="shared" si="74"/>
        <v>0.11322924107943393</v>
      </c>
      <c r="F140" s="35">
        <f>1.1799*1500.65</f>
        <v>1770.616935</v>
      </c>
      <c r="G140" s="35">
        <f>1.1799*1500.65</f>
        <v>1770.616935</v>
      </c>
      <c r="H140" s="34">
        <v>554</v>
      </c>
      <c r="I140" s="53">
        <v>8.7599999999999997E-2</v>
      </c>
      <c r="J140" s="53">
        <v>9.5899999999999999E-2</v>
      </c>
      <c r="K140" s="31">
        <f>135375327.38*1509.7</f>
        <v>204376131745.586</v>
      </c>
      <c r="L140" s="32">
        <f t="shared" si="75"/>
        <v>0.11487023865791411</v>
      </c>
      <c r="M140" s="35">
        <f>1.1813*1509.7</f>
        <v>1783.4086100000002</v>
      </c>
      <c r="N140" s="35">
        <f>1.1813*1509.7</f>
        <v>1783.4086100000002</v>
      </c>
      <c r="O140" s="34">
        <v>568</v>
      </c>
      <c r="P140" s="53">
        <v>6.3700000000000007E-2</v>
      </c>
      <c r="Q140" s="53">
        <v>9.0800000000000006E-2</v>
      </c>
      <c r="R140" s="60">
        <f t="shared" si="76"/>
        <v>2.8100272258945822E-2</v>
      </c>
      <c r="S140" s="60">
        <f t="shared" si="77"/>
        <v>7.2244169515978162E-3</v>
      </c>
      <c r="T140" s="60">
        <f t="shared" si="78"/>
        <v>2.5270758122743681E-2</v>
      </c>
      <c r="U140" s="60">
        <f t="shared" si="79"/>
        <v>-2.3899999999999991E-2</v>
      </c>
      <c r="V140" s="61">
        <f t="shared" si="80"/>
        <v>-5.0999999999999934E-3</v>
      </c>
    </row>
    <row r="141" spans="1:24" ht="16.5" customHeight="1">
      <c r="A141" s="146">
        <v>124</v>
      </c>
      <c r="B141" s="140" t="s">
        <v>186</v>
      </c>
      <c r="C141" s="141" t="s">
        <v>96</v>
      </c>
      <c r="D141" s="35">
        <v>903322641.28016496</v>
      </c>
      <c r="E141" s="32">
        <v>0</v>
      </c>
      <c r="F141" s="35">
        <v>155842.4448</v>
      </c>
      <c r="G141" s="35">
        <v>155842.4448</v>
      </c>
      <c r="H141" s="34">
        <v>23</v>
      </c>
      <c r="I141" s="53">
        <v>1.4E-3</v>
      </c>
      <c r="J141" s="53">
        <v>6.25E-2</v>
      </c>
      <c r="K141" s="35">
        <v>942656525.17762101</v>
      </c>
      <c r="L141" s="32">
        <f t="shared" si="75"/>
        <v>5.2982302333810555E-4</v>
      </c>
      <c r="M141" s="35">
        <v>157383.00440000001</v>
      </c>
      <c r="N141" s="35">
        <v>157383.00440000001</v>
      </c>
      <c r="O141" s="34">
        <v>23</v>
      </c>
      <c r="P141" s="53">
        <v>1.4E-3</v>
      </c>
      <c r="Q141" s="53">
        <v>6.25E-2</v>
      </c>
      <c r="R141" s="60">
        <f t="shared" si="76"/>
        <v>4.3543560296145249E-2</v>
      </c>
      <c r="S141" s="60">
        <f t="shared" si="77"/>
        <v>9.8853659667434059E-3</v>
      </c>
      <c r="T141" s="60">
        <f t="shared" si="78"/>
        <v>0</v>
      </c>
      <c r="U141" s="60">
        <f t="shared" si="79"/>
        <v>0</v>
      </c>
      <c r="V141" s="61">
        <f t="shared" si="80"/>
        <v>0</v>
      </c>
    </row>
    <row r="142" spans="1:24">
      <c r="A142" s="146">
        <v>125</v>
      </c>
      <c r="B142" s="140" t="s">
        <v>187</v>
      </c>
      <c r="C142" s="141" t="s">
        <v>110</v>
      </c>
      <c r="D142" s="35">
        <f>1208425.13*1500.41</f>
        <v>1813133149.3032999</v>
      </c>
      <c r="E142" s="32">
        <f>(D142/$D$143)</f>
        <v>1.0327461718046915E-3</v>
      </c>
      <c r="F142" s="35">
        <f>1.2704*1500.41</f>
        <v>1906.120864</v>
      </c>
      <c r="G142" s="35">
        <f>1.2704*1500.41</f>
        <v>1906.120864</v>
      </c>
      <c r="H142" s="34">
        <v>79</v>
      </c>
      <c r="I142" s="53">
        <v>3.728E-3</v>
      </c>
      <c r="J142" s="53">
        <v>2.162E-2</v>
      </c>
      <c r="K142" s="35">
        <f>1229458.66*1508.6637</f>
        <v>1854839650.9926419</v>
      </c>
      <c r="L142" s="32">
        <f t="shared" si="75"/>
        <v>1.0425183780604977E-3</v>
      </c>
      <c r="M142" s="35">
        <f>1.2803*1508.6637</f>
        <v>1931.5421351100001</v>
      </c>
      <c r="N142" s="35">
        <f>1.2803*1508.6637</f>
        <v>1931.5421351100001</v>
      </c>
      <c r="O142" s="34">
        <v>82</v>
      </c>
      <c r="P142" s="53">
        <v>1.0682000000000001E-2</v>
      </c>
      <c r="Q142" s="53">
        <v>2.9575000000000001E-2</v>
      </c>
      <c r="R142" s="60">
        <f t="shared" si="76"/>
        <v>2.3002448389059474E-2</v>
      </c>
      <c r="S142" s="60">
        <f t="shared" si="77"/>
        <v>1.3336652250190224E-2</v>
      </c>
      <c r="T142" s="60">
        <f t="shared" si="78"/>
        <v>3.7974683544303799E-2</v>
      </c>
      <c r="U142" s="60">
        <f t="shared" si="79"/>
        <v>6.9540000000000001E-3</v>
      </c>
      <c r="V142" s="61">
        <f t="shared" si="80"/>
        <v>7.9550000000000003E-3</v>
      </c>
    </row>
    <row r="143" spans="1:24">
      <c r="A143" s="38"/>
      <c r="B143" s="39"/>
      <c r="C143" s="74" t="s">
        <v>53</v>
      </c>
      <c r="D143" s="51">
        <f>SUM(D110:D142)</f>
        <v>1755642575885.7151</v>
      </c>
      <c r="E143" s="42">
        <f>(D143/$D$214)</f>
        <v>0.41886819165147315</v>
      </c>
      <c r="F143" s="43"/>
      <c r="G143" s="48"/>
      <c r="H143" s="45">
        <f>SUM(H110:H142)</f>
        <v>22600</v>
      </c>
      <c r="I143" s="83"/>
      <c r="J143" s="83"/>
      <c r="K143" s="51">
        <f>SUM(K110:K142)</f>
        <v>1779191321733.2319</v>
      </c>
      <c r="L143" s="42">
        <f>(K143/$K$214)</f>
        <v>0.4167161907798218</v>
      </c>
      <c r="M143" s="43"/>
      <c r="N143" s="48"/>
      <c r="O143" s="45">
        <f>SUM(O110:O142)</f>
        <v>22815</v>
      </c>
      <c r="P143" s="83"/>
      <c r="Q143" s="83"/>
      <c r="R143" s="60">
        <f t="shared" si="76"/>
        <v>1.3413177699701542E-2</v>
      </c>
      <c r="S143" s="60" t="e">
        <f t="shared" si="77"/>
        <v>#DIV/0!</v>
      </c>
      <c r="T143" s="60">
        <f t="shared" si="78"/>
        <v>9.5132743362831857E-3</v>
      </c>
      <c r="U143" s="60">
        <f t="shared" si="79"/>
        <v>0</v>
      </c>
      <c r="V143" s="61">
        <f t="shared" si="80"/>
        <v>0</v>
      </c>
    </row>
    <row r="144" spans="1:24" ht="6" customHeight="1">
      <c r="A144" s="38"/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</row>
    <row r="145" spans="1:22">
      <c r="A145" s="189" t="s">
        <v>188</v>
      </c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</row>
    <row r="146" spans="1:22">
      <c r="A146" s="175">
        <v>126</v>
      </c>
      <c r="B146" s="176" t="s">
        <v>189</v>
      </c>
      <c r="C146" s="177" t="s">
        <v>190</v>
      </c>
      <c r="D146" s="75">
        <v>2270358677.04</v>
      </c>
      <c r="E146" s="32">
        <f>(D146/$D$151)</f>
        <v>2.248941867442027E-2</v>
      </c>
      <c r="F146" s="63">
        <v>107.36</v>
      </c>
      <c r="G146" s="63">
        <v>107.36</v>
      </c>
      <c r="H146" s="34">
        <v>8</v>
      </c>
      <c r="I146" s="53">
        <v>3.4325773943268967E-3</v>
      </c>
      <c r="J146" s="53">
        <v>1.84E-2</v>
      </c>
      <c r="K146" s="75">
        <v>2286342821.379055</v>
      </c>
      <c r="L146" s="32">
        <f>(K146/$K$151)</f>
        <v>2.2633920192100268E-2</v>
      </c>
      <c r="M146" s="63">
        <v>107.74471354283953</v>
      </c>
      <c r="N146" s="63">
        <v>107.74471354283953</v>
      </c>
      <c r="O146" s="34">
        <v>8</v>
      </c>
      <c r="P146" s="53">
        <v>3.5954418206107785E-3</v>
      </c>
      <c r="Q146" s="53">
        <v>2.2100000000000002E-2</v>
      </c>
      <c r="R146" s="60">
        <f t="shared" ref="R146:R151" si="88">((K146-D146)/D146)</f>
        <v>7.0403608472536724E-3</v>
      </c>
      <c r="S146" s="60">
        <f t="shared" ref="S146:T151" si="89">((N146-G146)/G146)</f>
        <v>3.5833973811432072E-3</v>
      </c>
      <c r="T146" s="60">
        <f t="shared" si="89"/>
        <v>0</v>
      </c>
      <c r="U146" s="60">
        <f t="shared" ref="U146:V151" si="90">P146-I146</f>
        <v>1.6286442628388187E-4</v>
      </c>
      <c r="V146" s="61">
        <f t="shared" si="90"/>
        <v>3.7000000000000019E-3</v>
      </c>
    </row>
    <row r="147" spans="1:22">
      <c r="A147" s="146">
        <v>127</v>
      </c>
      <c r="B147" s="140" t="s">
        <v>191</v>
      </c>
      <c r="C147" s="141" t="s">
        <v>47</v>
      </c>
      <c r="D147" s="31">
        <v>54160728474</v>
      </c>
      <c r="E147" s="32">
        <f>(D147/$D$151)</f>
        <v>0.53649818008113848</v>
      </c>
      <c r="F147" s="63">
        <v>102.07</v>
      </c>
      <c r="G147" s="63">
        <v>102.07</v>
      </c>
      <c r="H147" s="34">
        <v>645</v>
      </c>
      <c r="I147" s="53">
        <v>8.3900000000000002E-2</v>
      </c>
      <c r="J147" s="53">
        <v>8.3900000000000002E-2</v>
      </c>
      <c r="K147" s="31">
        <v>54160728474</v>
      </c>
      <c r="L147" s="32">
        <f>(K147/$K$151)</f>
        <v>0.53617051404702287</v>
      </c>
      <c r="M147" s="63">
        <v>102.07</v>
      </c>
      <c r="N147" s="63">
        <v>102.07</v>
      </c>
      <c r="O147" s="34">
        <v>645</v>
      </c>
      <c r="P147" s="53">
        <v>8.3900000000000002E-2</v>
      </c>
      <c r="Q147" s="53">
        <v>8.3900000000000002E-2</v>
      </c>
      <c r="R147" s="60">
        <f t="shared" si="88"/>
        <v>0</v>
      </c>
      <c r="S147" s="60">
        <f t="shared" si="89"/>
        <v>0</v>
      </c>
      <c r="T147" s="60">
        <f t="shared" si="89"/>
        <v>0</v>
      </c>
      <c r="U147" s="60">
        <f t="shared" si="90"/>
        <v>0</v>
      </c>
      <c r="V147" s="61">
        <f t="shared" si="90"/>
        <v>0</v>
      </c>
    </row>
    <row r="148" spans="1:22" ht="15.75" customHeight="1">
      <c r="A148" s="175">
        <v>128</v>
      </c>
      <c r="B148" s="176" t="s">
        <v>192</v>
      </c>
      <c r="C148" s="177" t="s">
        <v>145</v>
      </c>
      <c r="D148" s="31">
        <v>2811150278.2989817</v>
      </c>
      <c r="E148" s="32">
        <f>(D148/$D$151)</f>
        <v>2.7846320585698806E-2</v>
      </c>
      <c r="F148" s="63">
        <v>197.35</v>
      </c>
      <c r="G148" s="63">
        <v>197.35</v>
      </c>
      <c r="H148" s="34">
        <v>3040</v>
      </c>
      <c r="I148" s="53">
        <v>1.0245588985277478E-2</v>
      </c>
      <c r="J148" s="53">
        <v>4.3179718194679882E-2</v>
      </c>
      <c r="K148" s="31">
        <v>2818882605.2248797</v>
      </c>
      <c r="L148" s="32">
        <f>(K148/$K$151)</f>
        <v>2.7905860538917738E-2</v>
      </c>
      <c r="M148" s="63">
        <v>197.35</v>
      </c>
      <c r="N148" s="63">
        <v>197.35</v>
      </c>
      <c r="O148" s="34">
        <v>3040</v>
      </c>
      <c r="P148" s="53">
        <v>0.18201628909779513</v>
      </c>
      <c r="Q148" s="53">
        <v>4.6801588118666998E-2</v>
      </c>
      <c r="R148" s="60">
        <f t="shared" si="88"/>
        <v>2.7505918077694808E-3</v>
      </c>
      <c r="S148" s="60">
        <f t="shared" si="89"/>
        <v>0</v>
      </c>
      <c r="T148" s="60">
        <f t="shared" si="89"/>
        <v>0</v>
      </c>
      <c r="U148" s="60">
        <f t="shared" si="90"/>
        <v>0.17177070011251766</v>
      </c>
      <c r="V148" s="61">
        <f t="shared" si="90"/>
        <v>3.6218699239871158E-3</v>
      </c>
    </row>
    <row r="149" spans="1:22">
      <c r="A149" s="175">
        <v>129</v>
      </c>
      <c r="B149" s="176" t="s">
        <v>193</v>
      </c>
      <c r="C149" s="177" t="s">
        <v>145</v>
      </c>
      <c r="D149" s="31">
        <v>10773900199.52</v>
      </c>
      <c r="E149" s="32">
        <f>(D149/$D$151)</f>
        <v>0.10672267549342666</v>
      </c>
      <c r="F149" s="63">
        <v>36.6</v>
      </c>
      <c r="G149" s="63">
        <v>36.6</v>
      </c>
      <c r="H149" s="34">
        <v>5264</v>
      </c>
      <c r="I149" s="53">
        <v>3.4543131595140976E-2</v>
      </c>
      <c r="J149" s="53">
        <v>5.4357348097273307E-2</v>
      </c>
      <c r="K149" s="31">
        <v>10780629138.99</v>
      </c>
      <c r="L149" s="32">
        <f>(K149/$K$151)</f>
        <v>0.10672410859424479</v>
      </c>
      <c r="M149" s="63">
        <v>36.6</v>
      </c>
      <c r="N149" s="63">
        <v>36.6</v>
      </c>
      <c r="O149" s="34">
        <v>5264</v>
      </c>
      <c r="P149" s="53">
        <v>3.4520262921453847E-2</v>
      </c>
      <c r="Q149" s="53">
        <v>5.1301967746708046E-2</v>
      </c>
      <c r="R149" s="60">
        <f t="shared" si="88"/>
        <v>6.245592910076429E-4</v>
      </c>
      <c r="S149" s="60">
        <f t="shared" si="89"/>
        <v>0</v>
      </c>
      <c r="T149" s="60">
        <f t="shared" si="89"/>
        <v>0</v>
      </c>
      <c r="U149" s="60">
        <f t="shared" si="90"/>
        <v>-2.2868673687129193E-5</v>
      </c>
      <c r="V149" s="61">
        <f t="shared" si="90"/>
        <v>-3.0553803505652607E-3</v>
      </c>
    </row>
    <row r="150" spans="1:22">
      <c r="A150" s="146">
        <v>130</v>
      </c>
      <c r="B150" s="140" t="s">
        <v>194</v>
      </c>
      <c r="C150" s="141" t="s">
        <v>49</v>
      </c>
      <c r="D150" s="31">
        <v>30936168427.07</v>
      </c>
      <c r="E150" s="32">
        <f>(D150/$D$151)</f>
        <v>0.30644340516531571</v>
      </c>
      <c r="F150" s="63">
        <v>6.2</v>
      </c>
      <c r="G150" s="63">
        <v>6.2</v>
      </c>
      <c r="H150" s="34">
        <v>208048</v>
      </c>
      <c r="I150" s="53">
        <v>3.3300000000000003E-2</v>
      </c>
      <c r="J150" s="53">
        <v>0.24</v>
      </c>
      <c r="K150" s="31">
        <v>30967417273.84</v>
      </c>
      <c r="L150" s="32">
        <f>(K150/$K$151)</f>
        <v>0.30656559662771438</v>
      </c>
      <c r="M150" s="63">
        <v>7.4</v>
      </c>
      <c r="N150" s="63">
        <v>7.4</v>
      </c>
      <c r="O150" s="34">
        <v>208048</v>
      </c>
      <c r="P150" s="53">
        <v>0.19350000000000001</v>
      </c>
      <c r="Q150" s="53">
        <v>0.48</v>
      </c>
      <c r="R150" s="60">
        <f t="shared" si="88"/>
        <v>1.0101072097427829E-3</v>
      </c>
      <c r="S150" s="60">
        <f t="shared" si="89"/>
        <v>0.19354838709677422</v>
      </c>
      <c r="T150" s="60">
        <f t="shared" si="89"/>
        <v>0</v>
      </c>
      <c r="U150" s="60">
        <f t="shared" si="90"/>
        <v>0.16020000000000001</v>
      </c>
      <c r="V150" s="61">
        <f t="shared" si="90"/>
        <v>0.24</v>
      </c>
    </row>
    <row r="151" spans="1:22">
      <c r="A151" s="38"/>
      <c r="B151" s="76"/>
      <c r="C151" s="40" t="s">
        <v>53</v>
      </c>
      <c r="D151" s="41">
        <f>SUM(D146:D150)</f>
        <v>100952306055.92899</v>
      </c>
      <c r="E151" s="42">
        <f>(D151/$D$214)</f>
        <v>2.4085602879253515E-2</v>
      </c>
      <c r="F151" s="43"/>
      <c r="G151" s="77"/>
      <c r="H151" s="45">
        <f>SUM(H146:H150)</f>
        <v>217005</v>
      </c>
      <c r="I151" s="84"/>
      <c r="J151" s="84"/>
      <c r="K151" s="41">
        <f>SUM(K146:K150)</f>
        <v>101014000313.43393</v>
      </c>
      <c r="L151" s="42">
        <f>(K151/$K$214)</f>
        <v>2.3659158468151194E-2</v>
      </c>
      <c r="M151" s="43"/>
      <c r="N151" s="77"/>
      <c r="O151" s="45">
        <f>SUM(O146:O150)</f>
        <v>217005</v>
      </c>
      <c r="P151" s="84"/>
      <c r="Q151" s="84"/>
      <c r="R151" s="60">
        <f t="shared" si="88"/>
        <v>6.1112281546856764E-4</v>
      </c>
      <c r="S151" s="60" t="e">
        <f t="shared" si="89"/>
        <v>#DIV/0!</v>
      </c>
      <c r="T151" s="60">
        <f t="shared" si="89"/>
        <v>0</v>
      </c>
      <c r="U151" s="60">
        <f t="shared" si="90"/>
        <v>0</v>
      </c>
      <c r="V151" s="61">
        <f t="shared" si="90"/>
        <v>0</v>
      </c>
    </row>
    <row r="152" spans="1:22" ht="5.25" customHeight="1">
      <c r="A152" s="38"/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</row>
    <row r="153" spans="1:22" ht="15" customHeight="1">
      <c r="A153" s="189" t="s">
        <v>195</v>
      </c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</row>
    <row r="154" spans="1:22">
      <c r="A154" s="174">
        <v>131</v>
      </c>
      <c r="B154" s="176" t="s">
        <v>196</v>
      </c>
      <c r="C154" s="177" t="s">
        <v>57</v>
      </c>
      <c r="D154" s="35">
        <v>266964781.19999999</v>
      </c>
      <c r="E154" s="32">
        <f t="shared" ref="E154:E181" si="91">(D154/$D$182)</f>
        <v>4.6543781775044086E-3</v>
      </c>
      <c r="F154" s="35">
        <v>5.99</v>
      </c>
      <c r="G154" s="35">
        <v>6.08</v>
      </c>
      <c r="H154" s="36">
        <v>11835</v>
      </c>
      <c r="I154" s="54">
        <v>2.0636000000000002E-2</v>
      </c>
      <c r="J154" s="54">
        <v>4.8599999999999997E-2</v>
      </c>
      <c r="K154" s="35">
        <v>268426851.05000001</v>
      </c>
      <c r="L154" s="57">
        <f t="shared" ref="L154:L180" si="92">(K154/$K$182)</f>
        <v>4.6079764224248015E-3</v>
      </c>
      <c r="M154" s="35">
        <v>6.02</v>
      </c>
      <c r="N154" s="35">
        <v>6.11</v>
      </c>
      <c r="O154" s="36">
        <v>11835</v>
      </c>
      <c r="P154" s="54">
        <v>5.7060000000000001E-3</v>
      </c>
      <c r="Q154" s="54">
        <v>5.4300000000000001E-2</v>
      </c>
      <c r="R154" s="60">
        <f>((K154-D154)/D154)</f>
        <v>5.4766394407084577E-3</v>
      </c>
      <c r="S154" s="60">
        <f>((N154-G154)/G154)</f>
        <v>4.93421052631583E-3</v>
      </c>
      <c r="T154" s="60">
        <f>((O154-H154)/H154)</f>
        <v>0</v>
      </c>
      <c r="U154" s="60">
        <f>P154-I154</f>
        <v>-1.4930000000000002E-2</v>
      </c>
      <c r="V154" s="61">
        <f>Q154-J154</f>
        <v>5.7000000000000037E-3</v>
      </c>
    </row>
    <row r="155" spans="1:22">
      <c r="A155" s="147">
        <v>132</v>
      </c>
      <c r="B155" s="140" t="s">
        <v>197</v>
      </c>
      <c r="C155" s="140" t="s">
        <v>198</v>
      </c>
      <c r="D155" s="35">
        <v>716591074.00353742</v>
      </c>
      <c r="E155" s="32">
        <f t="shared" si="91"/>
        <v>1.2493355273472723E-2</v>
      </c>
      <c r="F155" s="35">
        <v>1642.7984148907267</v>
      </c>
      <c r="G155" s="35">
        <v>1662.6775410100643</v>
      </c>
      <c r="H155" s="36">
        <v>176</v>
      </c>
      <c r="I155" s="54">
        <v>2.4884967953988493E-2</v>
      </c>
      <c r="J155" s="54">
        <v>0.46874965507665367</v>
      </c>
      <c r="K155" s="35">
        <v>722808852.04667807</v>
      </c>
      <c r="L155" s="57">
        <f t="shared" si="92"/>
        <v>1.2408170550458904E-2</v>
      </c>
      <c r="M155" s="35">
        <v>1657.1218695002806</v>
      </c>
      <c r="N155" s="35">
        <v>1677.2313331180235</v>
      </c>
      <c r="O155" s="36">
        <v>175</v>
      </c>
      <c r="P155" s="54">
        <v>8.7397806940456482E-3</v>
      </c>
      <c r="Q155" s="54">
        <v>0.4815862049564788</v>
      </c>
      <c r="R155" s="60">
        <f>((K155-D155)/D155)</f>
        <v>8.6768845841219012E-3</v>
      </c>
      <c r="S155" s="60">
        <f>((N155-G155)/G155)</f>
        <v>8.7532258955743784E-3</v>
      </c>
      <c r="T155" s="60">
        <f>((O155-H155)/H155)</f>
        <v>-5.681818181818182E-3</v>
      </c>
      <c r="U155" s="60">
        <f>P155-I155</f>
        <v>-1.6145187259942843E-2</v>
      </c>
      <c r="V155" s="61">
        <f>Q155-J155</f>
        <v>1.2836549879825132E-2</v>
      </c>
    </row>
    <row r="156" spans="1:22">
      <c r="A156" s="147">
        <v>133</v>
      </c>
      <c r="B156" s="140" t="s">
        <v>199</v>
      </c>
      <c r="C156" s="141" t="s">
        <v>23</v>
      </c>
      <c r="D156" s="35">
        <v>6977839176.2299995</v>
      </c>
      <c r="E156" s="32">
        <f t="shared" si="91"/>
        <v>0.1216546326522723</v>
      </c>
      <c r="F156" s="35">
        <v>815.14459999999997</v>
      </c>
      <c r="G156" s="35">
        <v>839.72180000000003</v>
      </c>
      <c r="H156" s="36">
        <v>21371</v>
      </c>
      <c r="I156" s="54">
        <v>0.47310000000000002</v>
      </c>
      <c r="J156" s="54">
        <v>0.24479999999999999</v>
      </c>
      <c r="K156" s="35">
        <v>7052816965.7299995</v>
      </c>
      <c r="L156" s="57">
        <f t="shared" si="92"/>
        <v>0.12107288880614935</v>
      </c>
      <c r="M156" s="35">
        <v>825.13660000000004</v>
      </c>
      <c r="N156" s="35">
        <v>850.01509999999996</v>
      </c>
      <c r="O156" s="36">
        <v>21376</v>
      </c>
      <c r="P156" s="54">
        <v>0.63919999999999999</v>
      </c>
      <c r="Q156" s="54">
        <v>0.30869999999999997</v>
      </c>
      <c r="R156" s="60">
        <f t="shared" ref="R156:R181" si="93">((K156-D156)/D156)</f>
        <v>1.0745130061955533E-2</v>
      </c>
      <c r="S156" s="60">
        <f t="shared" ref="S156:T181" si="94">((N156-G156)/G156)</f>
        <v>1.2257988300410839E-2</v>
      </c>
      <c r="T156" s="60">
        <f t="shared" si="94"/>
        <v>2.3396191100088904E-4</v>
      </c>
      <c r="U156" s="60">
        <f t="shared" ref="U156:V181" si="95">P156-I156</f>
        <v>0.16609999999999997</v>
      </c>
      <c r="V156" s="61">
        <f t="shared" si="95"/>
        <v>6.3899999999999985E-2</v>
      </c>
    </row>
    <row r="157" spans="1:22">
      <c r="A157" s="147">
        <v>134</v>
      </c>
      <c r="B157" s="140" t="s">
        <v>200</v>
      </c>
      <c r="C157" s="141" t="s">
        <v>112</v>
      </c>
      <c r="D157" s="35">
        <v>3910131377.3800001</v>
      </c>
      <c r="E157" s="32">
        <f t="shared" si="91"/>
        <v>6.8170902814399886E-2</v>
      </c>
      <c r="F157" s="35">
        <v>23.091699999999999</v>
      </c>
      <c r="G157" s="35">
        <v>23.374400000000001</v>
      </c>
      <c r="H157" s="34">
        <v>6166</v>
      </c>
      <c r="I157" s="53">
        <v>3.6400000000000002E-2</v>
      </c>
      <c r="J157" s="53">
        <v>8.5900000000000004E-2</v>
      </c>
      <c r="K157" s="35">
        <v>4019258158.6999998</v>
      </c>
      <c r="L157" s="57">
        <f t="shared" si="92"/>
        <v>6.8996997723891146E-2</v>
      </c>
      <c r="M157" s="35">
        <v>23.552600000000002</v>
      </c>
      <c r="N157" s="35">
        <v>23.845300000000002</v>
      </c>
      <c r="O157" s="34">
        <v>6165</v>
      </c>
      <c r="P157" s="53">
        <v>3.4200000000000001E-2</v>
      </c>
      <c r="Q157" s="53">
        <v>0.1077</v>
      </c>
      <c r="R157" s="60">
        <f t="shared" si="93"/>
        <v>2.7908724998677806E-2</v>
      </c>
      <c r="S157" s="60">
        <f t="shared" si="94"/>
        <v>2.0145971661304687E-2</v>
      </c>
      <c r="T157" s="60">
        <f t="shared" si="94"/>
        <v>-1.621796951021732E-4</v>
      </c>
      <c r="U157" s="60">
        <f t="shared" si="95"/>
        <v>-2.2000000000000006E-3</v>
      </c>
      <c r="V157" s="61">
        <f t="shared" si="95"/>
        <v>2.18E-2</v>
      </c>
    </row>
    <row r="158" spans="1:22">
      <c r="A158" s="147">
        <v>135</v>
      </c>
      <c r="B158" s="140" t="s">
        <v>201</v>
      </c>
      <c r="C158" s="141" t="s">
        <v>121</v>
      </c>
      <c r="D158" s="31">
        <v>2005821747.3231292</v>
      </c>
      <c r="E158" s="32">
        <f t="shared" si="91"/>
        <v>3.4970354242009415E-2</v>
      </c>
      <c r="F158" s="35">
        <v>4.7214</v>
      </c>
      <c r="G158" s="35">
        <v>4.8266</v>
      </c>
      <c r="H158" s="34">
        <v>2743</v>
      </c>
      <c r="I158" s="53">
        <v>0.74619999999999997</v>
      </c>
      <c r="J158" s="53">
        <v>0.38319999999999999</v>
      </c>
      <c r="K158" s="31">
        <v>2033509234.1735208</v>
      </c>
      <c r="L158" s="57">
        <f t="shared" si="92"/>
        <v>3.4908439931403419E-2</v>
      </c>
      <c r="M158" s="35">
        <v>4.7861000000000002</v>
      </c>
      <c r="N158" s="35">
        <v>4.8937999999999997</v>
      </c>
      <c r="O158" s="34">
        <v>2743</v>
      </c>
      <c r="P158" s="53">
        <v>0.72599999999999998</v>
      </c>
      <c r="Q158" s="53">
        <v>0.3982</v>
      </c>
      <c r="R158" s="60">
        <f t="shared" si="93"/>
        <v>1.3803562997231424E-2</v>
      </c>
      <c r="S158" s="60">
        <f t="shared" si="94"/>
        <v>1.3922844238180025E-2</v>
      </c>
      <c r="T158" s="60">
        <f t="shared" si="94"/>
        <v>0</v>
      </c>
      <c r="U158" s="60">
        <f t="shared" si="95"/>
        <v>-2.0199999999999996E-2</v>
      </c>
      <c r="V158" s="61">
        <f t="shared" si="95"/>
        <v>1.5000000000000013E-2</v>
      </c>
    </row>
    <row r="159" spans="1:22">
      <c r="A159" s="147">
        <v>136</v>
      </c>
      <c r="B159" s="140" t="s">
        <v>202</v>
      </c>
      <c r="C159" s="141" t="s">
        <v>65</v>
      </c>
      <c r="D159" s="35">
        <v>3782964906.3835001</v>
      </c>
      <c r="E159" s="32">
        <f t="shared" si="91"/>
        <v>6.5953828169362932E-2</v>
      </c>
      <c r="F159" s="35">
        <v>8361.9795294491105</v>
      </c>
      <c r="G159" s="35">
        <v>8433.2198483402208</v>
      </c>
      <c r="H159" s="34">
        <v>980</v>
      </c>
      <c r="I159" s="53">
        <v>1.9568073651904163</v>
      </c>
      <c r="J159" s="53">
        <v>0.90567519940596453</v>
      </c>
      <c r="K159" s="35">
        <v>3914098623.65342</v>
      </c>
      <c r="L159" s="57">
        <f t="shared" si="92"/>
        <v>6.7191766033423889E-2</v>
      </c>
      <c r="M159" s="35">
        <v>8493.1047122509408</v>
      </c>
      <c r="N159" s="35">
        <v>8565.5655160207498</v>
      </c>
      <c r="O159" s="34">
        <v>986</v>
      </c>
      <c r="P159" s="53">
        <v>0.81765826507797079</v>
      </c>
      <c r="Q159" s="53">
        <v>0.90397647556157545</v>
      </c>
      <c r="R159" s="60">
        <f t="shared" si="93"/>
        <v>3.4664270093714193E-2</v>
      </c>
      <c r="S159" s="60">
        <f t="shared" si="94"/>
        <v>1.5693373356865176E-2</v>
      </c>
      <c r="T159" s="60">
        <f t="shared" si="94"/>
        <v>6.1224489795918364E-3</v>
      </c>
      <c r="U159" s="60">
        <f t="shared" si="95"/>
        <v>-1.1391491001124456</v>
      </c>
      <c r="V159" s="61">
        <f t="shared" si="95"/>
        <v>-1.6987238443890718E-3</v>
      </c>
    </row>
    <row r="160" spans="1:22">
      <c r="A160" s="147">
        <v>137</v>
      </c>
      <c r="B160" s="140" t="s">
        <v>203</v>
      </c>
      <c r="C160" s="141" t="s">
        <v>67</v>
      </c>
      <c r="D160" s="35">
        <v>879927300.80999994</v>
      </c>
      <c r="E160" s="32">
        <f t="shared" si="91"/>
        <v>1.5341028911271318E-2</v>
      </c>
      <c r="F160" s="35">
        <v>218.53</v>
      </c>
      <c r="G160" s="35">
        <v>220.49340000000001</v>
      </c>
      <c r="H160" s="34">
        <v>681</v>
      </c>
      <c r="I160" s="53">
        <v>1.66E-2</v>
      </c>
      <c r="J160" s="53">
        <v>7.0199999999999999E-2</v>
      </c>
      <c r="K160" s="35">
        <v>890601080.63999999</v>
      </c>
      <c r="L160" s="57">
        <f t="shared" si="92"/>
        <v>1.5288592647576598E-2</v>
      </c>
      <c r="M160" s="35">
        <v>222.63</v>
      </c>
      <c r="N160" s="35">
        <v>224.6534</v>
      </c>
      <c r="O160" s="34">
        <v>681</v>
      </c>
      <c r="P160" s="53">
        <v>1.8800000000000001E-2</v>
      </c>
      <c r="Q160" s="53">
        <v>9.0399999999999994E-2</v>
      </c>
      <c r="R160" s="60">
        <f t="shared" si="93"/>
        <v>1.2130297378174882E-2</v>
      </c>
      <c r="S160" s="60">
        <f t="shared" si="94"/>
        <v>1.88667778718093E-2</v>
      </c>
      <c r="T160" s="60">
        <f t="shared" si="94"/>
        <v>0</v>
      </c>
      <c r="U160" s="60">
        <f t="shared" si="95"/>
        <v>2.2000000000000006E-3</v>
      </c>
      <c r="V160" s="61">
        <f t="shared" si="95"/>
        <v>2.0199999999999996E-2</v>
      </c>
    </row>
    <row r="161" spans="1:22">
      <c r="A161" s="147">
        <v>138</v>
      </c>
      <c r="B161" s="140" t="s">
        <v>204</v>
      </c>
      <c r="C161" s="141" t="s">
        <v>69</v>
      </c>
      <c r="D161" s="35">
        <v>3734808.11</v>
      </c>
      <c r="E161" s="32">
        <f t="shared" si="91"/>
        <v>6.51142419843299E-5</v>
      </c>
      <c r="F161" s="35">
        <v>102.747</v>
      </c>
      <c r="G161" s="35">
        <v>102.99</v>
      </c>
      <c r="H161" s="34">
        <v>0</v>
      </c>
      <c r="I161" s="53">
        <v>0</v>
      </c>
      <c r="J161" s="53">
        <v>0</v>
      </c>
      <c r="K161" s="35">
        <v>3734808.11</v>
      </c>
      <c r="L161" s="57">
        <f t="shared" si="92"/>
        <v>6.4113957474229107E-5</v>
      </c>
      <c r="M161" s="35">
        <v>102.747</v>
      </c>
      <c r="N161" s="35">
        <v>102.99</v>
      </c>
      <c r="O161" s="34">
        <v>0</v>
      </c>
      <c r="P161" s="53">
        <v>0</v>
      </c>
      <c r="Q161" s="53">
        <v>0</v>
      </c>
      <c r="R161" s="60">
        <f t="shared" si="93"/>
        <v>0</v>
      </c>
      <c r="S161" s="60">
        <f t="shared" si="94"/>
        <v>0</v>
      </c>
      <c r="T161" s="60" t="e">
        <f t="shared" si="94"/>
        <v>#DIV/0!</v>
      </c>
      <c r="U161" s="60">
        <f t="shared" si="95"/>
        <v>0</v>
      </c>
      <c r="V161" s="61">
        <f t="shared" si="95"/>
        <v>0</v>
      </c>
    </row>
    <row r="162" spans="1:22">
      <c r="A162" s="174">
        <v>139</v>
      </c>
      <c r="B162" s="176" t="s">
        <v>205</v>
      </c>
      <c r="C162" s="177" t="s">
        <v>126</v>
      </c>
      <c r="D162" s="35">
        <v>230187586.34</v>
      </c>
      <c r="E162" s="32">
        <f t="shared" si="91"/>
        <v>4.013188832539938E-3</v>
      </c>
      <c r="F162" s="35">
        <v>1.6057999999999999</v>
      </c>
      <c r="G162" s="35">
        <v>1.6208</v>
      </c>
      <c r="H162" s="34">
        <v>372</v>
      </c>
      <c r="I162" s="53">
        <v>1.1464174454828724E-2</v>
      </c>
      <c r="J162" s="53">
        <v>0.10895552974930001</v>
      </c>
      <c r="K162" s="35">
        <v>233102613.96000001</v>
      </c>
      <c r="L162" s="57">
        <f t="shared" si="92"/>
        <v>4.001579368575133E-3</v>
      </c>
      <c r="M162" s="35">
        <v>1.625</v>
      </c>
      <c r="N162" s="35">
        <v>1.6411</v>
      </c>
      <c r="O162" s="34">
        <v>374</v>
      </c>
      <c r="P162" s="53">
        <v>1.1464174454828724E-2</v>
      </c>
      <c r="Q162" s="53">
        <v>0.10895552974930001</v>
      </c>
      <c r="R162" s="60">
        <f t="shared" si="93"/>
        <v>1.2663704704276907E-2</v>
      </c>
      <c r="S162" s="60">
        <f t="shared" si="94"/>
        <v>1.2524679170779852E-2</v>
      </c>
      <c r="T162" s="60">
        <f t="shared" si="94"/>
        <v>5.3763440860215058E-3</v>
      </c>
      <c r="U162" s="60">
        <f t="shared" si="95"/>
        <v>0</v>
      </c>
      <c r="V162" s="61">
        <f t="shared" si="95"/>
        <v>0</v>
      </c>
    </row>
    <row r="163" spans="1:22">
      <c r="A163" s="147">
        <v>140</v>
      </c>
      <c r="B163" s="140" t="s">
        <v>206</v>
      </c>
      <c r="C163" s="141" t="s">
        <v>29</v>
      </c>
      <c r="D163" s="47">
        <v>139914258.25</v>
      </c>
      <c r="E163" s="32">
        <f t="shared" si="91"/>
        <v>2.4393250203016527E-3</v>
      </c>
      <c r="F163" s="35">
        <v>164.6884</v>
      </c>
      <c r="G163" s="35">
        <v>165.4435</v>
      </c>
      <c r="H163" s="34">
        <v>104</v>
      </c>
      <c r="I163" s="53">
        <v>7.7200000000000001E-4</v>
      </c>
      <c r="J163" s="53">
        <v>3.0300000000000001E-2</v>
      </c>
      <c r="K163" s="47">
        <v>129814172.59999999</v>
      </c>
      <c r="L163" s="57">
        <f t="shared" si="92"/>
        <v>2.2284679952750339E-3</v>
      </c>
      <c r="M163" s="35">
        <v>166.32730000000001</v>
      </c>
      <c r="N163" s="35">
        <v>167.16139999999999</v>
      </c>
      <c r="O163" s="34">
        <v>106</v>
      </c>
      <c r="P163" s="53">
        <v>8.6070000000000001E-3</v>
      </c>
      <c r="Q163" s="53">
        <v>4.0599999999999997E-2</v>
      </c>
      <c r="R163" s="60">
        <f t="shared" si="93"/>
        <v>-7.2187679628427051E-2</v>
      </c>
      <c r="S163" s="60">
        <f t="shared" si="94"/>
        <v>1.0383605279143551E-2</v>
      </c>
      <c r="T163" s="60">
        <f t="shared" si="94"/>
        <v>1.9230769230769232E-2</v>
      </c>
      <c r="U163" s="60">
        <f t="shared" si="95"/>
        <v>7.835E-3</v>
      </c>
      <c r="V163" s="61">
        <f t="shared" si="95"/>
        <v>1.0299999999999997E-2</v>
      </c>
    </row>
    <row r="164" spans="1:22">
      <c r="A164" s="147">
        <v>141</v>
      </c>
      <c r="B164" s="140" t="s">
        <v>207</v>
      </c>
      <c r="C164" s="141" t="s">
        <v>72</v>
      </c>
      <c r="D164" s="47">
        <v>247145372.30000001</v>
      </c>
      <c r="E164" s="32">
        <f t="shared" si="91"/>
        <v>4.3088381258895537E-3</v>
      </c>
      <c r="F164" s="35">
        <v>125.58</v>
      </c>
      <c r="G164" s="35">
        <v>125.98</v>
      </c>
      <c r="H164" s="34">
        <v>33</v>
      </c>
      <c r="I164" s="53">
        <v>1.9199999999999998E-2</v>
      </c>
      <c r="J164" s="53">
        <v>5.8099999999999999E-2</v>
      </c>
      <c r="K164" s="47">
        <v>253766762.31999999</v>
      </c>
      <c r="L164" s="57">
        <f t="shared" si="92"/>
        <v>4.3563125409828048E-3</v>
      </c>
      <c r="M164" s="35">
        <v>128.69</v>
      </c>
      <c r="N164" s="35">
        <v>129.19</v>
      </c>
      <c r="O164" s="34">
        <v>34</v>
      </c>
      <c r="P164" s="53">
        <v>2.6599999999999999E-2</v>
      </c>
      <c r="Q164" s="53">
        <v>8.4699999999999998E-2</v>
      </c>
      <c r="R164" s="60">
        <f t="shared" si="93"/>
        <v>2.679147887083452E-2</v>
      </c>
      <c r="S164" s="60">
        <f t="shared" si="94"/>
        <v>2.5480234957929778E-2</v>
      </c>
      <c r="T164" s="60">
        <f t="shared" si="94"/>
        <v>3.0303030303030304E-2</v>
      </c>
      <c r="U164" s="60">
        <f t="shared" si="95"/>
        <v>7.4000000000000003E-3</v>
      </c>
      <c r="V164" s="61">
        <f t="shared" si="95"/>
        <v>2.6599999999999999E-2</v>
      </c>
    </row>
    <row r="165" spans="1:22" ht="15.75" customHeight="1">
      <c r="A165" s="147">
        <v>142</v>
      </c>
      <c r="B165" s="140" t="s">
        <v>208</v>
      </c>
      <c r="C165" s="141" t="s">
        <v>75</v>
      </c>
      <c r="D165" s="31">
        <v>331348177.80000001</v>
      </c>
      <c r="E165" s="32">
        <f t="shared" si="91"/>
        <v>5.7768658509033738E-3</v>
      </c>
      <c r="F165" s="35">
        <v>1.3282</v>
      </c>
      <c r="G165" s="35">
        <v>1.3393999999999999</v>
      </c>
      <c r="H165" s="34">
        <v>99</v>
      </c>
      <c r="I165" s="53">
        <v>2.0400000000000001E-2</v>
      </c>
      <c r="J165" s="53">
        <v>0.48649999999999999</v>
      </c>
      <c r="K165" s="31">
        <v>337165410.19999999</v>
      </c>
      <c r="L165" s="57">
        <f t="shared" si="92"/>
        <v>5.7879837824770641E-3</v>
      </c>
      <c r="M165" s="35">
        <v>1.3514999999999999</v>
      </c>
      <c r="N165" s="35">
        <v>1.3631</v>
      </c>
      <c r="O165" s="34">
        <v>100</v>
      </c>
      <c r="P165" s="53">
        <v>2.0400000000000001E-2</v>
      </c>
      <c r="Q165" s="53">
        <v>0.60929999999999995</v>
      </c>
      <c r="R165" s="60">
        <f t="shared" si="93"/>
        <v>1.7556252877633832E-2</v>
      </c>
      <c r="S165" s="60">
        <f t="shared" si="94"/>
        <v>1.7694490070180719E-2</v>
      </c>
      <c r="T165" s="60">
        <f t="shared" si="94"/>
        <v>1.0101010101010102E-2</v>
      </c>
      <c r="U165" s="60">
        <f t="shared" si="95"/>
        <v>0</v>
      </c>
      <c r="V165" s="61">
        <f t="shared" si="95"/>
        <v>0.12279999999999996</v>
      </c>
    </row>
    <row r="166" spans="1:22">
      <c r="A166" s="147">
        <v>143</v>
      </c>
      <c r="B166" s="140" t="s">
        <v>209</v>
      </c>
      <c r="C166" s="141" t="s">
        <v>31</v>
      </c>
      <c r="D166" s="35">
        <v>10216766524.290001</v>
      </c>
      <c r="E166" s="32">
        <f t="shared" si="91"/>
        <v>0.17812347734245984</v>
      </c>
      <c r="F166" s="35">
        <v>341.13</v>
      </c>
      <c r="G166" s="35">
        <v>343.7</v>
      </c>
      <c r="H166" s="34">
        <v>5475</v>
      </c>
      <c r="I166" s="53">
        <v>2.2599999999999999E-2</v>
      </c>
      <c r="J166" s="53">
        <v>5.2499999999999998E-2</v>
      </c>
      <c r="K166" s="35">
        <v>10188988673.530001</v>
      </c>
      <c r="L166" s="57">
        <f t="shared" si="92"/>
        <v>0.17491029452651172</v>
      </c>
      <c r="M166" s="35">
        <v>343.52</v>
      </c>
      <c r="N166" s="35">
        <v>346.15</v>
      </c>
      <c r="O166" s="34">
        <v>5478</v>
      </c>
      <c r="P166" s="53">
        <v>7.1000000000000004E-3</v>
      </c>
      <c r="Q166" s="53">
        <v>5.9900000000000002E-2</v>
      </c>
      <c r="R166" s="60">
        <f t="shared" si="93"/>
        <v>-2.7188495199493277E-3</v>
      </c>
      <c r="S166" s="60">
        <f t="shared" si="94"/>
        <v>7.1283095723013931E-3</v>
      </c>
      <c r="T166" s="60">
        <f t="shared" si="94"/>
        <v>5.4794520547945202E-4</v>
      </c>
      <c r="U166" s="60">
        <f t="shared" si="95"/>
        <v>-1.5499999999999998E-2</v>
      </c>
      <c r="V166" s="61">
        <f t="shared" si="95"/>
        <v>7.4000000000000038E-3</v>
      </c>
    </row>
    <row r="167" spans="1:22">
      <c r="A167" s="147">
        <v>144</v>
      </c>
      <c r="B167" s="140" t="s">
        <v>210</v>
      </c>
      <c r="C167" s="141" t="s">
        <v>80</v>
      </c>
      <c r="D167" s="35">
        <v>3483050479.9400001</v>
      </c>
      <c r="E167" s="32">
        <f t="shared" si="91"/>
        <v>6.0724991783968674E-2</v>
      </c>
      <c r="F167" s="35">
        <v>2.4403000000000001</v>
      </c>
      <c r="G167" s="35">
        <v>2.4857</v>
      </c>
      <c r="H167" s="34">
        <v>10305</v>
      </c>
      <c r="I167" s="53">
        <v>1.8595041322313932E-2</v>
      </c>
      <c r="J167" s="53">
        <v>5.3103772375784959E-2</v>
      </c>
      <c r="K167" s="35">
        <v>3504986725.1599998</v>
      </c>
      <c r="L167" s="57">
        <f t="shared" si="92"/>
        <v>6.0168705653968868E-2</v>
      </c>
      <c r="M167" s="35">
        <v>2.4554999999999998</v>
      </c>
      <c r="N167" s="35">
        <v>2.5015000000000001</v>
      </c>
      <c r="O167" s="34">
        <v>10305</v>
      </c>
      <c r="P167" s="53">
        <v>1.37E-2</v>
      </c>
      <c r="Q167" s="53">
        <v>5.9700000000000003E-2</v>
      </c>
      <c r="R167" s="60">
        <f t="shared" si="93"/>
        <v>6.2979980756344561E-3</v>
      </c>
      <c r="S167" s="60">
        <f t="shared" si="94"/>
        <v>6.3563583698757033E-3</v>
      </c>
      <c r="T167" s="60">
        <f t="shared" si="94"/>
        <v>0</v>
      </c>
      <c r="U167" s="60">
        <f t="shared" si="95"/>
        <v>-4.8950413223139318E-3</v>
      </c>
      <c r="V167" s="61">
        <f t="shared" si="95"/>
        <v>6.5962276242150439E-3</v>
      </c>
    </row>
    <row r="168" spans="1:22">
      <c r="A168" s="147">
        <v>145</v>
      </c>
      <c r="B168" s="140" t="s">
        <v>211</v>
      </c>
      <c r="C168" s="141" t="s">
        <v>82</v>
      </c>
      <c r="D168" s="35">
        <v>279448568.82999998</v>
      </c>
      <c r="E168" s="32">
        <f t="shared" si="91"/>
        <v>4.8720258704191607E-3</v>
      </c>
      <c r="F168" s="35">
        <v>363.6</v>
      </c>
      <c r="G168" s="35">
        <v>365.88</v>
      </c>
      <c r="H168" s="34">
        <v>40</v>
      </c>
      <c r="I168" s="53">
        <v>4.7717842323651505E-2</v>
      </c>
      <c r="J168" s="53">
        <v>4.7717842323651505E-2</v>
      </c>
      <c r="K168" s="35">
        <v>271075789.24000001</v>
      </c>
      <c r="L168" s="57">
        <f t="shared" si="92"/>
        <v>4.6534496851637326E-3</v>
      </c>
      <c r="M168" s="35">
        <v>363.6</v>
      </c>
      <c r="N168" s="35">
        <v>365.88</v>
      </c>
      <c r="O168" s="34">
        <v>40</v>
      </c>
      <c r="P168" s="53">
        <v>-4.0500000000000001E-2</v>
      </c>
      <c r="Q168" s="53">
        <v>5.3E-3</v>
      </c>
      <c r="R168" s="60">
        <f t="shared" si="93"/>
        <v>-2.99617909122071E-2</v>
      </c>
      <c r="S168" s="60">
        <f t="shared" si="94"/>
        <v>0</v>
      </c>
      <c r="T168" s="60">
        <f t="shared" si="94"/>
        <v>0</v>
      </c>
      <c r="U168" s="60">
        <f t="shared" si="95"/>
        <v>-8.8217842323651513E-2</v>
      </c>
      <c r="V168" s="61">
        <f t="shared" si="95"/>
        <v>-4.2417842323651506E-2</v>
      </c>
    </row>
    <row r="169" spans="1:22">
      <c r="A169" s="147">
        <v>146</v>
      </c>
      <c r="B169" s="140" t="s">
        <v>212</v>
      </c>
      <c r="C169" s="140" t="s">
        <v>84</v>
      </c>
      <c r="D169" s="35">
        <v>61524320.291448399</v>
      </c>
      <c r="E169" s="32">
        <f t="shared" si="91"/>
        <v>1.0726413141956012E-3</v>
      </c>
      <c r="F169" s="35">
        <v>1.19629017943951</v>
      </c>
      <c r="G169" s="35">
        <v>1.2103224340772401</v>
      </c>
      <c r="H169" s="34">
        <v>29</v>
      </c>
      <c r="I169" s="53">
        <v>2.45967587260914E-3</v>
      </c>
      <c r="J169" s="53">
        <v>6.9366838375044104E-3</v>
      </c>
      <c r="K169" s="179">
        <v>61590676.662470698</v>
      </c>
      <c r="L169" s="57">
        <f t="shared" si="92"/>
        <v>1.0573025194450063E-3</v>
      </c>
      <c r="M169" s="35">
        <v>1.1975955592326</v>
      </c>
      <c r="N169" s="35">
        <v>1.21162781387033</v>
      </c>
      <c r="O169" s="34">
        <v>27</v>
      </c>
      <c r="P169" s="53">
        <v>1.0785388722376801E-3</v>
      </c>
      <c r="Q169" s="53">
        <v>8.0227041929052598E-3</v>
      </c>
      <c r="R169" s="60">
        <f t="shared" si="93"/>
        <v>1.0785388722371982E-3</v>
      </c>
      <c r="S169" s="60">
        <f t="shared" si="94"/>
        <v>1.0785388722346623E-3</v>
      </c>
      <c r="T169" s="60">
        <f t="shared" si="94"/>
        <v>-6.8965517241379309E-2</v>
      </c>
      <c r="U169" s="60">
        <f t="shared" si="95"/>
        <v>-1.38113700037146E-3</v>
      </c>
      <c r="V169" s="61">
        <f t="shared" si="95"/>
        <v>1.0860203554008494E-3</v>
      </c>
    </row>
    <row r="170" spans="1:22" ht="13.5" customHeight="1">
      <c r="A170" s="147">
        <v>147</v>
      </c>
      <c r="B170" s="140" t="s">
        <v>213</v>
      </c>
      <c r="C170" s="141" t="s">
        <v>37</v>
      </c>
      <c r="D170" s="31">
        <v>3258673686.9899998</v>
      </c>
      <c r="E170" s="32">
        <f t="shared" si="91"/>
        <v>5.6813110808693029E-2</v>
      </c>
      <c r="F170" s="35">
        <v>4.6004659999999999</v>
      </c>
      <c r="G170" s="35">
        <v>4.7330860000000001</v>
      </c>
      <c r="H170" s="34">
        <v>2358</v>
      </c>
      <c r="I170" s="53">
        <v>1.8223693922860607E-2</v>
      </c>
      <c r="J170" s="53">
        <v>8.5198309337940481E-2</v>
      </c>
      <c r="K170" s="31">
        <v>3315107662.6300001</v>
      </c>
      <c r="L170" s="57">
        <f t="shared" si="92"/>
        <v>5.6909127710004601E-2</v>
      </c>
      <c r="M170" s="35">
        <v>4.6784020000000002</v>
      </c>
      <c r="N170" s="35">
        <v>4.8131120000000003</v>
      </c>
      <c r="O170" s="34">
        <v>2358</v>
      </c>
      <c r="P170" s="53">
        <v>1.6940892509584859E-2</v>
      </c>
      <c r="Q170" s="53">
        <v>0.10358253724801769</v>
      </c>
      <c r="R170" s="60">
        <f t="shared" si="93"/>
        <v>1.7318081238176311E-2</v>
      </c>
      <c r="S170" s="60">
        <f t="shared" si="94"/>
        <v>1.6907784899746203E-2</v>
      </c>
      <c r="T170" s="60">
        <f t="shared" si="94"/>
        <v>0</v>
      </c>
      <c r="U170" s="60">
        <f t="shared" si="95"/>
        <v>-1.282801413275747E-3</v>
      </c>
      <c r="V170" s="61">
        <f t="shared" si="95"/>
        <v>1.8384227910077211E-2</v>
      </c>
    </row>
    <row r="171" spans="1:22" ht="13.5" customHeight="1">
      <c r="A171" s="147">
        <v>148</v>
      </c>
      <c r="B171" s="140" t="s">
        <v>214</v>
      </c>
      <c r="C171" s="141" t="s">
        <v>215</v>
      </c>
      <c r="D171" s="31">
        <v>76846715.379999995</v>
      </c>
      <c r="E171" s="32">
        <f t="shared" si="91"/>
        <v>1.3397785036281947E-3</v>
      </c>
      <c r="F171" s="35">
        <v>2.2442000000000002</v>
      </c>
      <c r="G171" s="35">
        <v>2.2562000000000002</v>
      </c>
      <c r="H171" s="34">
        <v>78</v>
      </c>
      <c r="I171" s="53">
        <v>1.6E-2</v>
      </c>
      <c r="J171" s="53">
        <v>5.2999999999999999E-2</v>
      </c>
      <c r="K171" s="31">
        <v>79677012.150000006</v>
      </c>
      <c r="L171" s="57">
        <f t="shared" si="92"/>
        <v>1.3677834090005596E-3</v>
      </c>
      <c r="M171" s="35">
        <v>2.3033000000000001</v>
      </c>
      <c r="N171" s="35">
        <v>2.3155999999999999</v>
      </c>
      <c r="O171" s="34">
        <v>78</v>
      </c>
      <c r="P171" s="53">
        <v>2.5999999999999999E-2</v>
      </c>
      <c r="Q171" s="53">
        <v>9.1499999999999998E-2</v>
      </c>
      <c r="R171" s="60">
        <f t="shared" si="93"/>
        <v>3.6830419569716825E-2</v>
      </c>
      <c r="S171" s="60">
        <f t="shared" si="94"/>
        <v>2.632745323996085E-2</v>
      </c>
      <c r="T171" s="60">
        <f t="shared" si="94"/>
        <v>0</v>
      </c>
      <c r="U171" s="60">
        <f t="shared" si="95"/>
        <v>9.9999999999999985E-3</v>
      </c>
      <c r="V171" s="61">
        <f t="shared" si="95"/>
        <v>3.85E-2</v>
      </c>
    </row>
    <row r="172" spans="1:22">
      <c r="A172" s="147">
        <v>149</v>
      </c>
      <c r="B172" s="140" t="s">
        <v>216</v>
      </c>
      <c r="C172" s="141" t="s">
        <v>135</v>
      </c>
      <c r="D172" s="31">
        <v>481047310.70999998</v>
      </c>
      <c r="E172" s="32">
        <f t="shared" si="91"/>
        <v>8.3867845610633186E-3</v>
      </c>
      <c r="F172" s="35">
        <v>250.94</v>
      </c>
      <c r="G172" s="35">
        <v>253.41</v>
      </c>
      <c r="H172" s="34">
        <v>143</v>
      </c>
      <c r="I172" s="53">
        <v>1.38E-2</v>
      </c>
      <c r="J172" s="53">
        <v>0.25030000000000002</v>
      </c>
      <c r="K172" s="31">
        <v>537879070.87</v>
      </c>
      <c r="L172" s="57">
        <f t="shared" si="92"/>
        <v>9.2335549405340254E-3</v>
      </c>
      <c r="M172" s="35">
        <v>256.79000000000002</v>
      </c>
      <c r="N172" s="35">
        <v>259.16000000000003</v>
      </c>
      <c r="O172" s="34">
        <v>143</v>
      </c>
      <c r="P172" s="53">
        <v>1.37E-2</v>
      </c>
      <c r="Q172" s="53">
        <v>0.25030000000000002</v>
      </c>
      <c r="R172" s="60">
        <f t="shared" si="93"/>
        <v>0.11814172721622621</v>
      </c>
      <c r="S172" s="60">
        <f t="shared" si="94"/>
        <v>2.2690501558738915E-2</v>
      </c>
      <c r="T172" s="60">
        <f t="shared" si="94"/>
        <v>0</v>
      </c>
      <c r="U172" s="60">
        <f t="shared" si="95"/>
        <v>-9.9999999999999395E-5</v>
      </c>
      <c r="V172" s="61">
        <f t="shared" si="95"/>
        <v>0</v>
      </c>
    </row>
    <row r="173" spans="1:22">
      <c r="A173" s="147">
        <v>150</v>
      </c>
      <c r="B173" s="140" t="s">
        <v>217</v>
      </c>
      <c r="C173" s="141" t="s">
        <v>33</v>
      </c>
      <c r="D173" s="31">
        <v>2245697715.5799999</v>
      </c>
      <c r="E173" s="32">
        <f t="shared" si="91"/>
        <v>3.9152454468653543E-2</v>
      </c>
      <c r="F173" s="35">
        <v>552.22</v>
      </c>
      <c r="G173" s="35">
        <v>552.22</v>
      </c>
      <c r="H173" s="34">
        <v>823</v>
      </c>
      <c r="I173" s="53">
        <v>1.206E-2</v>
      </c>
      <c r="J173" s="53">
        <v>0.43652000000000002</v>
      </c>
      <c r="K173" s="31">
        <v>2256551586.8699999</v>
      </c>
      <c r="L173" s="57">
        <f t="shared" si="92"/>
        <v>3.8737318817428451E-2</v>
      </c>
      <c r="M173" s="35">
        <v>552.22</v>
      </c>
      <c r="N173" s="35">
        <v>552.22</v>
      </c>
      <c r="O173" s="34">
        <v>823</v>
      </c>
      <c r="P173" s="53">
        <v>4.7999999999999996E-3</v>
      </c>
      <c r="Q173" s="53">
        <v>0.44350000000000001</v>
      </c>
      <c r="R173" s="60">
        <f t="shared" si="93"/>
        <v>4.8331844551913411E-3</v>
      </c>
      <c r="S173" s="60">
        <f t="shared" si="94"/>
        <v>0</v>
      </c>
      <c r="T173" s="60">
        <f t="shared" si="94"/>
        <v>0</v>
      </c>
      <c r="U173" s="60">
        <f t="shared" si="95"/>
        <v>-7.26E-3</v>
      </c>
      <c r="V173" s="61">
        <f t="shared" si="95"/>
        <v>6.9799999999999862E-3</v>
      </c>
    </row>
    <row r="174" spans="1:22">
      <c r="A174" s="174">
        <v>151</v>
      </c>
      <c r="B174" s="176" t="s">
        <v>218</v>
      </c>
      <c r="C174" s="177" t="s">
        <v>91</v>
      </c>
      <c r="D174" s="35">
        <v>33483165.120000001</v>
      </c>
      <c r="E174" s="32">
        <f t="shared" si="91"/>
        <v>5.8375982160565536E-4</v>
      </c>
      <c r="F174" s="35">
        <v>1.98</v>
      </c>
      <c r="G174" s="35">
        <v>1.98</v>
      </c>
      <c r="H174" s="34">
        <v>8</v>
      </c>
      <c r="I174" s="53">
        <v>1.206E-2</v>
      </c>
      <c r="J174" s="53">
        <v>0.43652000000000002</v>
      </c>
      <c r="K174" s="35">
        <v>34221727.479999997</v>
      </c>
      <c r="L174" s="57">
        <f t="shared" si="92"/>
        <v>5.8747071220946283E-4</v>
      </c>
      <c r="M174" s="35">
        <v>2.02</v>
      </c>
      <c r="N174" s="35">
        <v>2.02</v>
      </c>
      <c r="O174" s="34">
        <v>8</v>
      </c>
      <c r="P174" s="53">
        <v>1.6001000000000001E-2</v>
      </c>
      <c r="Q174" s="53">
        <v>7.5926999999999994E-2</v>
      </c>
      <c r="R174" s="60">
        <f t="shared" si="93"/>
        <v>2.205772236146341E-2</v>
      </c>
      <c r="S174" s="60">
        <f t="shared" si="94"/>
        <v>2.0202020202020221E-2</v>
      </c>
      <c r="T174" s="60">
        <f t="shared" si="94"/>
        <v>0</v>
      </c>
      <c r="U174" s="60">
        <f t="shared" si="95"/>
        <v>3.9410000000000018E-3</v>
      </c>
      <c r="V174" s="61">
        <f t="shared" si="95"/>
        <v>-0.36059300000000005</v>
      </c>
    </row>
    <row r="175" spans="1:22">
      <c r="A175" s="147">
        <v>152</v>
      </c>
      <c r="B175" s="140" t="s">
        <v>219</v>
      </c>
      <c r="C175" s="141" t="s">
        <v>45</v>
      </c>
      <c r="D175" s="35">
        <v>274330239.61000001</v>
      </c>
      <c r="E175" s="32">
        <f t="shared" si="91"/>
        <v>4.7827907296647551E-3</v>
      </c>
      <c r="F175" s="35">
        <v>2.7535449999999999</v>
      </c>
      <c r="G175" s="35">
        <v>2.8081209999999999</v>
      </c>
      <c r="H175" s="34">
        <v>121</v>
      </c>
      <c r="I175" s="53">
        <v>2.5399999999999999E-2</v>
      </c>
      <c r="J175" s="53">
        <v>0.18629999999999999</v>
      </c>
      <c r="K175" s="35">
        <v>277677973.80000001</v>
      </c>
      <c r="L175" s="57">
        <f t="shared" si="92"/>
        <v>4.7667867476445282E-3</v>
      </c>
      <c r="M175" s="35">
        <v>2.7872560000000002</v>
      </c>
      <c r="N175" s="35">
        <v>2.8428179999999998</v>
      </c>
      <c r="O175" s="34">
        <v>121</v>
      </c>
      <c r="P175" s="53">
        <v>2.4299999999999999E-2</v>
      </c>
      <c r="Q175" s="53">
        <v>0.2009</v>
      </c>
      <c r="R175" s="60">
        <f t="shared" si="93"/>
        <v>1.2203299916040187E-2</v>
      </c>
      <c r="S175" s="60">
        <f t="shared" si="94"/>
        <v>1.2355949049204069E-2</v>
      </c>
      <c r="T175" s="60">
        <f t="shared" si="94"/>
        <v>0</v>
      </c>
      <c r="U175" s="60">
        <f t="shared" si="95"/>
        <v>-1.1000000000000003E-3</v>
      </c>
      <c r="V175" s="61">
        <f t="shared" si="95"/>
        <v>1.4600000000000002E-2</v>
      </c>
    </row>
    <row r="176" spans="1:22">
      <c r="A176" s="147">
        <v>153</v>
      </c>
      <c r="B176" s="140" t="s">
        <v>220</v>
      </c>
      <c r="C176" s="141" t="s">
        <v>49</v>
      </c>
      <c r="D176" s="31">
        <v>2573037276.3699999</v>
      </c>
      <c r="E176" s="32">
        <f t="shared" si="91"/>
        <v>4.4859432376100662E-2</v>
      </c>
      <c r="F176" s="35">
        <v>6744.63</v>
      </c>
      <c r="G176" s="35">
        <v>6806.87</v>
      </c>
      <c r="H176" s="34">
        <v>2276</v>
      </c>
      <c r="I176" s="53">
        <v>2.6200000000000001E-2</v>
      </c>
      <c r="J176" s="53">
        <v>5.7500000000000002E-2</v>
      </c>
      <c r="K176" s="31">
        <v>2682528398.1900001</v>
      </c>
      <c r="L176" s="32">
        <f t="shared" si="92"/>
        <v>4.6049892412000144E-2</v>
      </c>
      <c r="M176" s="35">
        <v>6840.54</v>
      </c>
      <c r="N176" s="35">
        <v>6903.6</v>
      </c>
      <c r="O176" s="34">
        <v>2289</v>
      </c>
      <c r="P176" s="53">
        <v>1.4200000000000001E-2</v>
      </c>
      <c r="Q176" s="53">
        <v>7.2499999999999995E-2</v>
      </c>
      <c r="R176" s="60">
        <f t="shared" si="93"/>
        <v>4.2553259070723028E-2</v>
      </c>
      <c r="S176" s="60">
        <f t="shared" si="94"/>
        <v>1.4210643070897561E-2</v>
      </c>
      <c r="T176" s="60">
        <f t="shared" si="94"/>
        <v>5.7117750439367315E-3</v>
      </c>
      <c r="U176" s="60">
        <f t="shared" si="95"/>
        <v>-1.2E-2</v>
      </c>
      <c r="V176" s="61">
        <f t="shared" si="95"/>
        <v>1.4999999999999993E-2</v>
      </c>
    </row>
    <row r="177" spans="1:22">
      <c r="A177" s="147">
        <v>154</v>
      </c>
      <c r="B177" s="140" t="s">
        <v>221</v>
      </c>
      <c r="C177" s="140" t="s">
        <v>101</v>
      </c>
      <c r="D177" s="31">
        <v>109487460.84999999</v>
      </c>
      <c r="E177" s="32">
        <f t="shared" si="91"/>
        <v>1.9088512207489949E-3</v>
      </c>
      <c r="F177" s="35">
        <v>1153.77</v>
      </c>
      <c r="G177" s="35">
        <v>1170.4000000000001</v>
      </c>
      <c r="H177" s="34">
        <v>10</v>
      </c>
      <c r="I177" s="53">
        <v>1.8602247136362937E-2</v>
      </c>
      <c r="J177" s="53">
        <v>4.3663E-2</v>
      </c>
      <c r="K177" s="31">
        <v>109749837.16</v>
      </c>
      <c r="L177" s="32">
        <f t="shared" si="92"/>
        <v>1.8840315714318747E-3</v>
      </c>
      <c r="M177" s="35">
        <v>1156.51</v>
      </c>
      <c r="N177" s="35">
        <v>1173.22</v>
      </c>
      <c r="O177" s="34">
        <v>10</v>
      </c>
      <c r="P177" s="53">
        <v>2.683888265664347E-3</v>
      </c>
      <c r="Q177" s="53">
        <v>4.6433000000000002E-2</v>
      </c>
      <c r="R177" s="60">
        <f t="shared" si="93"/>
        <v>2.396405103954901E-3</v>
      </c>
      <c r="S177" s="60">
        <f t="shared" si="94"/>
        <v>2.4094326725905128E-3</v>
      </c>
      <c r="T177" s="60">
        <f t="shared" si="94"/>
        <v>0</v>
      </c>
      <c r="U177" s="60">
        <f t="shared" si="95"/>
        <v>-1.591835887069859E-2</v>
      </c>
      <c r="V177" s="61">
        <f t="shared" si="95"/>
        <v>2.7700000000000016E-3</v>
      </c>
    </row>
    <row r="178" spans="1:22">
      <c r="A178" s="147">
        <v>155</v>
      </c>
      <c r="B178" s="140" t="s">
        <v>222</v>
      </c>
      <c r="C178" s="140" t="s">
        <v>84</v>
      </c>
      <c r="D178" s="31">
        <v>722815851.32145202</v>
      </c>
      <c r="E178" s="32">
        <f t="shared" si="91"/>
        <v>1.2601880703599107E-2</v>
      </c>
      <c r="F178" s="35">
        <v>1.37996333498249</v>
      </c>
      <c r="G178" s="35">
        <v>1.37996333498249</v>
      </c>
      <c r="H178" s="34">
        <v>42</v>
      </c>
      <c r="I178" s="53">
        <v>2.7594455863309501E-3</v>
      </c>
      <c r="J178" s="53">
        <v>2.5283015072159399E-2</v>
      </c>
      <c r="K178" s="31">
        <v>724941976.75666702</v>
      </c>
      <c r="L178" s="32">
        <f t="shared" si="92"/>
        <v>1.2444789049432727E-2</v>
      </c>
      <c r="M178" s="35">
        <v>1.3837582456458399</v>
      </c>
      <c r="N178" s="35">
        <v>1.3837582456458399</v>
      </c>
      <c r="O178" s="34">
        <v>43</v>
      </c>
      <c r="P178" s="53">
        <v>2.9414482697473899E-3</v>
      </c>
      <c r="Q178" s="53">
        <v>2.8298832022844798E-2</v>
      </c>
      <c r="R178" s="60">
        <f t="shared" si="93"/>
        <v>2.9414482697467325E-3</v>
      </c>
      <c r="S178" s="60">
        <f t="shared" si="94"/>
        <v>2.7500083278647891E-3</v>
      </c>
      <c r="T178" s="60">
        <f t="shared" si="94"/>
        <v>2.3809523809523808E-2</v>
      </c>
      <c r="U178" s="60">
        <f t="shared" si="95"/>
        <v>1.8200268341643988E-4</v>
      </c>
      <c r="V178" s="61">
        <f t="shared" si="95"/>
        <v>3.0158169506853995E-3</v>
      </c>
    </row>
    <row r="179" spans="1:22">
      <c r="A179" s="147">
        <v>156</v>
      </c>
      <c r="B179" s="140" t="s">
        <v>223</v>
      </c>
      <c r="C179" s="141" t="s">
        <v>52</v>
      </c>
      <c r="D179" s="35">
        <v>2329340402.1199999</v>
      </c>
      <c r="E179" s="32">
        <f t="shared" si="91"/>
        <v>4.0610716840153271E-2</v>
      </c>
      <c r="F179" s="35">
        <v>2.1168999999999998</v>
      </c>
      <c r="G179" s="35">
        <v>2.1316999999999999</v>
      </c>
      <c r="H179" s="34">
        <v>2255</v>
      </c>
      <c r="I179" s="53">
        <v>2.9100000000000001E-2</v>
      </c>
      <c r="J179" s="53">
        <v>7.0599999999999996E-2</v>
      </c>
      <c r="K179" s="35">
        <v>2363350532.5799999</v>
      </c>
      <c r="L179" s="57">
        <f t="shared" si="92"/>
        <v>4.0570693615241946E-2</v>
      </c>
      <c r="M179" s="35">
        <v>2.1364000000000001</v>
      </c>
      <c r="N179" s="35">
        <v>2.1513</v>
      </c>
      <c r="O179" s="34">
        <v>2258</v>
      </c>
      <c r="P179" s="53">
        <v>9.1999999999999998E-3</v>
      </c>
      <c r="Q179" s="53">
        <v>8.0500000000000002E-2</v>
      </c>
      <c r="R179" s="60">
        <f t="shared" si="93"/>
        <v>1.4600755831584957E-2</v>
      </c>
      <c r="S179" s="60">
        <f t="shared" si="94"/>
        <v>9.1945395693578194E-3</v>
      </c>
      <c r="T179" s="60">
        <f t="shared" si="94"/>
        <v>1.3303769401330377E-3</v>
      </c>
      <c r="U179" s="60">
        <f t="shared" si="95"/>
        <v>-1.9900000000000001E-2</v>
      </c>
      <c r="V179" s="61">
        <f t="shared" si="95"/>
        <v>9.900000000000006E-3</v>
      </c>
    </row>
    <row r="180" spans="1:22">
      <c r="A180" s="147">
        <v>157</v>
      </c>
      <c r="B180" s="140" t="s">
        <v>224</v>
      </c>
      <c r="C180" s="141" t="s">
        <v>52</v>
      </c>
      <c r="D180" s="35">
        <v>1303181541.0599999</v>
      </c>
      <c r="E180" s="32">
        <f t="shared" si="91"/>
        <v>2.2720224363573203E-2</v>
      </c>
      <c r="F180" s="35">
        <v>1.6097999999999999</v>
      </c>
      <c r="G180" s="35">
        <v>1.6196999999999999</v>
      </c>
      <c r="H180" s="34">
        <v>847</v>
      </c>
      <c r="I180" s="53">
        <v>2.52E-2</v>
      </c>
      <c r="J180" s="53">
        <v>5.96E-2</v>
      </c>
      <c r="K180" s="35">
        <v>1332623449.6500001</v>
      </c>
      <c r="L180" s="57">
        <f t="shared" si="92"/>
        <v>2.2876613915251622E-2</v>
      </c>
      <c r="M180" s="35">
        <v>1.6334</v>
      </c>
      <c r="N180" s="35">
        <v>1.6434</v>
      </c>
      <c r="O180" s="34">
        <v>851</v>
      </c>
      <c r="P180" s="53">
        <v>1.47E-2</v>
      </c>
      <c r="Q180" s="53">
        <v>7.51E-2</v>
      </c>
      <c r="R180" s="60">
        <f t="shared" si="93"/>
        <v>2.2592330893554773E-2</v>
      </c>
      <c r="S180" s="60">
        <f t="shared" si="94"/>
        <v>1.4632339322096719E-2</v>
      </c>
      <c r="T180" s="60">
        <f t="shared" si="94"/>
        <v>4.7225501770956314E-3</v>
      </c>
      <c r="U180" s="60">
        <f t="shared" si="95"/>
        <v>-1.0500000000000001E-2</v>
      </c>
      <c r="V180" s="61">
        <f t="shared" si="95"/>
        <v>1.55E-2</v>
      </c>
    </row>
    <row r="181" spans="1:22">
      <c r="A181" s="147">
        <v>158</v>
      </c>
      <c r="B181" s="140" t="s">
        <v>225</v>
      </c>
      <c r="C181" s="141" t="s">
        <v>106</v>
      </c>
      <c r="D181" s="31">
        <v>10416474234.58</v>
      </c>
      <c r="E181" s="32">
        <f t="shared" si="91"/>
        <v>0.18160526697956103</v>
      </c>
      <c r="F181" s="35">
        <v>566.54999999999995</v>
      </c>
      <c r="G181" s="35">
        <v>573.79999999999995</v>
      </c>
      <c r="H181" s="34">
        <v>38</v>
      </c>
      <c r="I181" s="53">
        <v>4.9908524192760151E-2</v>
      </c>
      <c r="J181" s="53">
        <v>9.596381795881781E-2</v>
      </c>
      <c r="K181" s="31">
        <v>10652598261.74</v>
      </c>
      <c r="L181" s="57">
        <v>5.2058</v>
      </c>
      <c r="M181" s="35">
        <v>579.39</v>
      </c>
      <c r="N181" s="35">
        <v>586.80999999999995</v>
      </c>
      <c r="O181" s="34">
        <v>38</v>
      </c>
      <c r="P181" s="53">
        <v>2.2668352973463479E-2</v>
      </c>
      <c r="Q181" s="53">
        <v>0.12080751263045286</v>
      </c>
      <c r="R181" s="60">
        <f t="shared" si="93"/>
        <v>2.2668325370222599E-2</v>
      </c>
      <c r="S181" s="60">
        <f t="shared" si="94"/>
        <v>2.2673405367723932E-2</v>
      </c>
      <c r="T181" s="60">
        <f t="shared" si="94"/>
        <v>0</v>
      </c>
      <c r="U181" s="60">
        <f t="shared" si="95"/>
        <v>-2.7240171219296672E-2</v>
      </c>
      <c r="V181" s="61">
        <f t="shared" si="95"/>
        <v>2.4843694671635053E-2</v>
      </c>
    </row>
    <row r="182" spans="1:22">
      <c r="A182" s="38"/>
      <c r="B182" s="39"/>
      <c r="C182" s="40" t="s">
        <v>53</v>
      </c>
      <c r="D182" s="78">
        <f>SUM(D154:D181)</f>
        <v>57357776059.173073</v>
      </c>
      <c r="E182" s="42">
        <f>(D182/$D$214)</f>
        <v>1.3684646445154299E-2</v>
      </c>
      <c r="F182" s="43"/>
      <c r="G182" s="79"/>
      <c r="H182" s="45">
        <f>SUM(H154:H181)</f>
        <v>69408</v>
      </c>
      <c r="I182" s="85"/>
      <c r="J182" s="85"/>
      <c r="K182" s="78">
        <f>SUM(K154:K181)</f>
        <v>58252652887.652779</v>
      </c>
      <c r="L182" s="42">
        <f>(K182/$K$214)</f>
        <v>1.3643739893309555E-2</v>
      </c>
      <c r="M182" s="43"/>
      <c r="N182" s="79"/>
      <c r="O182" s="45">
        <f>SUM(O154:O181)</f>
        <v>69445</v>
      </c>
      <c r="P182" s="85"/>
      <c r="Q182" s="85"/>
      <c r="R182" s="60">
        <f t="shared" ref="R182" si="96">((K182-D182)/D182)</f>
        <v>1.5601665370646646E-2</v>
      </c>
      <c r="S182" s="60" t="e">
        <f t="shared" ref="S182" si="97">((N182-G182)/G182)</f>
        <v>#DIV/0!</v>
      </c>
      <c r="T182" s="60">
        <f t="shared" ref="T182" si="98">((O182-H182)/H182)</f>
        <v>5.3307976025818344E-4</v>
      </c>
      <c r="U182" s="60">
        <f t="shared" ref="U182" si="99">P182-I182</f>
        <v>0</v>
      </c>
      <c r="V182" s="61">
        <f t="shared" ref="V182" si="100">Q182-J182</f>
        <v>0</v>
      </c>
    </row>
    <row r="183" spans="1:22" ht="5.25" customHeight="1">
      <c r="A183" s="38"/>
      <c r="B183" s="187"/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187"/>
      <c r="U183" s="187"/>
      <c r="V183" s="187"/>
    </row>
    <row r="184" spans="1:22" ht="15" customHeight="1">
      <c r="A184" s="189" t="s">
        <v>226</v>
      </c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</row>
    <row r="185" spans="1:22" ht="16.2" customHeight="1">
      <c r="A185" s="146">
        <v>159</v>
      </c>
      <c r="B185" s="140" t="s">
        <v>227</v>
      </c>
      <c r="C185" s="141" t="s">
        <v>23</v>
      </c>
      <c r="D185" s="81">
        <v>1048789311.01</v>
      </c>
      <c r="E185" s="32">
        <f>(D185/$D$188)</f>
        <v>0.15932785613415903</v>
      </c>
      <c r="F185" s="80">
        <v>71.433999999999997</v>
      </c>
      <c r="G185" s="80">
        <v>73.587800000000001</v>
      </c>
      <c r="H185" s="36">
        <v>1681</v>
      </c>
      <c r="I185" s="54">
        <v>0.78059999999999996</v>
      </c>
      <c r="J185" s="54">
        <v>0.40139999999999998</v>
      </c>
      <c r="K185" s="81">
        <v>1054761753.17</v>
      </c>
      <c r="L185" s="57">
        <f>(K185/$K$188)</f>
        <v>0.15651982886690377</v>
      </c>
      <c r="M185" s="80">
        <v>71.519900000000007</v>
      </c>
      <c r="N185" s="80">
        <v>73.676299999999998</v>
      </c>
      <c r="O185" s="36">
        <v>1685</v>
      </c>
      <c r="P185" s="54">
        <v>6.2700000000000006E-2</v>
      </c>
      <c r="Q185" s="54">
        <v>0.34910000000000002</v>
      </c>
      <c r="R185" s="60">
        <f>((K185-D185)/D185)</f>
        <v>5.6946062448409345E-3</v>
      </c>
      <c r="S185" s="60">
        <f t="shared" ref="S185:T188" si="101">((N185-G185)/G185)</f>
        <v>1.2026450036554462E-3</v>
      </c>
      <c r="T185" s="60">
        <f t="shared" si="101"/>
        <v>2.3795359904818562E-3</v>
      </c>
      <c r="U185" s="60">
        <f t="shared" ref="U185:V188" si="102">P185-I185</f>
        <v>-0.71789999999999998</v>
      </c>
      <c r="V185" s="61">
        <f t="shared" si="102"/>
        <v>-5.2299999999999958E-2</v>
      </c>
    </row>
    <row r="186" spans="1:22">
      <c r="A186" s="146">
        <v>160</v>
      </c>
      <c r="B186" s="140" t="s">
        <v>228</v>
      </c>
      <c r="C186" s="141" t="s">
        <v>229</v>
      </c>
      <c r="D186" s="81">
        <v>1040853874.09</v>
      </c>
      <c r="E186" s="32">
        <f>(D186/$D$188)</f>
        <v>0.15812233645668075</v>
      </c>
      <c r="F186" s="80">
        <v>29.225200000000001</v>
      </c>
      <c r="G186" s="80">
        <v>29.509</v>
      </c>
      <c r="H186" s="34">
        <v>1485</v>
      </c>
      <c r="I186" s="53">
        <v>3.9199999999999999E-2</v>
      </c>
      <c r="J186" s="53">
        <v>9.7799999999999998E-2</v>
      </c>
      <c r="K186" s="81">
        <v>1055590348.71</v>
      </c>
      <c r="L186" s="57">
        <f>(K186/$K$188)</f>
        <v>0.15664278709110077</v>
      </c>
      <c r="M186" s="80">
        <v>29.892199999999999</v>
      </c>
      <c r="N186" s="80">
        <v>30.189800000000002</v>
      </c>
      <c r="O186" s="34">
        <v>1483</v>
      </c>
      <c r="P186" s="53">
        <v>2.2100000000000002E-2</v>
      </c>
      <c r="Q186" s="53">
        <v>0.123</v>
      </c>
      <c r="R186" s="60">
        <f>((K186-D186)/D186)</f>
        <v>1.4158062900888793E-2</v>
      </c>
      <c r="S186" s="60">
        <f t="shared" si="101"/>
        <v>2.3070927513639955E-2</v>
      </c>
      <c r="T186" s="60">
        <f t="shared" si="101"/>
        <v>-1.3468013468013469E-3</v>
      </c>
      <c r="U186" s="60">
        <f t="shared" si="102"/>
        <v>-1.7099999999999997E-2</v>
      </c>
      <c r="V186" s="61">
        <f t="shared" si="102"/>
        <v>2.52E-2</v>
      </c>
    </row>
    <row r="187" spans="1:22">
      <c r="A187" s="146">
        <v>161</v>
      </c>
      <c r="B187" s="140" t="s">
        <v>230</v>
      </c>
      <c r="C187" s="141" t="s">
        <v>49</v>
      </c>
      <c r="D187" s="47">
        <v>4492942788.6099997</v>
      </c>
      <c r="E187" s="32">
        <f>(D187/$D$188)</f>
        <v>0.68254980740916027</v>
      </c>
      <c r="F187" s="80">
        <v>3.17</v>
      </c>
      <c r="G187" s="80">
        <v>3.17</v>
      </c>
      <c r="H187" s="34">
        <v>10256</v>
      </c>
      <c r="I187" s="53">
        <v>3.5900000000000001E-2</v>
      </c>
      <c r="J187" s="53">
        <v>9.3100000000000002E-2</v>
      </c>
      <c r="K187" s="47">
        <v>4628485787.2600002</v>
      </c>
      <c r="L187" s="57">
        <f>(K187/$K$188)</f>
        <v>0.68683738404199546</v>
      </c>
      <c r="M187" s="80">
        <v>3.2</v>
      </c>
      <c r="N187" s="80">
        <v>3.25</v>
      </c>
      <c r="O187" s="34">
        <v>10267</v>
      </c>
      <c r="P187" s="53">
        <v>2.52E-2</v>
      </c>
      <c r="Q187" s="53">
        <v>0.1207</v>
      </c>
      <c r="R187" s="60">
        <f>((K187-D187)/D187)</f>
        <v>3.0167977877130742E-2</v>
      </c>
      <c r="S187" s="60">
        <f t="shared" si="101"/>
        <v>2.5236593059936932E-2</v>
      </c>
      <c r="T187" s="60">
        <f t="shared" si="101"/>
        <v>1.0725429017160687E-3</v>
      </c>
      <c r="U187" s="60">
        <f t="shared" si="102"/>
        <v>-1.0700000000000001E-2</v>
      </c>
      <c r="V187" s="61">
        <f t="shared" si="102"/>
        <v>2.76E-2</v>
      </c>
    </row>
    <row r="188" spans="1:22">
      <c r="A188" s="38"/>
      <c r="B188" s="39"/>
      <c r="C188" s="74" t="s">
        <v>53</v>
      </c>
      <c r="D188" s="78">
        <f>SUM(D185:D187)</f>
        <v>6582585973.7099991</v>
      </c>
      <c r="E188" s="42">
        <f>(D188/$D$214)</f>
        <v>1.5704995544478886E-3</v>
      </c>
      <c r="F188" s="43"/>
      <c r="G188" s="79"/>
      <c r="H188" s="45">
        <f>SUM(H185:H187)</f>
        <v>13422</v>
      </c>
      <c r="I188" s="85"/>
      <c r="J188" s="85"/>
      <c r="K188" s="78">
        <f>SUM(K185:K187)</f>
        <v>6738837889.1400003</v>
      </c>
      <c r="L188" s="42">
        <f>(K188/$K$214)</f>
        <v>1.5783478826265367E-3</v>
      </c>
      <c r="M188" s="43"/>
      <c r="N188" s="79"/>
      <c r="O188" s="45">
        <f>SUM(O185:O187)</f>
        <v>13435</v>
      </c>
      <c r="P188" s="85"/>
      <c r="Q188" s="85"/>
      <c r="R188" s="60">
        <f>((K188-D188)/D188)</f>
        <v>2.3737162880067393E-2</v>
      </c>
      <c r="S188" s="60" t="e">
        <f t="shared" si="101"/>
        <v>#DIV/0!</v>
      </c>
      <c r="T188" s="60">
        <f t="shared" si="101"/>
        <v>9.6855908210400829E-4</v>
      </c>
      <c r="U188" s="60">
        <f t="shared" si="102"/>
        <v>0</v>
      </c>
      <c r="V188" s="61">
        <f t="shared" si="102"/>
        <v>0</v>
      </c>
    </row>
    <row r="189" spans="1:22" ht="6" customHeight="1">
      <c r="A189" s="38"/>
      <c r="B189" s="187"/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</row>
    <row r="190" spans="1:22" ht="15" customHeight="1">
      <c r="A190" s="190" t="s">
        <v>231</v>
      </c>
      <c r="B190" s="190"/>
      <c r="C190" s="190"/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</row>
    <row r="191" spans="1:22">
      <c r="A191" s="191" t="s">
        <v>232</v>
      </c>
      <c r="B191" s="191"/>
      <c r="C191" s="191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</row>
    <row r="192" spans="1:22">
      <c r="A192" s="146">
        <v>162</v>
      </c>
      <c r="B192" s="140" t="s">
        <v>233</v>
      </c>
      <c r="C192" s="141" t="s">
        <v>234</v>
      </c>
      <c r="D192" s="50">
        <v>5237126660.7600002</v>
      </c>
      <c r="E192" s="32">
        <f>(D192/$D$213)</f>
        <v>9.7183089493815933E-2</v>
      </c>
      <c r="F192" s="82">
        <v>2.34</v>
      </c>
      <c r="G192" s="82">
        <v>2.39</v>
      </c>
      <c r="H192" s="49">
        <v>15046</v>
      </c>
      <c r="I192" s="56">
        <v>1.15E-2</v>
      </c>
      <c r="J192" s="56">
        <v>3.3500000000000002E-2</v>
      </c>
      <c r="K192" s="50">
        <v>5217491307.4499998</v>
      </c>
      <c r="L192" s="32">
        <f>(K192/$K$213)</f>
        <v>9.5764706525478027E-2</v>
      </c>
      <c r="M192" s="82">
        <v>2.33</v>
      </c>
      <c r="N192" s="82">
        <v>2.38</v>
      </c>
      <c r="O192" s="49">
        <v>15049</v>
      </c>
      <c r="P192" s="56">
        <v>-4.1000000000000003E-3</v>
      </c>
      <c r="Q192" s="56">
        <v>2.93E-2</v>
      </c>
      <c r="R192" s="60">
        <f>((K192-D192)/D192)</f>
        <v>-3.749260726711349E-3</v>
      </c>
      <c r="S192" s="60">
        <f>((N192-G192)/G192)</f>
        <v>-4.1841004184101386E-3</v>
      </c>
      <c r="T192" s="60">
        <f>((O192-H192)/H192)</f>
        <v>1.9938854180513092E-4</v>
      </c>
      <c r="U192" s="60">
        <f>P192-I192</f>
        <v>-1.5599999999999999E-2</v>
      </c>
      <c r="V192" s="61">
        <f>Q192-J192</f>
        <v>-4.2000000000000023E-3</v>
      </c>
    </row>
    <row r="193" spans="1:24">
      <c r="A193" s="146">
        <v>163</v>
      </c>
      <c r="B193" s="140" t="s">
        <v>235</v>
      </c>
      <c r="C193" s="141" t="s">
        <v>49</v>
      </c>
      <c r="D193" s="50">
        <v>833386367.54999995</v>
      </c>
      <c r="E193" s="32">
        <f>(D193/$D$213)</f>
        <v>1.5464789604455468E-2</v>
      </c>
      <c r="F193" s="82">
        <v>535.91</v>
      </c>
      <c r="G193" s="82">
        <v>542.79</v>
      </c>
      <c r="H193" s="49">
        <v>878</v>
      </c>
      <c r="I193" s="56">
        <v>2.9700000000000001E-2</v>
      </c>
      <c r="J193" s="56">
        <v>7.5499999999999998E-2</v>
      </c>
      <c r="K193" s="50">
        <v>896056646.77999997</v>
      </c>
      <c r="L193" s="32">
        <f>(K193/$K$213)</f>
        <v>1.6446716774891908E-2</v>
      </c>
      <c r="M193" s="82">
        <v>563.46</v>
      </c>
      <c r="N193" s="82">
        <v>570.66</v>
      </c>
      <c r="O193" s="49">
        <v>882</v>
      </c>
      <c r="P193" s="56">
        <v>5.1299999999999998E-2</v>
      </c>
      <c r="Q193" s="56">
        <v>0.13070000000000001</v>
      </c>
      <c r="R193" s="60">
        <f>((K193-D193)/D193)</f>
        <v>7.5199549296971244E-2</v>
      </c>
      <c r="S193" s="60">
        <f>((N193-G193)/G193)</f>
        <v>5.1345824351959335E-2</v>
      </c>
      <c r="T193" s="60">
        <f>((O193-H193)/H193)</f>
        <v>4.5558086560364463E-3</v>
      </c>
      <c r="U193" s="60">
        <f>P193-I193</f>
        <v>2.1599999999999998E-2</v>
      </c>
      <c r="V193" s="61">
        <f>Q193-J193</f>
        <v>5.5200000000000013E-2</v>
      </c>
    </row>
    <row r="194" spans="1:24" ht="6" customHeight="1">
      <c r="A194" s="38"/>
      <c r="B194" s="187"/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  <c r="U194" s="187"/>
      <c r="V194" s="187"/>
    </row>
    <row r="195" spans="1:24" ht="15" customHeight="1">
      <c r="A195" s="191" t="s">
        <v>174</v>
      </c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</row>
    <row r="196" spans="1:24">
      <c r="A196" s="146">
        <v>164</v>
      </c>
      <c r="B196" s="140" t="s">
        <v>295</v>
      </c>
      <c r="C196" s="141" t="s">
        <v>23</v>
      </c>
      <c r="D196" s="31">
        <v>1025871070.4</v>
      </c>
      <c r="E196" s="32">
        <f>(D196/$D$213)</f>
        <v>1.9036644805785947E-2</v>
      </c>
      <c r="F196" s="80">
        <v>1.0322</v>
      </c>
      <c r="G196" s="80">
        <v>1.0322</v>
      </c>
      <c r="H196" s="34">
        <v>416</v>
      </c>
      <c r="I196" s="53">
        <v>0.16719999999999999</v>
      </c>
      <c r="J196" s="53">
        <v>0.18110000000000001</v>
      </c>
      <c r="K196" s="31">
        <v>1050588521.7</v>
      </c>
      <c r="L196" s="32">
        <f t="shared" ref="L196:L208" si="103">(K196/$K$213)</f>
        <v>1.9283079842601244E-2</v>
      </c>
      <c r="M196" s="80">
        <v>1.0354000000000001</v>
      </c>
      <c r="N196" s="80">
        <v>1.0354000000000001</v>
      </c>
      <c r="O196" s="34">
        <v>443</v>
      </c>
      <c r="P196" s="53">
        <v>0.16170000000000001</v>
      </c>
      <c r="Q196" s="53">
        <v>0.17849999999999999</v>
      </c>
      <c r="R196" s="60">
        <f>((K196-D196)/D196)</f>
        <v>2.4094110861672343E-2</v>
      </c>
      <c r="S196" s="60">
        <f>((N196-G196)/G196)</f>
        <v>3.1001743848092342E-3</v>
      </c>
      <c r="T196" s="60">
        <f>((O196-H196)/H196)</f>
        <v>6.4903846153846159E-2</v>
      </c>
      <c r="U196" s="60">
        <f>P196-I196</f>
        <v>-5.4999999999999771E-3</v>
      </c>
      <c r="V196" s="61">
        <f>Q196-J196</f>
        <v>-2.600000000000019E-3</v>
      </c>
      <c r="X196" s="86"/>
    </row>
    <row r="197" spans="1:24">
      <c r="A197" s="146">
        <v>165</v>
      </c>
      <c r="B197" s="140" t="s">
        <v>236</v>
      </c>
      <c r="C197" s="141" t="s">
        <v>237</v>
      </c>
      <c r="D197" s="31">
        <v>345178275.85000002</v>
      </c>
      <c r="E197" s="32">
        <f>(D197/$D$213)</f>
        <v>6.4053236528718192E-3</v>
      </c>
      <c r="F197" s="80">
        <v>1055.24</v>
      </c>
      <c r="G197" s="80">
        <v>1055.24</v>
      </c>
      <c r="H197" s="34">
        <v>18</v>
      </c>
      <c r="I197" s="53">
        <v>1.8E-3</v>
      </c>
      <c r="J197" s="53">
        <v>1.12E-2</v>
      </c>
      <c r="K197" s="31">
        <v>345908970.98000002</v>
      </c>
      <c r="L197" s="32">
        <f t="shared" si="103"/>
        <v>6.3490035993217127E-3</v>
      </c>
      <c r="M197" s="80">
        <v>1057.48</v>
      </c>
      <c r="N197" s="80">
        <v>1057.48</v>
      </c>
      <c r="O197" s="34">
        <v>18</v>
      </c>
      <c r="P197" s="53">
        <v>1.9E-3</v>
      </c>
      <c r="Q197" s="53">
        <v>1.3100000000000001E-2</v>
      </c>
      <c r="R197" s="60">
        <f>((K197-D197)/D197)</f>
        <v>2.1168630273752354E-3</v>
      </c>
      <c r="S197" s="60">
        <f>((N197-G197)/G197)</f>
        <v>2.1227398506500979E-3</v>
      </c>
      <c r="T197" s="60">
        <f>((O197-H197)/H197)</f>
        <v>0</v>
      </c>
      <c r="U197" s="60">
        <f>P197-I197</f>
        <v>1.0000000000000005E-4</v>
      </c>
      <c r="V197" s="61">
        <f>Q197-J197</f>
        <v>1.9000000000000006E-3</v>
      </c>
      <c r="X197" s="86"/>
    </row>
    <row r="198" spans="1:24">
      <c r="A198" s="146">
        <v>166</v>
      </c>
      <c r="B198" s="140" t="s">
        <v>238</v>
      </c>
      <c r="C198" s="141" t="s">
        <v>67</v>
      </c>
      <c r="D198" s="31">
        <v>133135359.7</v>
      </c>
      <c r="E198" s="32">
        <f>(D198/$D$213)</f>
        <v>2.4705351645321616E-3</v>
      </c>
      <c r="F198" s="80">
        <v>117.51</v>
      </c>
      <c r="G198" s="80">
        <v>117.51</v>
      </c>
      <c r="H198" s="34">
        <v>75</v>
      </c>
      <c r="I198" s="53">
        <v>2.5999999999999999E-3</v>
      </c>
      <c r="J198" s="53">
        <v>0.14749999999999999</v>
      </c>
      <c r="K198" s="31">
        <v>133558903.15000001</v>
      </c>
      <c r="L198" s="32">
        <f t="shared" si="103"/>
        <v>2.4514136028864031E-3</v>
      </c>
      <c r="M198" s="80">
        <v>117.69</v>
      </c>
      <c r="N198" s="80">
        <v>117.69</v>
      </c>
      <c r="O198" s="34">
        <v>75</v>
      </c>
      <c r="P198" s="53">
        <v>1.5E-3</v>
      </c>
      <c r="Q198" s="53">
        <v>0.1226</v>
      </c>
      <c r="R198" s="60">
        <f t="shared" ref="R198:R214" si="104">((K198-D198)/D198)</f>
        <v>3.1812994756193458E-3</v>
      </c>
      <c r="S198" s="60">
        <f t="shared" ref="S198:S213" si="105">((N198-G198)/G198)</f>
        <v>1.5317845289761945E-3</v>
      </c>
      <c r="T198" s="60">
        <f t="shared" ref="T198:T213" si="106">((O198-H198)/H198)</f>
        <v>0</v>
      </c>
      <c r="U198" s="60">
        <f t="shared" ref="U198:U213" si="107">P198-I198</f>
        <v>-1.0999999999999998E-3</v>
      </c>
      <c r="V198" s="61">
        <f t="shared" ref="V198:V213" si="108">Q198-J198</f>
        <v>-2.4899999999999992E-2</v>
      </c>
    </row>
    <row r="199" spans="1:24">
      <c r="A199" s="146">
        <v>167</v>
      </c>
      <c r="B199" s="181" t="s">
        <v>239</v>
      </c>
      <c r="C199" s="141" t="s">
        <v>72</v>
      </c>
      <c r="D199" s="47">
        <v>62251859.310000002</v>
      </c>
      <c r="E199" s="32">
        <f>(D199/$D$213)</f>
        <v>1.1551807711296085E-3</v>
      </c>
      <c r="F199" s="80">
        <v>102.62</v>
      </c>
      <c r="G199" s="80">
        <v>103.16</v>
      </c>
      <c r="H199" s="34">
        <v>15</v>
      </c>
      <c r="I199" s="53">
        <v>1.8E-3</v>
      </c>
      <c r="J199" s="53">
        <v>0.06</v>
      </c>
      <c r="K199" s="47">
        <v>62392711.009999998</v>
      </c>
      <c r="L199" s="32">
        <f t="shared" si="103"/>
        <v>1.1451901511881667E-3</v>
      </c>
      <c r="M199" s="80">
        <v>102.8</v>
      </c>
      <c r="N199" s="80">
        <v>102.8</v>
      </c>
      <c r="O199" s="34">
        <v>15</v>
      </c>
      <c r="P199" s="53">
        <v>-8.9999999999999998E-4</v>
      </c>
      <c r="Q199" s="53">
        <v>5.8999999999999997E-2</v>
      </c>
      <c r="R199" s="60">
        <f t="shared" si="104"/>
        <v>2.2626103310197745E-3</v>
      </c>
      <c r="S199" s="60">
        <f t="shared" si="105"/>
        <v>-3.4897246994959235E-3</v>
      </c>
      <c r="T199" s="60">
        <f t="shared" si="106"/>
        <v>0</v>
      </c>
      <c r="U199" s="60">
        <f t="shared" si="107"/>
        <v>-2.7000000000000001E-3</v>
      </c>
      <c r="V199" s="61">
        <f t="shared" si="108"/>
        <v>-1.0000000000000009E-3</v>
      </c>
    </row>
    <row r="200" spans="1:24">
      <c r="A200" s="146">
        <v>168</v>
      </c>
      <c r="B200" s="140" t="s">
        <v>240</v>
      </c>
      <c r="C200" s="141" t="s">
        <v>75</v>
      </c>
      <c r="D200" s="47">
        <v>112642863.89</v>
      </c>
      <c r="E200" s="32">
        <v>0</v>
      </c>
      <c r="F200" s="80">
        <v>1.0549999999999999</v>
      </c>
      <c r="G200" s="80">
        <v>1.0549999999999999</v>
      </c>
      <c r="H200" s="34">
        <v>25</v>
      </c>
      <c r="I200" s="53">
        <v>1.6999999999999999E-3</v>
      </c>
      <c r="J200" s="53">
        <v>0.12230000000000001</v>
      </c>
      <c r="K200" s="47">
        <v>113890972.48</v>
      </c>
      <c r="L200" s="32">
        <f t="shared" si="103"/>
        <v>2.0904175805477403E-3</v>
      </c>
      <c r="M200" s="80">
        <v>1.0572999999999999</v>
      </c>
      <c r="N200" s="80">
        <v>1.0572999999999999</v>
      </c>
      <c r="O200" s="34">
        <v>25</v>
      </c>
      <c r="P200" s="53">
        <v>1.6000000000000001E-3</v>
      </c>
      <c r="Q200" s="53">
        <v>0.1229</v>
      </c>
      <c r="R200" s="60">
        <f t="shared" ref="R200:R201" si="109">((K200-D200)/D200)</f>
        <v>1.1080227782727796E-2</v>
      </c>
      <c r="S200" s="60">
        <f t="shared" ref="S200:S201" si="110">((N200-G200)/G200)</f>
        <v>2.1800947867298285E-3</v>
      </c>
      <c r="T200" s="60">
        <f t="shared" ref="T200" si="111">((O200-H200)/H200)</f>
        <v>0</v>
      </c>
      <c r="U200" s="60">
        <f t="shared" ref="U200" si="112">P200-I200</f>
        <v>-9.9999999999999829E-5</v>
      </c>
      <c r="V200" s="61">
        <f t="shared" ref="V200" si="113">Q200-J200</f>
        <v>5.9999999999998943E-4</v>
      </c>
    </row>
    <row r="201" spans="1:24">
      <c r="A201" s="146">
        <v>169</v>
      </c>
      <c r="B201" s="140" t="s">
        <v>241</v>
      </c>
      <c r="C201" s="141" t="s">
        <v>31</v>
      </c>
      <c r="D201" s="31">
        <v>5225730473.5600004</v>
      </c>
      <c r="E201" s="32">
        <f t="shared" ref="E201:E208" si="114">(D201/$D$213)</f>
        <v>9.6971615387443047E-2</v>
      </c>
      <c r="F201" s="80">
        <v>146.15</v>
      </c>
      <c r="G201" s="80">
        <v>146.15</v>
      </c>
      <c r="H201" s="34">
        <v>698</v>
      </c>
      <c r="I201" s="53">
        <v>5.4999999999999997E-3</v>
      </c>
      <c r="J201" s="53">
        <v>1.8700000000000001E-2</v>
      </c>
      <c r="K201" s="31">
        <v>5171810887.9200001</v>
      </c>
      <c r="L201" s="32">
        <f t="shared" si="103"/>
        <v>9.4926262968513253E-2</v>
      </c>
      <c r="M201" s="80">
        <v>146.83000000000001</v>
      </c>
      <c r="N201" s="80">
        <v>146.83000000000001</v>
      </c>
      <c r="O201" s="34">
        <v>695</v>
      </c>
      <c r="P201" s="53">
        <v>4.7000000000000002E-3</v>
      </c>
      <c r="Q201" s="53">
        <v>2.3400000000000001E-2</v>
      </c>
      <c r="R201" s="60">
        <f t="shared" si="109"/>
        <v>-1.0318095415140675E-2</v>
      </c>
      <c r="S201" s="60">
        <f t="shared" si="110"/>
        <v>4.6527540198426738E-3</v>
      </c>
      <c r="T201" s="60">
        <f t="shared" si="106"/>
        <v>-4.2979942693409743E-3</v>
      </c>
      <c r="U201" s="60">
        <f t="shared" si="107"/>
        <v>-7.999999999999995E-4</v>
      </c>
      <c r="V201" s="61">
        <f t="shared" si="108"/>
        <v>4.6999999999999993E-3</v>
      </c>
    </row>
    <row r="202" spans="1:24">
      <c r="A202" s="146">
        <v>170</v>
      </c>
      <c r="B202" s="140" t="s">
        <v>242</v>
      </c>
      <c r="C202" s="141" t="s">
        <v>65</v>
      </c>
      <c r="D202" s="31">
        <v>613428971.61761796</v>
      </c>
      <c r="E202" s="32">
        <f t="shared" si="114"/>
        <v>1.1383135545200516E-2</v>
      </c>
      <c r="F202" s="37">
        <v>1209.28146951489</v>
      </c>
      <c r="G202" s="37">
        <v>1209.28146951489</v>
      </c>
      <c r="H202" s="34">
        <v>127</v>
      </c>
      <c r="I202" s="53">
        <v>0.16560716561503686</v>
      </c>
      <c r="J202" s="53">
        <v>0.18033397602507167</v>
      </c>
      <c r="K202" s="31">
        <v>664315640.96992004</v>
      </c>
      <c r="L202" s="32">
        <f t="shared" si="103"/>
        <v>1.2193214832371598E-2</v>
      </c>
      <c r="M202" s="37">
        <v>1212.7451009286401</v>
      </c>
      <c r="N202" s="37">
        <v>1212.7451009286401</v>
      </c>
      <c r="O202" s="34">
        <v>131</v>
      </c>
      <c r="P202" s="53">
        <v>0.14934789174859003</v>
      </c>
      <c r="Q202" s="53">
        <v>0.17595008558015029</v>
      </c>
      <c r="R202" s="60">
        <f t="shared" si="104"/>
        <v>8.2954460429401383E-2</v>
      </c>
      <c r="S202" s="60">
        <f t="shared" si="105"/>
        <v>2.8642061431236442E-3</v>
      </c>
      <c r="T202" s="60">
        <f t="shared" si="106"/>
        <v>3.1496062992125984E-2</v>
      </c>
      <c r="U202" s="60">
        <f t="shared" si="107"/>
        <v>-1.6259273866446822E-2</v>
      </c>
      <c r="V202" s="61">
        <f t="shared" si="108"/>
        <v>-4.3838904449213789E-3</v>
      </c>
    </row>
    <row r="203" spans="1:24">
      <c r="A203" s="146">
        <v>171</v>
      </c>
      <c r="B203" s="140" t="s">
        <v>243</v>
      </c>
      <c r="C203" s="141" t="s">
        <v>234</v>
      </c>
      <c r="D203" s="31">
        <v>27346331123.860001</v>
      </c>
      <c r="E203" s="32">
        <f t="shared" si="114"/>
        <v>0.50745401382977928</v>
      </c>
      <c r="F203" s="37">
        <v>1238.73</v>
      </c>
      <c r="G203" s="37">
        <v>1238.73</v>
      </c>
      <c r="H203" s="34">
        <v>9695</v>
      </c>
      <c r="I203" s="53">
        <v>2.5999999999999999E-3</v>
      </c>
      <c r="J203" s="53">
        <v>1.34E-2</v>
      </c>
      <c r="K203" s="31">
        <v>27940443315.279999</v>
      </c>
      <c r="L203" s="32">
        <f t="shared" si="103"/>
        <v>0.51283427160845063</v>
      </c>
      <c r="M203" s="37">
        <v>1241.94</v>
      </c>
      <c r="N203" s="37">
        <v>1241.94</v>
      </c>
      <c r="O203" s="34">
        <v>9839</v>
      </c>
      <c r="P203" s="53">
        <v>2.5999999999999999E-3</v>
      </c>
      <c r="Q203" s="53">
        <v>1.6E-2</v>
      </c>
      <c r="R203" s="60">
        <f t="shared" si="104"/>
        <v>2.1725480786767341E-2</v>
      </c>
      <c r="S203" s="60">
        <f t="shared" si="105"/>
        <v>2.5913637354387448E-3</v>
      </c>
      <c r="T203" s="60">
        <f t="shared" si="106"/>
        <v>1.4853017019082001E-2</v>
      </c>
      <c r="U203" s="60">
        <f t="shared" si="107"/>
        <v>0</v>
      </c>
      <c r="V203" s="61">
        <f t="shared" si="108"/>
        <v>2.5999999999999999E-3</v>
      </c>
    </row>
    <row r="204" spans="1:24">
      <c r="A204" s="146">
        <v>172</v>
      </c>
      <c r="B204" s="140" t="s">
        <v>244</v>
      </c>
      <c r="C204" s="141" t="s">
        <v>245</v>
      </c>
      <c r="D204" s="31">
        <v>455904186.49000001</v>
      </c>
      <c r="E204" s="32">
        <f t="shared" si="114"/>
        <v>8.4600163842196256E-3</v>
      </c>
      <c r="F204" s="82">
        <v>121.39</v>
      </c>
      <c r="G204" s="82">
        <v>122.47</v>
      </c>
      <c r="H204" s="49">
        <v>143</v>
      </c>
      <c r="I204" s="53">
        <v>-1.9400000000000001E-2</v>
      </c>
      <c r="J204" s="53">
        <v>-1.23E-2</v>
      </c>
      <c r="K204" s="31">
        <v>490406362.06999999</v>
      </c>
      <c r="L204" s="32">
        <f t="shared" si="103"/>
        <v>9.001188229063652E-3</v>
      </c>
      <c r="M204" s="82">
        <v>124.49</v>
      </c>
      <c r="N204" s="82">
        <v>125.56</v>
      </c>
      <c r="O204" s="49">
        <v>143</v>
      </c>
      <c r="P204" s="53">
        <v>2.52E-2</v>
      </c>
      <c r="Q204" s="53">
        <v>4.0000000000000001E-3</v>
      </c>
      <c r="R204" s="60">
        <f t="shared" si="104"/>
        <v>7.5678567125324628E-2</v>
      </c>
      <c r="S204" s="60">
        <f t="shared" si="105"/>
        <v>2.5230668735200485E-2</v>
      </c>
      <c r="T204" s="60">
        <f t="shared" si="106"/>
        <v>0</v>
      </c>
      <c r="U204" s="60">
        <f t="shared" si="107"/>
        <v>4.4600000000000001E-2</v>
      </c>
      <c r="V204" s="61">
        <f t="shared" si="108"/>
        <v>1.6300000000000002E-2</v>
      </c>
    </row>
    <row r="205" spans="1:24">
      <c r="A205" s="146">
        <v>173</v>
      </c>
      <c r="B205" s="140" t="s">
        <v>246</v>
      </c>
      <c r="C205" s="141" t="s">
        <v>245</v>
      </c>
      <c r="D205" s="31">
        <v>126960476.3</v>
      </c>
      <c r="E205" s="32">
        <f t="shared" si="114"/>
        <v>2.3559505296841293E-3</v>
      </c>
      <c r="F205" s="82">
        <v>114.71</v>
      </c>
      <c r="G205" s="82">
        <v>114.71</v>
      </c>
      <c r="H205" s="49">
        <v>69</v>
      </c>
      <c r="I205" s="53">
        <v>5.3E-3</v>
      </c>
      <c r="J205" s="53">
        <v>2.7E-2</v>
      </c>
      <c r="K205" s="31">
        <v>134860565.94999999</v>
      </c>
      <c r="L205" s="32">
        <f t="shared" si="103"/>
        <v>2.4753050381934706E-3</v>
      </c>
      <c r="M205" s="82">
        <v>115.05</v>
      </c>
      <c r="N205" s="82">
        <v>115.05</v>
      </c>
      <c r="O205" s="49">
        <v>69</v>
      </c>
      <c r="P205" s="53">
        <v>3.0000000000000001E-3</v>
      </c>
      <c r="Q205" s="53">
        <v>0.03</v>
      </c>
      <c r="R205" s="60">
        <f t="shared" si="104"/>
        <v>6.2224795308207195E-2</v>
      </c>
      <c r="S205" s="60">
        <f t="shared" si="105"/>
        <v>2.963996164240288E-3</v>
      </c>
      <c r="T205" s="60">
        <f t="shared" si="106"/>
        <v>0</v>
      </c>
      <c r="U205" s="60">
        <f t="shared" si="107"/>
        <v>-2.3E-3</v>
      </c>
      <c r="V205" s="61">
        <f t="shared" si="108"/>
        <v>2.9999999999999992E-3</v>
      </c>
    </row>
    <row r="206" spans="1:24" ht="13.5" customHeight="1">
      <c r="A206" s="146">
        <v>174</v>
      </c>
      <c r="B206" s="140" t="s">
        <v>247</v>
      </c>
      <c r="C206" s="141" t="s">
        <v>89</v>
      </c>
      <c r="D206" s="31">
        <v>1542095904</v>
      </c>
      <c r="E206" s="32">
        <f t="shared" si="114"/>
        <v>2.8616005293393233E-2</v>
      </c>
      <c r="F206" s="63">
        <v>104.38</v>
      </c>
      <c r="G206" s="63">
        <v>104.38</v>
      </c>
      <c r="H206" s="34">
        <v>599</v>
      </c>
      <c r="I206" s="53">
        <v>2.7000000000000001E-3</v>
      </c>
      <c r="J206" s="53">
        <v>0.1419</v>
      </c>
      <c r="K206" s="31">
        <v>1435622108</v>
      </c>
      <c r="L206" s="32">
        <f t="shared" si="103"/>
        <v>2.6350198160905249E-2</v>
      </c>
      <c r="M206" s="63">
        <v>104.64</v>
      </c>
      <c r="N206" s="63">
        <v>104.64</v>
      </c>
      <c r="O206" s="34">
        <v>613</v>
      </c>
      <c r="P206" s="53">
        <v>2.5000000000000001E-3</v>
      </c>
      <c r="Q206" s="53">
        <v>0.1401</v>
      </c>
      <c r="R206" s="60">
        <f t="shared" si="104"/>
        <v>-6.9044860130826211E-2</v>
      </c>
      <c r="S206" s="60">
        <f t="shared" si="105"/>
        <v>2.4908986395861766E-3</v>
      </c>
      <c r="T206" s="60">
        <f t="shared" si="106"/>
        <v>2.337228714524207E-2</v>
      </c>
      <c r="U206" s="60">
        <f t="shared" si="107"/>
        <v>-2.0000000000000009E-4</v>
      </c>
      <c r="V206" s="61">
        <f t="shared" si="108"/>
        <v>-1.799999999999996E-3</v>
      </c>
    </row>
    <row r="207" spans="1:24" ht="15.75" customHeight="1">
      <c r="A207" s="146">
        <v>175</v>
      </c>
      <c r="B207" s="140" t="s">
        <v>248</v>
      </c>
      <c r="C207" s="141" t="s">
        <v>49</v>
      </c>
      <c r="D207" s="31">
        <v>6686694108.6599998</v>
      </c>
      <c r="E207" s="32">
        <f t="shared" si="114"/>
        <v>0.12408208433236063</v>
      </c>
      <c r="F207" s="63">
        <v>135.54</v>
      </c>
      <c r="G207" s="63">
        <v>135.54</v>
      </c>
      <c r="H207" s="34">
        <v>1271</v>
      </c>
      <c r="I207" s="53">
        <v>1.5E-3</v>
      </c>
      <c r="J207" s="53">
        <v>9.1999999999999998E-3</v>
      </c>
      <c r="K207" s="31">
        <v>6677105477.9499998</v>
      </c>
      <c r="L207" s="32">
        <f t="shared" si="103"/>
        <v>0.12255526820380259</v>
      </c>
      <c r="M207" s="63">
        <v>135.6</v>
      </c>
      <c r="N207" s="63">
        <v>135.6</v>
      </c>
      <c r="O207" s="34">
        <v>1277</v>
      </c>
      <c r="P207" s="53">
        <v>4.0000000000000002E-4</v>
      </c>
      <c r="Q207" s="53">
        <v>9.7000000000000003E-3</v>
      </c>
      <c r="R207" s="60">
        <f t="shared" si="104"/>
        <v>-1.4339867435511537E-3</v>
      </c>
      <c r="S207" s="60">
        <f t="shared" si="105"/>
        <v>4.4267374944667462E-4</v>
      </c>
      <c r="T207" s="60">
        <f t="shared" si="106"/>
        <v>4.7206923682140047E-3</v>
      </c>
      <c r="U207" s="60">
        <f t="shared" si="107"/>
        <v>-1.1000000000000001E-3</v>
      </c>
      <c r="V207" s="61">
        <f t="shared" si="108"/>
        <v>5.0000000000000044E-4</v>
      </c>
    </row>
    <row r="208" spans="1:24">
      <c r="A208" s="146">
        <v>176</v>
      </c>
      <c r="B208" s="140" t="s">
        <v>249</v>
      </c>
      <c r="C208" s="141" t="s">
        <v>52</v>
      </c>
      <c r="D208" s="31">
        <v>3873336863.9000001</v>
      </c>
      <c r="E208" s="32">
        <f t="shared" si="114"/>
        <v>7.1875833346651277E-2</v>
      </c>
      <c r="F208" s="63">
        <v>1.2270000000000001</v>
      </c>
      <c r="G208" s="63">
        <v>1.2270000000000001</v>
      </c>
      <c r="H208" s="34">
        <v>1327</v>
      </c>
      <c r="I208" s="53">
        <v>9.3399999999999997E-2</v>
      </c>
      <c r="J208" s="53">
        <v>6.9800000000000001E-2</v>
      </c>
      <c r="K208" s="31">
        <v>3880939903</v>
      </c>
      <c r="L208" s="32">
        <f t="shared" si="103"/>
        <v>7.1232906573917426E-2</v>
      </c>
      <c r="M208" s="63">
        <v>1.2270000000000001</v>
      </c>
      <c r="N208" s="63">
        <v>1.2270000000000001</v>
      </c>
      <c r="O208" s="34">
        <v>1340</v>
      </c>
      <c r="P208" s="53">
        <v>0.1167</v>
      </c>
      <c r="Q208" s="53">
        <v>7.6999999999999999E-2</v>
      </c>
      <c r="R208" s="60">
        <f t="shared" si="104"/>
        <v>1.9629170834226197E-3</v>
      </c>
      <c r="S208" s="60">
        <f t="shared" si="105"/>
        <v>0</v>
      </c>
      <c r="T208" s="60">
        <f t="shared" si="106"/>
        <v>9.7965335342878671E-3</v>
      </c>
      <c r="U208" s="60">
        <f t="shared" si="107"/>
        <v>2.3300000000000001E-2</v>
      </c>
      <c r="V208" s="61">
        <f t="shared" si="108"/>
        <v>7.1999999999999981E-3</v>
      </c>
    </row>
    <row r="209" spans="1:22" ht="6" customHeight="1">
      <c r="A209" s="38"/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87"/>
      <c r="V209" s="187"/>
    </row>
    <row r="210" spans="1:22">
      <c r="A210" s="191" t="s">
        <v>250</v>
      </c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</row>
    <row r="211" spans="1:22">
      <c r="A211" s="180">
        <v>177</v>
      </c>
      <c r="B211" s="140" t="s">
        <v>251</v>
      </c>
      <c r="C211" s="141" t="s">
        <v>234</v>
      </c>
      <c r="D211" s="31">
        <v>229190913.15000001</v>
      </c>
      <c r="E211" s="32">
        <f t="shared" ref="E211" si="115">(D211/$D$213)</f>
        <v>4.2529964361399594E-3</v>
      </c>
      <c r="F211" s="37">
        <v>1226.71</v>
      </c>
      <c r="G211" s="37">
        <v>1226.71</v>
      </c>
      <c r="H211" s="34">
        <v>96</v>
      </c>
      <c r="I211" s="53">
        <v>1.1999999999999999E-3</v>
      </c>
      <c r="J211" s="53">
        <v>-1.18E-2</v>
      </c>
      <c r="K211" s="31">
        <v>226217094.84999999</v>
      </c>
      <c r="L211" s="32">
        <f t="shared" ref="L211" si="116">(K211/$K$213)</f>
        <v>4.1521130410745932E-3</v>
      </c>
      <c r="M211" s="37">
        <v>1210.77</v>
      </c>
      <c r="N211" s="37">
        <v>1210.77</v>
      </c>
      <c r="O211" s="34">
        <v>96</v>
      </c>
      <c r="P211" s="53">
        <v>-1.2999999999999999E-2</v>
      </c>
      <c r="Q211" s="53">
        <v>-2.46E-2</v>
      </c>
      <c r="R211" s="60">
        <f t="shared" ref="R211" si="117">((K211-D211)/D211)</f>
        <v>-1.2975288850364319E-2</v>
      </c>
      <c r="S211" s="60">
        <f t="shared" ref="S211" si="118">((N211-G211)/G211)</f>
        <v>-1.2994106186466283E-2</v>
      </c>
      <c r="T211" s="60">
        <f t="shared" ref="T211" si="119">((O211-H211)/H211)</f>
        <v>0</v>
      </c>
      <c r="U211" s="60">
        <f t="shared" ref="U211" si="120">P211-I211</f>
        <v>-1.4199999999999999E-2</v>
      </c>
      <c r="V211" s="61">
        <f t="shared" ref="V211" si="121">Q211-J211</f>
        <v>-1.2800000000000001E-2</v>
      </c>
    </row>
    <row r="212" spans="1:22">
      <c r="A212" s="180">
        <v>178</v>
      </c>
      <c r="B212" s="140" t="s">
        <v>298</v>
      </c>
      <c r="C212" s="141" t="s">
        <v>299</v>
      </c>
      <c r="D212" s="31">
        <v>40013901.169178098</v>
      </c>
      <c r="E212" s="32">
        <f t="shared" ref="E212" si="122">(D212/$D$213)</f>
        <v>7.4252062060240983E-4</v>
      </c>
      <c r="F212" s="37">
        <v>99.28</v>
      </c>
      <c r="G212" s="37">
        <v>101.32306</v>
      </c>
      <c r="H212" s="34">
        <v>126</v>
      </c>
      <c r="I212" s="53">
        <v>1.32E-2</v>
      </c>
      <c r="J212" s="53">
        <v>1.32E-2</v>
      </c>
      <c r="K212" s="31">
        <v>40793332.196575299</v>
      </c>
      <c r="L212" s="32">
        <f t="shared" ref="L212" si="123">(K212/$K$213)</f>
        <v>7.4874326679245831E-4</v>
      </c>
      <c r="M212" s="37">
        <v>99.48</v>
      </c>
      <c r="N212" s="37">
        <v>101.535202</v>
      </c>
      <c r="O212" s="34">
        <v>133</v>
      </c>
      <c r="P212" s="53">
        <v>1.54E-2</v>
      </c>
      <c r="Q212" s="53">
        <v>1.54E-2</v>
      </c>
      <c r="R212" s="60">
        <f t="shared" ref="R212" si="124">((K212-D212)/D212)</f>
        <v>1.9479006160928406E-2</v>
      </c>
      <c r="S212" s="60">
        <f t="shared" ref="S212" si="125">((N212-G212)/G212)</f>
        <v>2.093718843469592E-3</v>
      </c>
      <c r="T212" s="60">
        <f t="shared" ref="T212" si="126">((O212-H212)/H212)</f>
        <v>5.5555555555555552E-2</v>
      </c>
      <c r="U212" s="60">
        <f t="shared" ref="U212" si="127">P212-I212</f>
        <v>2.2000000000000006E-3</v>
      </c>
      <c r="V212" s="61">
        <f t="shared" ref="V212" si="128">Q212-J212</f>
        <v>2.2000000000000006E-3</v>
      </c>
    </row>
    <row r="213" spans="1:22">
      <c r="A213" s="38"/>
      <c r="B213" s="39"/>
      <c r="C213" s="74" t="s">
        <v>53</v>
      </c>
      <c r="D213" s="51">
        <f>SUM(D192:D212)</f>
        <v>53889279380.166801</v>
      </c>
      <c r="E213" s="42">
        <f>(D213/$D$214)</f>
        <v>1.2857118705943745E-2</v>
      </c>
      <c r="F213" s="43"/>
      <c r="G213" s="77"/>
      <c r="H213" s="87">
        <f>SUM(H192:H212)</f>
        <v>30624</v>
      </c>
      <c r="I213" s="84"/>
      <c r="J213" s="84"/>
      <c r="K213" s="51">
        <f>SUM(K192:K212)</f>
        <v>54482402721.736488</v>
      </c>
      <c r="L213" s="42">
        <f>(K213/$K$214)</f>
        <v>1.2760684615197537E-2</v>
      </c>
      <c r="M213" s="43"/>
      <c r="N213" s="77"/>
      <c r="O213" s="45">
        <f>SUM(O192:O212)</f>
        <v>30843</v>
      </c>
      <c r="P213" s="84"/>
      <c r="Q213" s="84"/>
      <c r="R213" s="60">
        <f t="shared" si="104"/>
        <v>1.1006332769555973E-2</v>
      </c>
      <c r="S213" s="60" t="e">
        <f t="shared" si="105"/>
        <v>#DIV/0!</v>
      </c>
      <c r="T213" s="60">
        <f t="shared" si="106"/>
        <v>7.1512539184952978E-3</v>
      </c>
      <c r="U213" s="60">
        <f t="shared" si="107"/>
        <v>0</v>
      </c>
      <c r="V213" s="61">
        <f t="shared" si="108"/>
        <v>0</v>
      </c>
    </row>
    <row r="214" spans="1:22">
      <c r="A214" s="88"/>
      <c r="B214" s="88"/>
      <c r="C214" s="89" t="s">
        <v>252</v>
      </c>
      <c r="D214" s="90">
        <f>SUM(D25,D66,D106,D143,D151,D182,D188,D213)</f>
        <v>4191396269465.4292</v>
      </c>
      <c r="E214" s="91"/>
      <c r="F214" s="91"/>
      <c r="G214" s="92"/>
      <c r="H214" s="90">
        <f>SUM(H25,H66,H106,H143,H151,H182,H188,H213)</f>
        <v>825713</v>
      </c>
      <c r="I214" s="114"/>
      <c r="J214" s="114"/>
      <c r="K214" s="90">
        <f>SUM(K25,K66,K106,K143,K151,K182,K188,K213)</f>
        <v>4269551702331.8496</v>
      </c>
      <c r="L214" s="91"/>
      <c r="M214" s="91"/>
      <c r="N214" s="92"/>
      <c r="O214" s="90">
        <f>SUM(O25,O66,O106,O143,O151,O182,O188,O213)</f>
        <v>832118</v>
      </c>
      <c r="P214" s="115"/>
      <c r="Q214" s="90"/>
      <c r="R214" s="121">
        <f t="shared" si="104"/>
        <v>1.864663416241203E-2</v>
      </c>
      <c r="S214" s="121"/>
      <c r="T214" s="121"/>
      <c r="U214" s="121"/>
      <c r="V214" s="121"/>
    </row>
    <row r="215" spans="1:22" ht="6.75" customHeight="1">
      <c r="A215" s="38"/>
      <c r="B215" s="187"/>
      <c r="C215" s="187"/>
      <c r="D215" s="187"/>
      <c r="E215" s="187"/>
      <c r="F215" s="187"/>
      <c r="G215" s="187"/>
      <c r="H215" s="187"/>
      <c r="I215" s="187"/>
      <c r="J215" s="187"/>
      <c r="K215" s="187"/>
      <c r="L215" s="187"/>
      <c r="M215" s="187"/>
      <c r="N215" s="187"/>
      <c r="O215" s="187"/>
      <c r="P215" s="187"/>
      <c r="Q215" s="187"/>
      <c r="R215" s="187"/>
      <c r="S215" s="187"/>
      <c r="T215" s="187"/>
      <c r="U215" s="187"/>
      <c r="V215" s="39"/>
    </row>
    <row r="216" spans="1:22" ht="14.4" customHeight="1">
      <c r="A216" s="192" t="s">
        <v>253</v>
      </c>
      <c r="B216" s="190"/>
      <c r="C216" s="190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</row>
    <row r="217" spans="1:22" ht="14.4" customHeight="1">
      <c r="A217" s="175">
        <v>1</v>
      </c>
      <c r="B217" s="176" t="s">
        <v>254</v>
      </c>
      <c r="C217" s="177" t="s">
        <v>190</v>
      </c>
      <c r="D217" s="31">
        <v>3848399267.61552</v>
      </c>
      <c r="E217" s="32">
        <f t="shared" ref="E217" si="129">(D217/$D$213)</f>
        <v>7.1413077181207762E-2</v>
      </c>
      <c r="F217" s="37">
        <v>123.2</v>
      </c>
      <c r="G217" s="37">
        <v>123.2</v>
      </c>
      <c r="H217" s="34">
        <v>9</v>
      </c>
      <c r="I217" s="53">
        <v>0.32549482424166698</v>
      </c>
      <c r="J217" s="53">
        <v>0.23850327494888299</v>
      </c>
      <c r="K217" s="31">
        <v>3872245212.81037</v>
      </c>
      <c r="L217" s="32">
        <f>(K217/$K$219)</f>
        <v>0.25785356561315365</v>
      </c>
      <c r="M217" s="37">
        <v>123.2</v>
      </c>
      <c r="N217" s="37">
        <v>123.2</v>
      </c>
      <c r="O217" s="34">
        <v>9</v>
      </c>
      <c r="P217" s="53">
        <v>0.32349037170483003</v>
      </c>
      <c r="Q217" s="53">
        <v>0.23131300801476501</v>
      </c>
      <c r="R217" s="60">
        <f t="shared" ref="R217" si="130">((K217-D217)/D217)</f>
        <v>6.1963282748530892E-3</v>
      </c>
      <c r="S217" s="60">
        <f t="shared" ref="S217" si="131">((N217-G217)/G217)</f>
        <v>0</v>
      </c>
      <c r="T217" s="60">
        <f t="shared" ref="T217" si="132">((O217-H217)/H217)</f>
        <v>0</v>
      </c>
      <c r="U217" s="60">
        <f t="shared" ref="U217" si="133">P217-I217</f>
        <v>-2.0044525368369537E-3</v>
      </c>
      <c r="V217" s="61">
        <f t="shared" ref="V217" si="134">Q217-J217</f>
        <v>-7.1902669341179781E-3</v>
      </c>
    </row>
    <row r="218" spans="1:22" ht="14.4" customHeight="1">
      <c r="A218" s="146">
        <v>2</v>
      </c>
      <c r="B218" s="140" t="s">
        <v>310</v>
      </c>
      <c r="C218" s="141" t="s">
        <v>41</v>
      </c>
      <c r="D218" s="31">
        <v>0</v>
      </c>
      <c r="E218" s="32">
        <f t="shared" ref="E218" si="135">(D218/$D$213)</f>
        <v>0</v>
      </c>
      <c r="F218" s="37">
        <v>0</v>
      </c>
      <c r="G218" s="37">
        <v>0</v>
      </c>
      <c r="H218" s="34">
        <v>0</v>
      </c>
      <c r="I218" s="53">
        <v>0</v>
      </c>
      <c r="J218" s="53">
        <v>0</v>
      </c>
      <c r="K218" s="31">
        <v>11144980566.49</v>
      </c>
      <c r="L218" s="32">
        <f>(K218/$K$219)</f>
        <v>0.74214643438684635</v>
      </c>
      <c r="M218" s="37">
        <v>1.07</v>
      </c>
      <c r="N218" s="37">
        <v>1.07</v>
      </c>
      <c r="O218" s="34">
        <v>16</v>
      </c>
      <c r="P218" s="53">
        <v>4.0000000000000001E-3</v>
      </c>
      <c r="Q218" s="53">
        <v>0.21329999999999999</v>
      </c>
      <c r="R218" s="60" t="e">
        <f t="shared" ref="R218:R219" si="136">((K218-D218)/D218)</f>
        <v>#DIV/0!</v>
      </c>
      <c r="S218" s="60" t="e">
        <f t="shared" ref="S218" si="137">((N218-G218)/G218)</f>
        <v>#DIV/0!</v>
      </c>
      <c r="T218" s="60" t="e">
        <f t="shared" ref="T218" si="138">((O218-H218)/H218)</f>
        <v>#DIV/0!</v>
      </c>
      <c r="U218" s="60">
        <f t="shared" ref="U218" si="139">P218-I218</f>
        <v>4.0000000000000001E-3</v>
      </c>
      <c r="V218" s="61">
        <f t="shared" ref="V218" si="140">Q218-J218</f>
        <v>0.21329999999999999</v>
      </c>
    </row>
    <row r="219" spans="1:22" ht="14.4" customHeight="1">
      <c r="A219" s="93"/>
      <c r="B219" s="93"/>
      <c r="C219" s="93" t="s">
        <v>53</v>
      </c>
      <c r="D219" s="93">
        <f>SUM(D217:D218)</f>
        <v>3848399267.61552</v>
      </c>
      <c r="E219" s="93"/>
      <c r="F219" s="93"/>
      <c r="G219" s="93"/>
      <c r="H219" s="93">
        <f>SUM(H217:H218)</f>
        <v>9</v>
      </c>
      <c r="I219" s="93"/>
      <c r="J219" s="93"/>
      <c r="K219" s="93">
        <f>SUM(K217:K218)</f>
        <v>15017225779.300369</v>
      </c>
      <c r="L219" s="42"/>
      <c r="M219" s="93"/>
      <c r="N219" s="93"/>
      <c r="O219" s="93">
        <f>SUM(O217:O218)</f>
        <v>25</v>
      </c>
      <c r="P219" s="93"/>
      <c r="Q219" s="93"/>
      <c r="R219" s="121">
        <f t="shared" si="136"/>
        <v>2.9022005605476293</v>
      </c>
      <c r="S219" s="93"/>
      <c r="T219" s="93"/>
      <c r="U219" s="93"/>
      <c r="V219" s="93"/>
    </row>
    <row r="220" spans="1:22" ht="6" customHeight="1">
      <c r="A220" s="38"/>
      <c r="B220" s="46"/>
      <c r="C220" s="7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39"/>
    </row>
    <row r="221" spans="1:22" ht="15.6">
      <c r="A221" s="190" t="s">
        <v>255</v>
      </c>
      <c r="B221" s="190"/>
      <c r="C221" s="190"/>
      <c r="D221" s="190"/>
      <c r="E221" s="190"/>
      <c r="F221" s="190"/>
      <c r="G221" s="190"/>
      <c r="H221" s="190"/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</row>
    <row r="222" spans="1:22">
      <c r="A222" s="146">
        <v>1</v>
      </c>
      <c r="B222" s="140" t="s">
        <v>256</v>
      </c>
      <c r="C222" s="141" t="s">
        <v>257</v>
      </c>
      <c r="D222" s="31">
        <v>117431274879</v>
      </c>
      <c r="E222" s="32">
        <f>(D222/$D$224)</f>
        <v>0.90030321001468749</v>
      </c>
      <c r="F222" s="63">
        <v>111.28</v>
      </c>
      <c r="G222" s="63">
        <v>111.28</v>
      </c>
      <c r="H222" s="34">
        <v>0</v>
      </c>
      <c r="I222" s="53">
        <v>0.23899999999999999</v>
      </c>
      <c r="J222" s="53">
        <v>0.23899999999999999</v>
      </c>
      <c r="K222" s="31">
        <v>117431274879</v>
      </c>
      <c r="L222" s="32">
        <f>(K222/$K$224)</f>
        <v>0.8999395547901855</v>
      </c>
      <c r="M222" s="63">
        <v>111.28</v>
      </c>
      <c r="N222" s="63">
        <v>111.28</v>
      </c>
      <c r="O222" s="34">
        <v>0</v>
      </c>
      <c r="P222" s="53">
        <v>0.23899999999999999</v>
      </c>
      <c r="Q222" s="53">
        <v>0.23899999999999999</v>
      </c>
      <c r="R222" s="60">
        <f>((K222-D222)/D222)</f>
        <v>0</v>
      </c>
      <c r="S222" s="60">
        <f>((N222-G222)/G222)</f>
        <v>0</v>
      </c>
      <c r="T222" s="60" t="e">
        <f>((O222-H222)/H222)</f>
        <v>#DIV/0!</v>
      </c>
      <c r="U222" s="60">
        <f>P222-I222</f>
        <v>0</v>
      </c>
      <c r="V222" s="61">
        <f>Q222-J222</f>
        <v>0</v>
      </c>
    </row>
    <row r="223" spans="1:22">
      <c r="A223" s="146">
        <v>2</v>
      </c>
      <c r="B223" s="140" t="s">
        <v>258</v>
      </c>
      <c r="C223" s="141" t="s">
        <v>52</v>
      </c>
      <c r="D223" s="31">
        <v>13003975792.92</v>
      </c>
      <c r="E223" s="32">
        <f>(D223/$D$224)</f>
        <v>9.9696789985312506E-2</v>
      </c>
      <c r="F223" s="94">
        <v>1000000</v>
      </c>
      <c r="G223" s="94">
        <v>1000000</v>
      </c>
      <c r="H223" s="34">
        <v>26</v>
      </c>
      <c r="I223" s="53">
        <v>0.2324</v>
      </c>
      <c r="J223" s="53">
        <v>0.2324</v>
      </c>
      <c r="K223" s="31">
        <v>13056683177.67</v>
      </c>
      <c r="L223" s="32">
        <f>(K223/$K$224)</f>
        <v>0.1000604452098145</v>
      </c>
      <c r="M223" s="94">
        <v>1000000</v>
      </c>
      <c r="N223" s="94">
        <v>1000000</v>
      </c>
      <c r="O223" s="34">
        <v>26</v>
      </c>
      <c r="P223" s="53">
        <v>0.2288</v>
      </c>
      <c r="Q223" s="53">
        <v>0.2288</v>
      </c>
      <c r="R223" s="60">
        <f>((K223-D223)/D223)</f>
        <v>4.0531746282315038E-3</v>
      </c>
      <c r="S223" s="60">
        <f>((N223-G223)/G223)</f>
        <v>0</v>
      </c>
      <c r="T223" s="60">
        <f>((O223-H223)/H223)</f>
        <v>0</v>
      </c>
      <c r="U223" s="60">
        <f>P223-I223</f>
        <v>-3.5999999999999921E-3</v>
      </c>
      <c r="V223" s="61">
        <f>Q223-J223</f>
        <v>-3.5999999999999921E-3</v>
      </c>
    </row>
    <row r="224" spans="1:22">
      <c r="A224" s="88"/>
      <c r="B224" s="88"/>
      <c r="C224" s="89" t="s">
        <v>259</v>
      </c>
      <c r="D224" s="93">
        <f>SUM(D222:D223)</f>
        <v>130435250671.92</v>
      </c>
      <c r="E224" s="95"/>
      <c r="F224" s="96"/>
      <c r="G224" s="96"/>
      <c r="H224" s="93">
        <f>SUM(H222:H223)</f>
        <v>26</v>
      </c>
      <c r="I224" s="116"/>
      <c r="J224" s="116"/>
      <c r="K224" s="93">
        <f>SUM(K222:K223)</f>
        <v>130487958056.67</v>
      </c>
      <c r="L224" s="95"/>
      <c r="M224" s="96"/>
      <c r="N224" s="96"/>
      <c r="O224" s="93">
        <f>SUM(O222:O223)</f>
        <v>26</v>
      </c>
      <c r="P224" s="116"/>
      <c r="Q224" s="93"/>
      <c r="R224" s="121">
        <f>((K224-D224)/D224)</f>
        <v>4.0408849968459338E-4</v>
      </c>
      <c r="S224" s="122"/>
      <c r="T224" s="122"/>
      <c r="U224" s="121"/>
      <c r="V224" s="123"/>
    </row>
    <row r="225" spans="1:26" ht="4.5" customHeight="1">
      <c r="A225" s="38"/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</row>
    <row r="226" spans="1:26" ht="15.6">
      <c r="A226" s="190" t="s">
        <v>260</v>
      </c>
      <c r="B226" s="190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</row>
    <row r="227" spans="1:26">
      <c r="A227" s="146">
        <v>1</v>
      </c>
      <c r="B227" s="140" t="s">
        <v>261</v>
      </c>
      <c r="C227" s="141" t="s">
        <v>82</v>
      </c>
      <c r="D227" s="97">
        <v>997352648.00999999</v>
      </c>
      <c r="E227" s="98">
        <f t="shared" ref="E227:E238" si="141">(D227/$D$239)</f>
        <v>7.3775438624682763E-2</v>
      </c>
      <c r="F227" s="94">
        <v>235.03</v>
      </c>
      <c r="G227" s="94">
        <v>234.07</v>
      </c>
      <c r="H227" s="99">
        <v>61</v>
      </c>
      <c r="I227" s="55">
        <v>1.7093647221741337E-2</v>
      </c>
      <c r="J227" s="55">
        <v>2.4810325281241719E-2</v>
      </c>
      <c r="K227" s="97">
        <v>1033498968.76</v>
      </c>
      <c r="L227" s="98">
        <f t="shared" ref="L227:L238" si="142">(K227/$K$239)</f>
        <v>7.5097861555781298E-2</v>
      </c>
      <c r="M227" s="94">
        <v>235.03</v>
      </c>
      <c r="N227" s="94">
        <v>234.07</v>
      </c>
      <c r="O227" s="99">
        <v>61</v>
      </c>
      <c r="P227" s="55">
        <v>2.29E-2</v>
      </c>
      <c r="Q227" s="55">
        <v>4.8300000000000003E-2</v>
      </c>
      <c r="R227" s="60">
        <f>((K227-D227)/D227)</f>
        <v>3.6242266787100942E-2</v>
      </c>
      <c r="S227" s="60">
        <f>((N227-G227)/G227)</f>
        <v>0</v>
      </c>
      <c r="T227" s="60">
        <f>((O227-H227)/H227)</f>
        <v>0</v>
      </c>
      <c r="U227" s="60">
        <f>P227-I227</f>
        <v>5.8063527782586631E-3</v>
      </c>
      <c r="V227" s="61">
        <f>Q227-J227</f>
        <v>2.3489674718758284E-2</v>
      </c>
    </row>
    <row r="228" spans="1:26">
      <c r="A228" s="146">
        <v>2</v>
      </c>
      <c r="B228" s="140" t="s">
        <v>262</v>
      </c>
      <c r="C228" s="141" t="s">
        <v>234</v>
      </c>
      <c r="D228" s="97">
        <v>1142981292.26</v>
      </c>
      <c r="E228" s="98">
        <f t="shared" si="141"/>
        <v>8.4547773893755937E-2</v>
      </c>
      <c r="F228" s="94">
        <v>32.51</v>
      </c>
      <c r="G228" s="94">
        <v>35.93</v>
      </c>
      <c r="H228" s="99">
        <v>220</v>
      </c>
      <c r="I228" s="55">
        <v>2.6499999999999999E-2</v>
      </c>
      <c r="J228" s="55">
        <v>6.0100000000000001E-2</v>
      </c>
      <c r="K228" s="97">
        <v>1167991826.4000001</v>
      </c>
      <c r="L228" s="98">
        <f t="shared" si="142"/>
        <v>8.4870610545950423E-2</v>
      </c>
      <c r="M228" s="94">
        <v>33.22</v>
      </c>
      <c r="N228" s="94">
        <v>36.72</v>
      </c>
      <c r="O228" s="99">
        <v>220</v>
      </c>
      <c r="P228" s="55">
        <v>2.1899999999999999E-2</v>
      </c>
      <c r="Q228" s="55">
        <v>8.3299999999999999E-2</v>
      </c>
      <c r="R228" s="60">
        <f t="shared" ref="R228:R239" si="143">((K228-D228)/D228)</f>
        <v>2.188184033226576E-2</v>
      </c>
      <c r="S228" s="60">
        <f t="shared" ref="S228:S239" si="144">((N228-G228)/G228)</f>
        <v>2.1987197328138024E-2</v>
      </c>
      <c r="T228" s="60">
        <f t="shared" ref="T228:T239" si="145">((O228-H228)/H228)</f>
        <v>0</v>
      </c>
      <c r="U228" s="60">
        <f t="shared" ref="U228:U239" si="146">P228-I228</f>
        <v>-4.5999999999999999E-3</v>
      </c>
      <c r="V228" s="61">
        <f t="shared" ref="V228:V239" si="147">Q228-J228</f>
        <v>2.3199999999999998E-2</v>
      </c>
    </row>
    <row r="229" spans="1:26">
      <c r="A229" s="175">
        <v>3</v>
      </c>
      <c r="B229" s="176" t="s">
        <v>263</v>
      </c>
      <c r="C229" s="177" t="s">
        <v>43</v>
      </c>
      <c r="D229" s="97">
        <v>436446634.32999998</v>
      </c>
      <c r="E229" s="98">
        <f t="shared" si="141"/>
        <v>3.2284510346674726E-2</v>
      </c>
      <c r="F229" s="94">
        <v>32.563609</v>
      </c>
      <c r="G229" s="94">
        <v>32.890372999999997</v>
      </c>
      <c r="H229" s="99">
        <v>167</v>
      </c>
      <c r="I229" s="55">
        <v>4.2672541207248615E-2</v>
      </c>
      <c r="J229" s="55">
        <v>0.13868796740795331</v>
      </c>
      <c r="K229" s="97">
        <v>433378067.75</v>
      </c>
      <c r="L229" s="98">
        <f t="shared" si="142"/>
        <v>3.1490854966454554E-2</v>
      </c>
      <c r="M229" s="94">
        <v>32.334660999999997</v>
      </c>
      <c r="N229" s="94">
        <v>32.754964999999999</v>
      </c>
      <c r="O229" s="99">
        <v>167</v>
      </c>
      <c r="P229" s="55">
        <v>-7.0307944629028896E-3</v>
      </c>
      <c r="Q229" s="55">
        <v>0.13068208635172729</v>
      </c>
      <c r="R229" s="60">
        <f t="shared" si="143"/>
        <v>-7.0307944629029295E-3</v>
      </c>
      <c r="S229" s="60">
        <f t="shared" si="144"/>
        <v>-4.1169493577953098E-3</v>
      </c>
      <c r="T229" s="60">
        <f t="shared" si="145"/>
        <v>0</v>
      </c>
      <c r="U229" s="60">
        <f t="shared" si="146"/>
        <v>-4.9703335670151505E-2</v>
      </c>
      <c r="V229" s="61">
        <f t="shared" si="147"/>
        <v>-8.0058810562260163E-3</v>
      </c>
    </row>
    <row r="230" spans="1:26">
      <c r="A230" s="175">
        <v>4</v>
      </c>
      <c r="B230" s="176" t="s">
        <v>264</v>
      </c>
      <c r="C230" s="177" t="s">
        <v>43</v>
      </c>
      <c r="D230" s="97">
        <v>945651673.79999995</v>
      </c>
      <c r="E230" s="98">
        <f t="shared" si="141"/>
        <v>6.9951052077680875E-2</v>
      </c>
      <c r="F230" s="94">
        <v>70.960279999999997</v>
      </c>
      <c r="G230" s="94">
        <v>71.422967999999997</v>
      </c>
      <c r="H230" s="99">
        <v>99</v>
      </c>
      <c r="I230" s="55">
        <v>2.988158582082856E-2</v>
      </c>
      <c r="J230" s="55">
        <v>6.967475080403851E-2</v>
      </c>
      <c r="K230" s="97">
        <v>946881813.55000007</v>
      </c>
      <c r="L230" s="98">
        <f t="shared" si="142"/>
        <v>6.8803938361914285E-2</v>
      </c>
      <c r="M230" s="94">
        <v>71.052587000000003</v>
      </c>
      <c r="N230" s="94">
        <v>71.619685000000004</v>
      </c>
      <c r="O230" s="99">
        <v>99</v>
      </c>
      <c r="P230" s="55">
        <v>1.3008381247368028E-3</v>
      </c>
      <c r="Q230" s="55">
        <v>7.1066224500952568E-2</v>
      </c>
      <c r="R230" s="60">
        <f t="shared" si="143"/>
        <v>1.3008381247367061E-3</v>
      </c>
      <c r="S230" s="60">
        <f t="shared" si="144"/>
        <v>2.7542540657230418E-3</v>
      </c>
      <c r="T230" s="60">
        <f t="shared" si="145"/>
        <v>0</v>
      </c>
      <c r="U230" s="60">
        <f t="shared" si="146"/>
        <v>-2.8580747696091757E-2</v>
      </c>
      <c r="V230" s="61">
        <f t="shared" si="147"/>
        <v>1.3914736969140584E-3</v>
      </c>
    </row>
    <row r="231" spans="1:26">
      <c r="A231" s="146">
        <v>5</v>
      </c>
      <c r="B231" s="140" t="s">
        <v>265</v>
      </c>
      <c r="C231" s="141" t="s">
        <v>266</v>
      </c>
      <c r="D231" s="97">
        <v>1350466160.2941837</v>
      </c>
      <c r="E231" s="98">
        <f t="shared" si="141"/>
        <v>9.9895692383518489E-2</v>
      </c>
      <c r="F231" s="94">
        <v>40030</v>
      </c>
      <c r="G231" s="94">
        <v>45165</v>
      </c>
      <c r="H231" s="99">
        <v>225</v>
      </c>
      <c r="I231" s="55">
        <v>0.02</v>
      </c>
      <c r="J231" s="55">
        <v>7.0000000000000007E-2</v>
      </c>
      <c r="K231" s="97">
        <v>1383090240.2172139</v>
      </c>
      <c r="L231" s="98">
        <f t="shared" si="142"/>
        <v>0.1005004576865763</v>
      </c>
      <c r="M231" s="94">
        <v>40000</v>
      </c>
      <c r="N231" s="94">
        <v>43000</v>
      </c>
      <c r="O231" s="99">
        <v>225</v>
      </c>
      <c r="P231" s="55">
        <v>0.02</v>
      </c>
      <c r="Q231" s="55">
        <v>0.1</v>
      </c>
      <c r="R231" s="60">
        <f t="shared" si="143"/>
        <v>2.4157643399167702E-2</v>
      </c>
      <c r="S231" s="60">
        <f t="shared" si="144"/>
        <v>-4.7935348167829073E-2</v>
      </c>
      <c r="T231" s="60">
        <f t="shared" si="145"/>
        <v>0</v>
      </c>
      <c r="U231" s="60">
        <f t="shared" si="146"/>
        <v>0</v>
      </c>
      <c r="V231" s="61">
        <f t="shared" si="147"/>
        <v>0.03</v>
      </c>
    </row>
    <row r="232" spans="1:26">
      <c r="A232" s="146">
        <v>6</v>
      </c>
      <c r="B232" s="140" t="s">
        <v>267</v>
      </c>
      <c r="C232" s="141" t="s">
        <v>268</v>
      </c>
      <c r="D232" s="97">
        <v>1072280434.9</v>
      </c>
      <c r="E232" s="98">
        <f t="shared" si="141"/>
        <v>7.9317941924810453E-2</v>
      </c>
      <c r="F232" s="94">
        <v>694</v>
      </c>
      <c r="G232" s="94">
        <v>694</v>
      </c>
      <c r="H232" s="99">
        <v>132</v>
      </c>
      <c r="I232" s="55">
        <v>2.9399999999999999E-2</v>
      </c>
      <c r="J232" s="55">
        <v>0.1075</v>
      </c>
      <c r="K232" s="97">
        <v>1080515052.53</v>
      </c>
      <c r="L232" s="98">
        <f t="shared" si="142"/>
        <v>7.8514224277546521E-2</v>
      </c>
      <c r="M232" s="94">
        <v>695</v>
      </c>
      <c r="N232" s="94">
        <v>695</v>
      </c>
      <c r="O232" s="99">
        <v>132</v>
      </c>
      <c r="P232" s="55">
        <v>7.7000000000000002E-3</v>
      </c>
      <c r="Q232" s="55">
        <v>0.1158</v>
      </c>
      <c r="R232" s="60">
        <f t="shared" si="143"/>
        <v>7.6795373318249054E-3</v>
      </c>
      <c r="S232" s="60">
        <f t="shared" si="144"/>
        <v>1.440922190201729E-3</v>
      </c>
      <c r="T232" s="60">
        <f t="shared" si="145"/>
        <v>0</v>
      </c>
      <c r="U232" s="60">
        <f t="shared" si="146"/>
        <v>-2.1699999999999997E-2</v>
      </c>
      <c r="V232" s="61">
        <f t="shared" si="147"/>
        <v>8.3000000000000018E-3</v>
      </c>
    </row>
    <row r="233" spans="1:26">
      <c r="A233" s="146">
        <v>7</v>
      </c>
      <c r="B233" s="140" t="s">
        <v>269</v>
      </c>
      <c r="C233" s="141" t="s">
        <v>268</v>
      </c>
      <c r="D233" s="97">
        <v>867274504.88</v>
      </c>
      <c r="E233" s="98">
        <f t="shared" si="141"/>
        <v>6.415339361979118E-2</v>
      </c>
      <c r="F233" s="94">
        <v>490</v>
      </c>
      <c r="G233" s="94">
        <v>490</v>
      </c>
      <c r="H233" s="99">
        <v>621</v>
      </c>
      <c r="I233" s="55">
        <v>1.18E-2</v>
      </c>
      <c r="J233" s="55">
        <v>3.5900000000000001E-2</v>
      </c>
      <c r="K233" s="97">
        <v>887571795.77999997</v>
      </c>
      <c r="L233" s="98">
        <f t="shared" si="142"/>
        <v>6.4494252877944816E-2</v>
      </c>
      <c r="M233" s="94">
        <v>490</v>
      </c>
      <c r="N233" s="94">
        <v>490</v>
      </c>
      <c r="O233" s="99">
        <v>621</v>
      </c>
      <c r="P233" s="55">
        <v>2.3400000000000001E-2</v>
      </c>
      <c r="Q233" s="55">
        <v>5.9900000000000002E-2</v>
      </c>
      <c r="R233" s="60">
        <f t="shared" si="143"/>
        <v>2.34035369260721E-2</v>
      </c>
      <c r="S233" s="60">
        <f t="shared" si="144"/>
        <v>0</v>
      </c>
      <c r="T233" s="60">
        <f t="shared" si="145"/>
        <v>0</v>
      </c>
      <c r="U233" s="60">
        <f t="shared" si="146"/>
        <v>1.1600000000000001E-2</v>
      </c>
      <c r="V233" s="61">
        <f t="shared" si="147"/>
        <v>2.4E-2</v>
      </c>
    </row>
    <row r="234" spans="1:26">
      <c r="A234" s="146">
        <v>8</v>
      </c>
      <c r="B234" s="140" t="s">
        <v>270</v>
      </c>
      <c r="C234" s="141" t="s">
        <v>271</v>
      </c>
      <c r="D234" s="97">
        <v>62214654.969999999</v>
      </c>
      <c r="E234" s="98">
        <f t="shared" si="141"/>
        <v>4.6020968294947853E-3</v>
      </c>
      <c r="F234" s="94">
        <v>17.93</v>
      </c>
      <c r="G234" s="94">
        <v>18.03</v>
      </c>
      <c r="H234" s="99">
        <v>69</v>
      </c>
      <c r="I234" s="55">
        <v>4.07E-2</v>
      </c>
      <c r="J234" s="55">
        <v>0.57289999999999996</v>
      </c>
      <c r="K234" s="97">
        <v>59700274.530000001</v>
      </c>
      <c r="L234" s="98">
        <f t="shared" si="142"/>
        <v>4.3380429850600139E-3</v>
      </c>
      <c r="M234" s="94">
        <v>17.28</v>
      </c>
      <c r="N234" s="94">
        <v>17.38</v>
      </c>
      <c r="O234" s="99">
        <v>72</v>
      </c>
      <c r="P234" s="55">
        <v>3.0700000000000002E-2</v>
      </c>
      <c r="Q234" s="55">
        <v>7.2700000000000001E-2</v>
      </c>
      <c r="R234" s="60">
        <f t="shared" si="143"/>
        <v>-4.0414600727311525E-2</v>
      </c>
      <c r="S234" s="60">
        <f t="shared" si="144"/>
        <v>-3.6051026067665116E-2</v>
      </c>
      <c r="T234" s="60">
        <f t="shared" si="145"/>
        <v>4.3478260869565216E-2</v>
      </c>
      <c r="U234" s="60">
        <f t="shared" si="146"/>
        <v>-9.9999999999999985E-3</v>
      </c>
      <c r="V234" s="61">
        <f t="shared" si="147"/>
        <v>-0.50019999999999998</v>
      </c>
    </row>
    <row r="235" spans="1:26">
      <c r="A235" s="146">
        <v>9</v>
      </c>
      <c r="B235" s="140" t="s">
        <v>272</v>
      </c>
      <c r="C235" s="141" t="s">
        <v>271</v>
      </c>
      <c r="D235" s="100">
        <v>789202561.19000006</v>
      </c>
      <c r="E235" s="98">
        <f t="shared" si="141"/>
        <v>5.8378313058764258E-2</v>
      </c>
      <c r="F235" s="94">
        <v>12.41</v>
      </c>
      <c r="G235" s="94">
        <v>12.51</v>
      </c>
      <c r="H235" s="99">
        <v>115</v>
      </c>
      <c r="I235" s="55">
        <v>0</v>
      </c>
      <c r="J235" s="55">
        <v>0.33069999999999999</v>
      </c>
      <c r="K235" s="100">
        <v>787973771.51999998</v>
      </c>
      <c r="L235" s="98">
        <f t="shared" si="142"/>
        <v>5.7257091677792957E-2</v>
      </c>
      <c r="M235" s="94">
        <v>12.38</v>
      </c>
      <c r="N235" s="94">
        <v>12.48</v>
      </c>
      <c r="O235" s="99">
        <v>117</v>
      </c>
      <c r="P235" s="55">
        <v>0.10639999999999999</v>
      </c>
      <c r="Q235" s="55">
        <v>0.19270000000000001</v>
      </c>
      <c r="R235" s="60">
        <f t="shared" si="143"/>
        <v>-1.5570016247124746E-3</v>
      </c>
      <c r="S235" s="60">
        <f t="shared" si="144"/>
        <v>-2.3980815347721313E-3</v>
      </c>
      <c r="T235" s="60">
        <f t="shared" si="145"/>
        <v>1.7391304347826087E-2</v>
      </c>
      <c r="U235" s="60">
        <f t="shared" si="146"/>
        <v>0.10639999999999999</v>
      </c>
      <c r="V235" s="61">
        <f t="shared" si="147"/>
        <v>-0.13799999999999998</v>
      </c>
    </row>
    <row r="236" spans="1:26" ht="15" customHeight="1">
      <c r="A236" s="146">
        <v>10</v>
      </c>
      <c r="B236" s="140" t="s">
        <v>273</v>
      </c>
      <c r="C236" s="141" t="s">
        <v>271</v>
      </c>
      <c r="D236" s="97">
        <v>94094951.530000001</v>
      </c>
      <c r="E236" s="98">
        <f t="shared" si="141"/>
        <v>6.9603227457660614E-3</v>
      </c>
      <c r="F236" s="94">
        <v>128.59</v>
      </c>
      <c r="G236" s="94">
        <v>130.59</v>
      </c>
      <c r="H236" s="99">
        <v>300</v>
      </c>
      <c r="I236" s="55">
        <v>4.5100000000000001E-2</v>
      </c>
      <c r="J236" s="55">
        <v>0.72299999999999998</v>
      </c>
      <c r="K236" s="97">
        <v>94376456.090000004</v>
      </c>
      <c r="L236" s="98">
        <f t="shared" si="142"/>
        <v>6.8577427242870826E-3</v>
      </c>
      <c r="M236" s="94">
        <v>128.97999999999999</v>
      </c>
      <c r="N236" s="94">
        <v>130.97999999999999</v>
      </c>
      <c r="O236" s="99">
        <v>300</v>
      </c>
      <c r="P236" s="55">
        <v>0.29409999999999997</v>
      </c>
      <c r="Q236" s="55">
        <v>0.60980000000000001</v>
      </c>
      <c r="R236" s="60">
        <f t="shared" si="143"/>
        <v>2.9917073702966004E-3</v>
      </c>
      <c r="S236" s="60">
        <f t="shared" si="144"/>
        <v>2.9864461291062589E-3</v>
      </c>
      <c r="T236" s="60">
        <f t="shared" si="145"/>
        <v>0</v>
      </c>
      <c r="U236" s="60">
        <f t="shared" si="146"/>
        <v>0.24899999999999997</v>
      </c>
      <c r="V236" s="61">
        <f t="shared" si="147"/>
        <v>-0.11319999999999997</v>
      </c>
    </row>
    <row r="237" spans="1:26">
      <c r="A237" s="146">
        <v>11</v>
      </c>
      <c r="B237" s="140" t="s">
        <v>274</v>
      </c>
      <c r="C237" s="141" t="s">
        <v>271</v>
      </c>
      <c r="D237" s="97">
        <v>5704148068.7200003</v>
      </c>
      <c r="E237" s="98">
        <f t="shared" si="141"/>
        <v>0.42194305754300832</v>
      </c>
      <c r="F237" s="94">
        <v>39.53</v>
      </c>
      <c r="G237" s="94">
        <v>39.729999999999997</v>
      </c>
      <c r="H237" s="99">
        <v>283</v>
      </c>
      <c r="I237" s="55">
        <v>0</v>
      </c>
      <c r="J237" s="55">
        <v>0.44259999999999999</v>
      </c>
      <c r="K237" s="97">
        <v>5823619451.0100002</v>
      </c>
      <c r="L237" s="98">
        <f t="shared" si="142"/>
        <v>0.42316575101204951</v>
      </c>
      <c r="M237" s="94">
        <v>40.369999999999997</v>
      </c>
      <c r="N237" s="94">
        <v>40.57</v>
      </c>
      <c r="O237" s="99">
        <v>286</v>
      </c>
      <c r="P237" s="55">
        <v>0.01</v>
      </c>
      <c r="Q237" s="55">
        <v>4.6300000000000001E-2</v>
      </c>
      <c r="R237" s="60">
        <f t="shared" si="143"/>
        <v>2.0944649551639199E-2</v>
      </c>
      <c r="S237" s="60">
        <f t="shared" si="144"/>
        <v>2.1142713314875498E-2</v>
      </c>
      <c r="T237" s="60">
        <f t="shared" si="145"/>
        <v>1.0600706713780919E-2</v>
      </c>
      <c r="U237" s="60">
        <f t="shared" si="146"/>
        <v>0.01</v>
      </c>
      <c r="V237" s="61">
        <f t="shared" si="147"/>
        <v>-0.39629999999999999</v>
      </c>
    </row>
    <row r="238" spans="1:26">
      <c r="A238" s="146">
        <v>12</v>
      </c>
      <c r="B238" s="140" t="s">
        <v>275</v>
      </c>
      <c r="C238" s="141" t="s">
        <v>271</v>
      </c>
      <c r="D238" s="100">
        <v>56649117.210000001</v>
      </c>
      <c r="E238" s="98">
        <f t="shared" si="141"/>
        <v>4.1904069520522407E-3</v>
      </c>
      <c r="F238" s="94">
        <v>32.86</v>
      </c>
      <c r="G238" s="94">
        <v>33.06</v>
      </c>
      <c r="H238" s="99">
        <v>64</v>
      </c>
      <c r="I238" s="55">
        <v>-1.2E-2</v>
      </c>
      <c r="J238" s="55">
        <v>0.54720000000000002</v>
      </c>
      <c r="K238" s="100">
        <v>63431550.729999997</v>
      </c>
      <c r="L238" s="98">
        <f t="shared" si="142"/>
        <v>4.6091713286423794E-3</v>
      </c>
      <c r="M238" s="94">
        <v>36.270000000000003</v>
      </c>
      <c r="N238" s="94">
        <v>36.47</v>
      </c>
      <c r="O238" s="99">
        <v>66</v>
      </c>
      <c r="P238" s="55">
        <v>1.2200000000000001E-2</v>
      </c>
      <c r="Q238" s="55">
        <v>-8.3999999999999995E-3</v>
      </c>
      <c r="R238" s="60">
        <f t="shared" si="143"/>
        <v>0.11972708232782002</v>
      </c>
      <c r="S238" s="60">
        <f t="shared" si="144"/>
        <v>0.10314579552329088</v>
      </c>
      <c r="T238" s="60">
        <f t="shared" si="145"/>
        <v>3.125E-2</v>
      </c>
      <c r="U238" s="60">
        <f t="shared" si="146"/>
        <v>2.4199999999999999E-2</v>
      </c>
      <c r="V238" s="61">
        <f t="shared" si="147"/>
        <v>-0.55559999999999998</v>
      </c>
    </row>
    <row r="239" spans="1:26">
      <c r="A239" s="134"/>
      <c r="B239" s="134"/>
      <c r="C239" s="135" t="s">
        <v>276</v>
      </c>
      <c r="D239" s="93">
        <f>SUM(D227:D238)</f>
        <v>13518762702.094183</v>
      </c>
      <c r="E239" s="95"/>
      <c r="F239" s="95"/>
      <c r="G239" s="96"/>
      <c r="H239" s="93">
        <f>SUM(H227:H238)</f>
        <v>2356</v>
      </c>
      <c r="I239" s="116"/>
      <c r="J239" s="116"/>
      <c r="K239" s="93">
        <f>SUM(K227:K238)</f>
        <v>13762029268.867212</v>
      </c>
      <c r="L239" s="95"/>
      <c r="M239" s="95"/>
      <c r="N239" s="96"/>
      <c r="O239" s="93">
        <f>SUM(O227:O238)</f>
        <v>2366</v>
      </c>
      <c r="P239" s="116"/>
      <c r="Q239" s="116"/>
      <c r="R239" s="60">
        <f t="shared" si="143"/>
        <v>1.7994736066736718E-2</v>
      </c>
      <c r="S239" s="60" t="e">
        <f t="shared" si="144"/>
        <v>#DIV/0!</v>
      </c>
      <c r="T239" s="60">
        <f t="shared" si="145"/>
        <v>4.2444821731748728E-3</v>
      </c>
      <c r="U239" s="60">
        <f t="shared" si="146"/>
        <v>0</v>
      </c>
      <c r="V239" s="61">
        <f t="shared" si="147"/>
        <v>0</v>
      </c>
      <c r="Z239" s="68"/>
    </row>
    <row r="240" spans="1:26">
      <c r="A240" s="101"/>
      <c r="B240" s="101"/>
      <c r="C240" s="102" t="s">
        <v>277</v>
      </c>
      <c r="D240" s="103">
        <f>SUM(D214,D219,D224,D239)</f>
        <v>4339198682107.0591</v>
      </c>
      <c r="E240" s="104"/>
      <c r="F240" s="104"/>
      <c r="G240" s="105"/>
      <c r="H240" s="103">
        <f>SUM(H214,H219,H224,H239)</f>
        <v>828104</v>
      </c>
      <c r="I240" s="117"/>
      <c r="J240" s="117"/>
      <c r="K240" s="103">
        <f>SUM(K214,K219,K224,K239)</f>
        <v>4428818915436.6875</v>
      </c>
      <c r="L240" s="104"/>
      <c r="M240" s="104"/>
      <c r="N240" s="103"/>
      <c r="O240" s="103">
        <f>SUM(O214,O219,O224,O239)</f>
        <v>834535</v>
      </c>
      <c r="P240" s="118"/>
      <c r="Q240" s="103"/>
      <c r="R240" s="124"/>
      <c r="S240" s="125"/>
      <c r="T240" s="125"/>
      <c r="U240" s="126"/>
      <c r="V240" s="126"/>
      <c r="Z240" s="68"/>
    </row>
    <row r="241" spans="1:22">
      <c r="A241" s="106" t="s">
        <v>278</v>
      </c>
      <c r="B241" s="132" t="s">
        <v>309</v>
      </c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</row>
    <row r="242" spans="1:22">
      <c r="B242" s="131"/>
    </row>
    <row r="243" spans="1:22">
      <c r="B243" s="131"/>
      <c r="C243" s="108"/>
      <c r="D243" s="109"/>
      <c r="K243" s="109"/>
    </row>
    <row r="244" spans="1:22" ht="15">
      <c r="B244" s="110"/>
      <c r="C244" s="111"/>
      <c r="D244" s="112"/>
      <c r="F244" s="113"/>
      <c r="G244" s="113"/>
      <c r="I244" s="119"/>
      <c r="J244" s="120"/>
    </row>
    <row r="247" spans="1:22">
      <c r="B247" s="108"/>
    </row>
  </sheetData>
  <sheetProtection algorithmName="SHA-512" hashValue="U0/nuKXyNIP1mHizqK14DLL3aRaYRMHy3s2fMhefDk//+DRtvfpqRaMZFMgjhtr5+IY3mHWDL4NViW+bDWRJHg==" saltValue="8M9mb0uFteKrbvpOlZzLfQ==" spinCount="100000" sheet="1" objects="1" scenarios="1"/>
  <sortState ref="A150:C177">
    <sortCondition descending="1" ref="A149"/>
  </sortState>
  <mergeCells count="34">
    <mergeCell ref="A216:V216"/>
    <mergeCell ref="A221:V221"/>
    <mergeCell ref="B225:V225"/>
    <mergeCell ref="A226:V226"/>
    <mergeCell ref="B194:V194"/>
    <mergeCell ref="A195:V195"/>
    <mergeCell ref="B209:V209"/>
    <mergeCell ref="A210:V210"/>
    <mergeCell ref="B215:U215"/>
    <mergeCell ref="B183:V183"/>
    <mergeCell ref="A184:V184"/>
    <mergeCell ref="B189:V189"/>
    <mergeCell ref="A190:V190"/>
    <mergeCell ref="A191:V191"/>
    <mergeCell ref="A127:V127"/>
    <mergeCell ref="B144:V144"/>
    <mergeCell ref="A145:V145"/>
    <mergeCell ref="B152:V152"/>
    <mergeCell ref="A153:V153"/>
    <mergeCell ref="A68:V68"/>
    <mergeCell ref="B107:V107"/>
    <mergeCell ref="A108:V108"/>
    <mergeCell ref="A109:V109"/>
    <mergeCell ref="B126:V126"/>
    <mergeCell ref="B4:V4"/>
    <mergeCell ref="A5:V5"/>
    <mergeCell ref="B26:V26"/>
    <mergeCell ref="A27:V27"/>
    <mergeCell ref="B67:V67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2 E92 E73 L47 E47 L33 E33 L131 E131" formula="1"/>
    <ignoredError sqref="S151 S25 T38 S66 S106 S143 S182 S188 S213 S239 T222:T223 R48:T48 R131" evalError="1"/>
    <ignoredError sqref="I118 P1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F6" sqref="F6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56"/>
      <c r="B1" s="156"/>
      <c r="C1" s="156"/>
      <c r="D1" s="156"/>
      <c r="E1" s="19"/>
    </row>
    <row r="2" spans="1:5" ht="27.6">
      <c r="A2" s="149" t="s">
        <v>279</v>
      </c>
      <c r="B2" s="150" t="s">
        <v>306</v>
      </c>
      <c r="C2" s="150" t="s">
        <v>311</v>
      </c>
      <c r="D2" s="151"/>
      <c r="E2" s="19"/>
    </row>
    <row r="3" spans="1:5">
      <c r="A3" s="152" t="s">
        <v>17</v>
      </c>
      <c r="B3" s="153">
        <f t="shared" ref="B3:C10" si="0">B13</f>
        <v>37.60243720495</v>
      </c>
      <c r="C3" s="153">
        <f t="shared" si="0"/>
        <v>38.501630325359997</v>
      </c>
      <c r="D3" s="151"/>
      <c r="E3" s="19"/>
    </row>
    <row r="4" spans="1:5" ht="17.25" customHeight="1">
      <c r="A4" s="149" t="s">
        <v>54</v>
      </c>
      <c r="B4" s="154">
        <f t="shared" si="0"/>
        <v>1986.5456628533891</v>
      </c>
      <c r="C4" s="154">
        <f t="shared" si="0"/>
        <v>2038.2004327447246</v>
      </c>
      <c r="D4" s="151"/>
      <c r="E4" s="19"/>
    </row>
    <row r="5" spans="1:5" ht="19.5" customHeight="1">
      <c r="A5" s="149" t="s">
        <v>280</v>
      </c>
      <c r="B5" s="153">
        <f t="shared" si="0"/>
        <v>192.82364605239559</v>
      </c>
      <c r="C5" s="153">
        <f t="shared" si="0"/>
        <v>193.17042371656945</v>
      </c>
      <c r="D5" s="151"/>
      <c r="E5" s="19"/>
    </row>
    <row r="6" spans="1:5">
      <c r="A6" s="149" t="s">
        <v>157</v>
      </c>
      <c r="B6" s="154">
        <f t="shared" si="0"/>
        <v>1755.6425758857151</v>
      </c>
      <c r="C6" s="154">
        <f t="shared" si="0"/>
        <v>1779.1913217332319</v>
      </c>
      <c r="D6" s="151"/>
      <c r="E6" s="19"/>
    </row>
    <row r="7" spans="1:5">
      <c r="A7" s="149" t="s">
        <v>281</v>
      </c>
      <c r="B7" s="153">
        <f t="shared" si="0"/>
        <v>100.95230605592899</v>
      </c>
      <c r="C7" s="153">
        <f t="shared" si="0"/>
        <v>101.01400031343393</v>
      </c>
      <c r="D7" s="151"/>
      <c r="E7" s="19"/>
    </row>
    <row r="8" spans="1:5">
      <c r="A8" s="149" t="s">
        <v>195</v>
      </c>
      <c r="B8" s="155">
        <f t="shared" si="0"/>
        <v>57.357776059173069</v>
      </c>
      <c r="C8" s="155">
        <f t="shared" si="0"/>
        <v>58.252652887652779</v>
      </c>
      <c r="D8" s="151"/>
      <c r="E8" s="19"/>
    </row>
    <row r="9" spans="1:5">
      <c r="A9" s="149" t="s">
        <v>226</v>
      </c>
      <c r="B9" s="153">
        <f t="shared" si="0"/>
        <v>6.5825859737099988</v>
      </c>
      <c r="C9" s="153">
        <f t="shared" si="0"/>
        <v>6.73883788914</v>
      </c>
      <c r="D9" s="151"/>
      <c r="E9" s="19"/>
    </row>
    <row r="10" spans="1:5">
      <c r="A10" s="149" t="s">
        <v>282</v>
      </c>
      <c r="B10" s="153">
        <f t="shared" si="0"/>
        <v>53.889279380166805</v>
      </c>
      <c r="C10" s="153">
        <f t="shared" si="0"/>
        <v>54.482402721736491</v>
      </c>
      <c r="D10" s="151"/>
      <c r="E10" s="19"/>
    </row>
    <row r="11" spans="1:5">
      <c r="A11" s="149"/>
      <c r="B11" s="153"/>
      <c r="C11" s="153"/>
      <c r="D11" s="151"/>
      <c r="E11" s="19"/>
    </row>
    <row r="12" spans="1:5">
      <c r="A12" s="156"/>
      <c r="B12" s="156"/>
      <c r="C12" s="156"/>
      <c r="D12" s="156"/>
      <c r="E12" s="19"/>
    </row>
    <row r="13" spans="1:5">
      <c r="A13" s="157" t="s">
        <v>17</v>
      </c>
      <c r="B13" s="158">
        <f>'Weekly Valuation'!D25/1000000000</f>
        <v>37.60243720495</v>
      </c>
      <c r="C13" s="159">
        <f>'Weekly Valuation'!K25/1000000000</f>
        <v>38.501630325359997</v>
      </c>
      <c r="D13" s="156"/>
      <c r="E13" s="19"/>
    </row>
    <row r="14" spans="1:5">
      <c r="A14" s="160" t="s">
        <v>54</v>
      </c>
      <c r="B14" s="158">
        <f>'Weekly Valuation'!D66/1000000000</f>
        <v>1986.5456628533891</v>
      </c>
      <c r="C14" s="161">
        <f>'Weekly Valuation'!K66/1000000000</f>
        <v>2038.2004327447246</v>
      </c>
      <c r="D14" s="156"/>
      <c r="E14" s="19"/>
    </row>
    <row r="15" spans="1:5">
      <c r="A15" s="160" t="s">
        <v>280</v>
      </c>
      <c r="B15" s="158">
        <f>'Weekly Valuation'!D106/1000000000</f>
        <v>192.82364605239559</v>
      </c>
      <c r="C15" s="159">
        <f>'Weekly Valuation'!K106/1000000000</f>
        <v>193.17042371656945</v>
      </c>
      <c r="D15" s="156"/>
      <c r="E15" s="19"/>
    </row>
    <row r="16" spans="1:5">
      <c r="A16" s="160" t="s">
        <v>157</v>
      </c>
      <c r="B16" s="158">
        <f>'Weekly Valuation'!D143/1000000000</f>
        <v>1755.6425758857151</v>
      </c>
      <c r="C16" s="161">
        <f>'Weekly Valuation'!K143/1000000000</f>
        <v>1779.1913217332319</v>
      </c>
      <c r="D16" s="156"/>
      <c r="E16" s="19"/>
    </row>
    <row r="17" spans="1:5">
      <c r="A17" s="160" t="s">
        <v>281</v>
      </c>
      <c r="B17" s="158">
        <f>'Weekly Valuation'!D151/1000000000</f>
        <v>100.95230605592899</v>
      </c>
      <c r="C17" s="159">
        <f>'Weekly Valuation'!K151/1000000000</f>
        <v>101.01400031343393</v>
      </c>
      <c r="D17" s="156"/>
      <c r="E17" s="19"/>
    </row>
    <row r="18" spans="1:5">
      <c r="A18" s="160" t="s">
        <v>195</v>
      </c>
      <c r="B18" s="158">
        <f>'Weekly Valuation'!D182/1000000000</f>
        <v>57.357776059173069</v>
      </c>
      <c r="C18" s="162">
        <f>'Weekly Valuation'!K182/1000000000</f>
        <v>58.252652887652779</v>
      </c>
      <c r="D18" s="156"/>
      <c r="E18" s="19"/>
    </row>
    <row r="19" spans="1:5">
      <c r="A19" s="160" t="s">
        <v>226</v>
      </c>
      <c r="B19" s="158">
        <f>'Weekly Valuation'!D188/1000000000</f>
        <v>6.5825859737099988</v>
      </c>
      <c r="C19" s="159">
        <f>'Weekly Valuation'!K188/1000000000</f>
        <v>6.73883788914</v>
      </c>
      <c r="D19" s="156"/>
      <c r="E19" s="19"/>
    </row>
    <row r="20" spans="1:5">
      <c r="A20" s="160" t="s">
        <v>282</v>
      </c>
      <c r="B20" s="158">
        <f>'Weekly Valuation'!D213/1000000000</f>
        <v>53.889279380166805</v>
      </c>
      <c r="C20" s="159">
        <f>'Weekly Valuation'!K213/1000000000</f>
        <v>54.482402721736491</v>
      </c>
      <c r="D20" s="156"/>
      <c r="E20" s="19"/>
    </row>
    <row r="21" spans="1:5">
      <c r="A21" s="163"/>
      <c r="B21" s="156"/>
      <c r="C21" s="164"/>
      <c r="D21" s="156"/>
      <c r="E21" s="19"/>
    </row>
    <row r="22" spans="1:5">
      <c r="A22" s="143"/>
      <c r="B22" s="142"/>
      <c r="C22" s="144"/>
      <c r="D22" s="142"/>
      <c r="E22" s="15"/>
    </row>
    <row r="23" spans="1:5">
      <c r="A23" s="137"/>
      <c r="B23" s="138"/>
      <c r="C23" s="139"/>
      <c r="D23" s="19"/>
      <c r="E23" s="19"/>
    </row>
    <row r="24" spans="1:5">
      <c r="A24" s="137"/>
      <c r="B24" s="138"/>
      <c r="C24" s="138"/>
      <c r="D24" s="19"/>
      <c r="E24" s="19"/>
    </row>
    <row r="25" spans="1:5">
      <c r="A25" s="137"/>
      <c r="B25" s="138"/>
      <c r="C25" s="138"/>
      <c r="D25" s="19"/>
      <c r="E25" s="19"/>
    </row>
    <row r="26" spans="1:5">
      <c r="A26" s="21"/>
      <c r="B26" s="22"/>
      <c r="C26" s="22"/>
      <c r="D26" s="15"/>
      <c r="E26" s="15"/>
    </row>
    <row r="27" spans="1:5">
      <c r="A27" s="21"/>
      <c r="B27" s="22"/>
      <c r="C27" s="22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</row>
  </sheetData>
  <sheetProtection algorithmName="SHA-512" hashValue="BYFu2FjE5iqCnuHt0/yRo6E/nNQgcpQak6z8bjeh/Zn7XZg8qadnN57n+OGwjHmD1qJx+fO2Xg3sMwjmjhpstA==" saltValue="UVeD1NI5pVm4OyZzhgiSX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E12" sqref="E12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65" t="s">
        <v>279</v>
      </c>
      <c r="B1" s="166">
        <v>45702</v>
      </c>
      <c r="C1" s="19"/>
      <c r="D1" s="19"/>
      <c r="E1" s="15"/>
      <c r="F1" s="15"/>
      <c r="G1" s="15"/>
    </row>
    <row r="2" spans="1:7">
      <c r="A2" s="163" t="s">
        <v>226</v>
      </c>
      <c r="B2" s="167">
        <f>'Weekly Valuation'!K188</f>
        <v>6738837889.1400003</v>
      </c>
      <c r="C2" s="19"/>
      <c r="D2" s="19"/>
      <c r="E2" s="15"/>
      <c r="F2" s="15"/>
      <c r="G2" s="15"/>
    </row>
    <row r="3" spans="1:7">
      <c r="A3" s="163" t="s">
        <v>17</v>
      </c>
      <c r="B3" s="167">
        <f>'Weekly Valuation'!K25</f>
        <v>38501630325.360001</v>
      </c>
      <c r="C3" s="19"/>
      <c r="D3" s="19"/>
      <c r="E3" s="15"/>
      <c r="F3" s="15"/>
      <c r="G3" s="15"/>
    </row>
    <row r="4" spans="1:7">
      <c r="A4" s="163" t="s">
        <v>282</v>
      </c>
      <c r="B4" s="139">
        <f>'Weekly Valuation'!K213</f>
        <v>54482402721.736488</v>
      </c>
      <c r="C4" s="19"/>
      <c r="D4" s="19"/>
      <c r="E4" s="15"/>
      <c r="F4" s="15"/>
      <c r="G4" s="15"/>
    </row>
    <row r="5" spans="1:7">
      <c r="A5" s="163" t="s">
        <v>195</v>
      </c>
      <c r="B5" s="167">
        <f>'Weekly Valuation'!K182</f>
        <v>58252652887.652779</v>
      </c>
      <c r="C5" s="19"/>
      <c r="D5" s="19"/>
      <c r="E5" s="15"/>
      <c r="F5" s="15"/>
      <c r="G5" s="15"/>
    </row>
    <row r="6" spans="1:7">
      <c r="A6" s="163" t="s">
        <v>281</v>
      </c>
      <c r="B6" s="167">
        <f>'Weekly Valuation'!K151</f>
        <v>101014000313.43393</v>
      </c>
      <c r="C6" s="19"/>
      <c r="D6" s="19"/>
      <c r="E6" s="15"/>
      <c r="F6" s="15"/>
      <c r="G6" s="15"/>
    </row>
    <row r="7" spans="1:7">
      <c r="A7" s="163" t="s">
        <v>280</v>
      </c>
      <c r="B7" s="167">
        <f>'Weekly Valuation'!K106</f>
        <v>193170423716.56946</v>
      </c>
      <c r="C7" s="19"/>
      <c r="D7" s="19"/>
      <c r="E7" s="15"/>
      <c r="F7" s="15"/>
      <c r="G7" s="15"/>
    </row>
    <row r="8" spans="1:7">
      <c r="A8" s="163" t="s">
        <v>54</v>
      </c>
      <c r="B8" s="164">
        <f>'Weekly Valuation'!K66</f>
        <v>2038200432744.7246</v>
      </c>
      <c r="C8" s="19"/>
      <c r="D8" s="19"/>
      <c r="E8" s="15"/>
      <c r="F8" s="15"/>
      <c r="G8" s="15"/>
    </row>
    <row r="9" spans="1:7">
      <c r="A9" s="163" t="s">
        <v>157</v>
      </c>
      <c r="B9" s="164">
        <f>'Weekly Valuation'!K143</f>
        <v>1779191321733.2319</v>
      </c>
      <c r="C9" s="19"/>
      <c r="D9" s="19"/>
      <c r="E9" s="15"/>
      <c r="F9" s="15"/>
      <c r="G9" s="15"/>
    </row>
    <row r="10" spans="1:7">
      <c r="A10" s="156"/>
      <c r="B10" s="156"/>
      <c r="C10" s="19"/>
      <c r="D10" s="19"/>
      <c r="E10" s="15"/>
      <c r="F10" s="15"/>
      <c r="G10" s="15"/>
    </row>
    <row r="11" spans="1:7">
      <c r="A11" s="163"/>
      <c r="B11" s="168"/>
      <c r="C11" s="19"/>
      <c r="D11" s="19"/>
      <c r="E11" s="15"/>
      <c r="F11" s="15"/>
      <c r="G11" s="15"/>
    </row>
    <row r="12" spans="1:7">
      <c r="A12" s="163"/>
      <c r="B12" s="19"/>
      <c r="C12" s="19"/>
      <c r="D12" s="19"/>
      <c r="E12" s="15"/>
      <c r="F12" s="15"/>
      <c r="G12" s="15"/>
    </row>
    <row r="13" spans="1:7">
      <c r="A13" s="138"/>
      <c r="B13" s="138"/>
      <c r="C13" s="19"/>
      <c r="D13" s="19"/>
      <c r="E13" s="15"/>
      <c r="F13" s="15"/>
      <c r="G13" s="15"/>
    </row>
    <row r="14" spans="1:7">
      <c r="A14" s="138"/>
      <c r="B14" s="138"/>
      <c r="C14" s="19"/>
      <c r="D14" s="19"/>
      <c r="E14" s="15"/>
      <c r="F14" s="15"/>
      <c r="G14" s="15"/>
    </row>
    <row r="15" spans="1:7" ht="16.5" customHeight="1">
      <c r="A15" s="139"/>
      <c r="B15" s="139"/>
      <c r="C15" s="19"/>
      <c r="D15" s="19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9"/>
      <c r="B18" s="22"/>
      <c r="C18" s="15"/>
      <c r="D18" s="15"/>
      <c r="E18" s="15"/>
      <c r="F18" s="15"/>
      <c r="G18" s="15"/>
    </row>
    <row r="19" spans="1:17">
      <c r="A19" s="129"/>
      <c r="B19" s="129"/>
      <c r="C19" s="15"/>
      <c r="D19" s="15"/>
      <c r="E19" s="15"/>
      <c r="F19" s="15"/>
      <c r="G19" s="15"/>
    </row>
    <row r="20" spans="1:17">
      <c r="A20" s="129"/>
      <c r="B20" s="129"/>
      <c r="C20" s="15"/>
      <c r="D20" s="15"/>
      <c r="E20" s="15"/>
      <c r="F20" s="15"/>
      <c r="G20" s="15"/>
    </row>
    <row r="21" spans="1:17">
      <c r="A21" s="21"/>
      <c r="B21" s="129"/>
      <c r="C21" s="15"/>
      <c r="D21" s="15"/>
      <c r="E21" s="15"/>
      <c r="F21" s="15"/>
      <c r="G21" s="15"/>
    </row>
    <row r="22" spans="1:17">
      <c r="A22" s="15"/>
      <c r="B22" s="129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94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20"/>
    </row>
    <row r="33" spans="1:17" ht="15" customHeight="1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20"/>
    </row>
  </sheetData>
  <sheetProtection algorithmName="SHA-512" hashValue="lssPpr6EdpbQQmbmr28psH6sc5g1MFcO1U16WO+gyQfsnHUNbu47lzKyJ3vEKs38q1mRCJrS0DKcRqPkkYn88g==" saltValue="Cxb0DTUFYeHmXZAZXDgXV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0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69" t="s">
        <v>283</v>
      </c>
      <c r="B2" s="170">
        <v>45653</v>
      </c>
      <c r="C2" s="170">
        <v>45660</v>
      </c>
      <c r="D2" s="170">
        <v>45667</v>
      </c>
      <c r="E2" s="170">
        <v>45674</v>
      </c>
      <c r="F2" s="170">
        <v>45681</v>
      </c>
      <c r="G2" s="170">
        <v>45688</v>
      </c>
      <c r="H2" s="170">
        <v>45695</v>
      </c>
      <c r="I2" s="170">
        <v>45702</v>
      </c>
      <c r="J2" s="19"/>
      <c r="K2" s="15"/>
      <c r="L2" s="15"/>
      <c r="M2" s="15"/>
    </row>
    <row r="3" spans="1:13">
      <c r="A3" s="169" t="s">
        <v>284</v>
      </c>
      <c r="B3" s="171">
        <f t="shared" ref="B3:I3" si="0">B4</f>
        <v>3829.831201863391</v>
      </c>
      <c r="C3" s="171">
        <f t="shared" si="0"/>
        <v>3883.4933818535656</v>
      </c>
      <c r="D3" s="171">
        <f t="shared" si="0"/>
        <v>3964.1148250792808</v>
      </c>
      <c r="E3" s="171">
        <f t="shared" si="0"/>
        <v>4019.7056298340649</v>
      </c>
      <c r="F3" s="171">
        <f t="shared" si="0"/>
        <v>4119.3897630881565</v>
      </c>
      <c r="G3" s="171">
        <f t="shared" si="0"/>
        <v>4111.8204981719919</v>
      </c>
      <c r="H3" s="171">
        <f t="shared" si="0"/>
        <v>4191.3962694654292</v>
      </c>
      <c r="I3" s="171">
        <f t="shared" si="0"/>
        <v>4269.5517023318498</v>
      </c>
      <c r="J3" s="19"/>
      <c r="K3" s="15"/>
      <c r="L3" s="15"/>
      <c r="M3" s="15"/>
    </row>
    <row r="4" spans="1:13">
      <c r="A4" s="19"/>
      <c r="B4" s="172">
        <f>'NAV Trend'!C10/1000000000</f>
        <v>3829.831201863391</v>
      </c>
      <c r="C4" s="172">
        <f>'NAV Trend'!D10/1000000000</f>
        <v>3883.4933818535656</v>
      </c>
      <c r="D4" s="172">
        <f>'NAV Trend'!E10/1000000000</f>
        <v>3964.1148250792808</v>
      </c>
      <c r="E4" s="172">
        <f>'NAV Trend'!F10/1000000000</f>
        <v>4019.7056298340649</v>
      </c>
      <c r="F4" s="172">
        <f>'NAV Trend'!G10/1000000000</f>
        <v>4119.3897630881565</v>
      </c>
      <c r="G4" s="172">
        <f>'NAV Trend'!H10/1000000000</f>
        <v>4111.8204981719919</v>
      </c>
      <c r="H4" s="173">
        <f>'NAV Trend'!I10/1000000000</f>
        <v>4191.3962694654292</v>
      </c>
      <c r="I4" s="173">
        <f>'NAV Trend'!J10/1000000000</f>
        <v>4269.5517023318498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leRGIj2Pmdw63SZ+bmRge3P+oEtDVovPksBw3OzXpm13l4AMFtfUzakYtxJ7qPu+aVK0Fj5SZhsvY4UHR5y0jg==" saltValue="yjsOvu3600CsLxzHEB7vB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0"/>
  <sheetViews>
    <sheetView workbookViewId="0">
      <selection activeCell="E6" sqref="E6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169" t="s">
        <v>283</v>
      </c>
      <c r="B2" s="170">
        <v>45653</v>
      </c>
      <c r="C2" s="170">
        <v>45660</v>
      </c>
      <c r="D2" s="170">
        <v>45667</v>
      </c>
      <c r="E2" s="170">
        <v>45674</v>
      </c>
      <c r="F2" s="170">
        <v>45681</v>
      </c>
      <c r="G2" s="170">
        <v>45688</v>
      </c>
      <c r="H2" s="170">
        <v>45695</v>
      </c>
      <c r="I2" s="170">
        <v>45702</v>
      </c>
      <c r="J2" s="19"/>
      <c r="K2" s="19"/>
      <c r="L2" s="19"/>
    </row>
    <row r="3" spans="1:12">
      <c r="A3" s="169" t="s">
        <v>285</v>
      </c>
      <c r="B3" s="171">
        <f t="shared" ref="B3:I3" si="0">B4</f>
        <v>12.568890044927004</v>
      </c>
      <c r="C3" s="171">
        <f t="shared" si="0"/>
        <v>12.767135898969396</v>
      </c>
      <c r="D3" s="171">
        <f t="shared" si="0"/>
        <v>12.486443329167654</v>
      </c>
      <c r="E3" s="171">
        <f t="shared" si="0"/>
        <v>13.126291240540001</v>
      </c>
      <c r="F3" s="171">
        <f t="shared" si="0"/>
        <v>12.926648581233682</v>
      </c>
      <c r="G3" s="171">
        <f t="shared" si="0"/>
        <v>13.139930136069998</v>
      </c>
      <c r="H3" s="171">
        <f t="shared" si="0"/>
        <v>13.518762702094183</v>
      </c>
      <c r="I3" s="171">
        <f t="shared" si="0"/>
        <v>13.762029268867213</v>
      </c>
      <c r="J3" s="19"/>
      <c r="K3" s="19"/>
      <c r="L3" s="19"/>
    </row>
    <row r="4" spans="1:12">
      <c r="A4" s="19"/>
      <c r="B4" s="172">
        <f>'NAV Trend'!C16/1000000000</f>
        <v>12.568890044927004</v>
      </c>
      <c r="C4" s="172">
        <f>'NAV Trend'!D16/1000000000</f>
        <v>12.767135898969396</v>
      </c>
      <c r="D4" s="172">
        <f>'NAV Trend'!E16/1000000000</f>
        <v>12.486443329167654</v>
      </c>
      <c r="E4" s="172">
        <f>'NAV Trend'!F16/1000000000</f>
        <v>13.126291240540001</v>
      </c>
      <c r="F4" s="172">
        <f>'NAV Trend'!G16/1000000000</f>
        <v>12.926648581233682</v>
      </c>
      <c r="G4" s="172">
        <f>'NAV Trend'!H16/1000000000</f>
        <v>13.139930136069998</v>
      </c>
      <c r="H4" s="172">
        <f>'NAV Trend'!I16/1000000000</f>
        <v>13.518762702094183</v>
      </c>
      <c r="I4" s="173">
        <f>'NAV Trend'!J16/1000000000</f>
        <v>13.762029268867213</v>
      </c>
      <c r="J4" s="19"/>
      <c r="K4" s="19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RHZM6STWbG612kFGeZaxkbZlo7ztcSCo+uDBEhwB1rnDe+fwHhdoUg7EIUOmIjG0zid9mV6CVOOrIIu2QoN0ZA==" saltValue="59tO74Zim0YUvtWH7i27K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279</v>
      </c>
      <c r="B1" s="2">
        <v>45646</v>
      </c>
      <c r="C1" s="2">
        <v>45653</v>
      </c>
      <c r="D1" s="2">
        <v>45660</v>
      </c>
      <c r="E1" s="2">
        <v>45667</v>
      </c>
      <c r="F1" s="2">
        <v>45674</v>
      </c>
      <c r="G1" s="2">
        <v>45681</v>
      </c>
      <c r="H1" s="2">
        <v>45688</v>
      </c>
      <c r="I1" s="2">
        <v>45695</v>
      </c>
      <c r="J1" s="2">
        <v>45702</v>
      </c>
    </row>
    <row r="2" spans="1:11">
      <c r="A2" s="3" t="s">
        <v>17</v>
      </c>
      <c r="B2" s="4">
        <v>30560198280.420002</v>
      </c>
      <c r="C2" s="4">
        <v>31203064609.43</v>
      </c>
      <c r="D2" s="4">
        <v>32261498393.230003</v>
      </c>
      <c r="E2" s="4">
        <v>33411621797.110004</v>
      </c>
      <c r="F2" s="4">
        <v>33055654590.010002</v>
      </c>
      <c r="G2" s="4">
        <v>33667453981.210003</v>
      </c>
      <c r="H2" s="4">
        <v>34311367067.189999</v>
      </c>
      <c r="I2" s="4">
        <v>37602437204.949997</v>
      </c>
      <c r="J2" s="4">
        <v>38501630325.360001</v>
      </c>
    </row>
    <row r="3" spans="1:11">
      <c r="A3" s="3" t="s">
        <v>54</v>
      </c>
      <c r="B3" s="4">
        <v>1651994114175.4978</v>
      </c>
      <c r="C3" s="4">
        <v>1680789898381.158</v>
      </c>
      <c r="D3" s="4">
        <v>1731331455377.9688</v>
      </c>
      <c r="E3" s="4">
        <v>1796163520217.4673</v>
      </c>
      <c r="F3" s="4">
        <v>1833494333831.687</v>
      </c>
      <c r="G3" s="4">
        <v>1887272680234.0166</v>
      </c>
      <c r="H3" s="4">
        <v>1936499649559.6733</v>
      </c>
      <c r="I3" s="4">
        <v>1986545662853.3892</v>
      </c>
      <c r="J3" s="4">
        <v>2038200432744.7246</v>
      </c>
    </row>
    <row r="4" spans="1:11">
      <c r="A4" s="3" t="s">
        <v>280</v>
      </c>
      <c r="B4" s="5">
        <v>198371804922.96381</v>
      </c>
      <c r="C4" s="5">
        <v>196299640514.55566</v>
      </c>
      <c r="D4" s="5">
        <v>196558953968.70349</v>
      </c>
      <c r="E4" s="5">
        <v>198624219481.39801</v>
      </c>
      <c r="F4" s="5">
        <v>199572944900.79062</v>
      </c>
      <c r="G4" s="5">
        <v>193295117054.89386</v>
      </c>
      <c r="H4" s="5">
        <v>192710764728.50818</v>
      </c>
      <c r="I4" s="5">
        <v>192823646052.3956</v>
      </c>
      <c r="J4" s="5">
        <v>193170423716.56946</v>
      </c>
    </row>
    <row r="5" spans="1:11">
      <c r="A5" s="3" t="s">
        <v>157</v>
      </c>
      <c r="B5" s="4">
        <v>1699042162793.3723</v>
      </c>
      <c r="C5" s="4">
        <v>1708643961742.885</v>
      </c>
      <c r="D5" s="4">
        <v>1710039312371.6768</v>
      </c>
      <c r="E5" s="4">
        <v>1721273790884.4595</v>
      </c>
      <c r="F5" s="4">
        <v>1738459762464.4448</v>
      </c>
      <c r="G5" s="4">
        <v>1788025443922.3008</v>
      </c>
      <c r="H5" s="4">
        <v>1729854588802.0955</v>
      </c>
      <c r="I5" s="4">
        <v>1755642575885.7151</v>
      </c>
      <c r="J5" s="4">
        <v>1779191321733.2319</v>
      </c>
    </row>
    <row r="6" spans="1:11">
      <c r="A6" s="3" t="s">
        <v>281</v>
      </c>
      <c r="B6" s="6">
        <v>100248262192.26375</v>
      </c>
      <c r="C6" s="6">
        <v>99946034003.712875</v>
      </c>
      <c r="D6" s="6">
        <v>100165676341.88785</v>
      </c>
      <c r="E6" s="6">
        <v>100814525942.29248</v>
      </c>
      <c r="F6" s="6">
        <v>100848197035.93321</v>
      </c>
      <c r="G6" s="6">
        <v>100883151715.23096</v>
      </c>
      <c r="H6" s="6">
        <v>100943942196.36</v>
      </c>
      <c r="I6" s="6">
        <v>100952306055.92899</v>
      </c>
      <c r="J6" s="6">
        <v>101014000313.43393</v>
      </c>
    </row>
    <row r="7" spans="1:11">
      <c r="A7" s="3" t="s">
        <v>195</v>
      </c>
      <c r="B7" s="7">
        <v>54152150309.321541</v>
      </c>
      <c r="C7" s="7">
        <v>54717751907.536263</v>
      </c>
      <c r="D7" s="7">
        <v>54655185610.452072</v>
      </c>
      <c r="E7" s="7">
        <v>55198098021.346275</v>
      </c>
      <c r="F7" s="7">
        <v>54483397031.599197</v>
      </c>
      <c r="G7" s="7">
        <v>55157132700.650406</v>
      </c>
      <c r="H7" s="7">
        <v>55883226354.418106</v>
      </c>
      <c r="I7" s="7">
        <v>57357776059.173073</v>
      </c>
      <c r="J7" s="7">
        <v>58252652887.652779</v>
      </c>
    </row>
    <row r="8" spans="1:11">
      <c r="A8" s="3" t="s">
        <v>226</v>
      </c>
      <c r="B8" s="6">
        <v>5821851798.3900003</v>
      </c>
      <c r="C8" s="6">
        <v>5883795695.79</v>
      </c>
      <c r="D8" s="6">
        <v>5956758809.29</v>
      </c>
      <c r="E8" s="6">
        <v>6053117697.3000002</v>
      </c>
      <c r="F8" s="6">
        <v>6021515311.3500004</v>
      </c>
      <c r="G8" s="6">
        <v>6147393660.5699997</v>
      </c>
      <c r="H8" s="6">
        <v>6263863102.0599995</v>
      </c>
      <c r="I8" s="6">
        <v>6582585973.7099991</v>
      </c>
      <c r="J8" s="6">
        <v>6738837889.1400003</v>
      </c>
    </row>
    <row r="9" spans="1:11">
      <c r="A9" s="3" t="s">
        <v>282</v>
      </c>
      <c r="B9" s="6">
        <v>51937137539.237915</v>
      </c>
      <c r="C9" s="6">
        <v>52347055008.3237</v>
      </c>
      <c r="D9" s="6">
        <v>52524540980.356323</v>
      </c>
      <c r="E9" s="6">
        <v>52575931037.907692</v>
      </c>
      <c r="F9" s="6">
        <v>53769824668.250122</v>
      </c>
      <c r="G9" s="6">
        <v>54941389819.284477</v>
      </c>
      <c r="H9" s="6">
        <v>55353096361.686783</v>
      </c>
      <c r="I9" s="6">
        <v>53889279380.166801</v>
      </c>
      <c r="J9" s="6">
        <v>54482402721.736488</v>
      </c>
    </row>
    <row r="10" spans="1:11" ht="15.6">
      <c r="A10" s="8" t="s">
        <v>286</v>
      </c>
      <c r="B10" s="9">
        <f t="shared" ref="B10:J10" si="0">SUM(B2:B9)</f>
        <v>3792127682011.4673</v>
      </c>
      <c r="C10" s="9">
        <f t="shared" si="0"/>
        <v>3829831201863.3911</v>
      </c>
      <c r="D10" s="9">
        <f t="shared" si="0"/>
        <v>3883493381853.5654</v>
      </c>
      <c r="E10" s="9">
        <f t="shared" si="0"/>
        <v>3964114825079.2808</v>
      </c>
      <c r="F10" s="9">
        <f t="shared" si="0"/>
        <v>4019705629834.0649</v>
      </c>
      <c r="G10" s="9">
        <f t="shared" si="0"/>
        <v>4119389763088.1567</v>
      </c>
      <c r="H10" s="9">
        <f t="shared" si="0"/>
        <v>4111820498171.9917</v>
      </c>
      <c r="I10" s="9">
        <f t="shared" si="0"/>
        <v>4191396269465.4292</v>
      </c>
      <c r="J10" s="9">
        <f t="shared" si="0"/>
        <v>4269551702331.8496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287</v>
      </c>
      <c r="B12" s="127" t="s">
        <v>288</v>
      </c>
      <c r="C12" s="13">
        <f>(B10+C10)/2</f>
        <v>3810979441937.4292</v>
      </c>
      <c r="D12" s="14">
        <f t="shared" ref="D12:J12" si="1">(C10+D10)/2</f>
        <v>3856662291858.4785</v>
      </c>
      <c r="E12" s="14">
        <f t="shared" si="1"/>
        <v>3923804103466.4229</v>
      </c>
      <c r="F12" s="14">
        <f t="shared" si="1"/>
        <v>3991910227456.6729</v>
      </c>
      <c r="G12" s="14">
        <f t="shared" si="1"/>
        <v>4069547696461.1108</v>
      </c>
      <c r="H12" s="14">
        <f t="shared" si="1"/>
        <v>4115605130630.0742</v>
      </c>
      <c r="I12" s="14">
        <f t="shared" si="1"/>
        <v>4151608383818.7104</v>
      </c>
      <c r="J12" s="14">
        <f t="shared" si="1"/>
        <v>4230473985898.6396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45646</v>
      </c>
      <c r="C15" s="2">
        <v>45653</v>
      </c>
      <c r="D15" s="2">
        <v>45660</v>
      </c>
      <c r="E15" s="2">
        <v>45667</v>
      </c>
      <c r="F15" s="2">
        <v>45674</v>
      </c>
      <c r="G15" s="2">
        <v>45681</v>
      </c>
      <c r="H15" s="2">
        <v>45688</v>
      </c>
      <c r="I15" s="2">
        <v>45695</v>
      </c>
      <c r="J15" s="2">
        <v>45702</v>
      </c>
      <c r="K15" s="15"/>
    </row>
    <row r="16" spans="1:11">
      <c r="A16" s="16" t="s">
        <v>289</v>
      </c>
      <c r="B16" s="17">
        <v>12494363671.946114</v>
      </c>
      <c r="C16" s="17">
        <v>12568890044.927004</v>
      </c>
      <c r="D16" s="17">
        <v>12767135898.969397</v>
      </c>
      <c r="E16" s="17">
        <v>12486443329.167654</v>
      </c>
      <c r="F16" s="17">
        <v>13126291240.540001</v>
      </c>
      <c r="G16" s="17">
        <v>12926648581.233683</v>
      </c>
      <c r="H16" s="17">
        <v>13139930136.069998</v>
      </c>
      <c r="I16" s="17">
        <v>13518762702.094183</v>
      </c>
      <c r="J16" s="17">
        <v>13762029268.867212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6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wkhNQUVOPyCqFmf20gqb949NdJ9esPwst46ibpGDAKrLRIqeXiCc4ktjF3LRj3PMc3D2y9TafELKGRCJLL1aig==" saltValue="aNwLFE9A4L14murkYzK8R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2025-02-21T14:40:43Z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