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R30" i="1" l="1"/>
  <c r="K140" i="1" l="1"/>
  <c r="N114" i="1" l="1"/>
  <c r="M114" i="1"/>
  <c r="K114" i="1"/>
  <c r="N112" i="1" l="1"/>
  <c r="M112" i="1"/>
  <c r="K112" i="1"/>
  <c r="N119" i="1"/>
  <c r="M119" i="1"/>
  <c r="K119" i="1"/>
  <c r="N139" i="1"/>
  <c r="M139" i="1"/>
  <c r="K139" i="1"/>
  <c r="N133" i="1" l="1"/>
  <c r="M133" i="1"/>
  <c r="N113" i="1"/>
  <c r="M113" i="1"/>
  <c r="K113" i="1"/>
  <c r="N126" i="1" l="1"/>
  <c r="M126" i="1"/>
  <c r="K126" i="1"/>
  <c r="N136" i="1"/>
  <c r="M136" i="1"/>
  <c r="K136" i="1"/>
  <c r="N134" i="1" l="1"/>
  <c r="M134" i="1"/>
  <c r="K134" i="1"/>
  <c r="E111" i="1"/>
  <c r="R111" i="1"/>
  <c r="S111" i="1"/>
  <c r="T111" i="1"/>
  <c r="U111" i="1"/>
  <c r="V111" i="1"/>
  <c r="N111" i="1"/>
  <c r="M111" i="1"/>
  <c r="K111" i="1"/>
  <c r="N110" i="1"/>
  <c r="M110" i="1"/>
  <c r="K110" i="1"/>
  <c r="N109" i="1"/>
  <c r="M109" i="1"/>
  <c r="K109" i="1"/>
  <c r="N123" i="1"/>
  <c r="M123" i="1"/>
  <c r="K123" i="1"/>
  <c r="N137" i="1"/>
  <c r="M137" i="1"/>
  <c r="K137" i="1"/>
  <c r="N108" i="1"/>
  <c r="M108" i="1"/>
  <c r="K108" i="1"/>
  <c r="N120" i="1"/>
  <c r="M120" i="1"/>
  <c r="K120" i="1"/>
  <c r="N122" i="1" l="1"/>
  <c r="M122" i="1"/>
  <c r="K122" i="1"/>
  <c r="N127" i="1"/>
  <c r="M127" i="1"/>
  <c r="K127" i="1"/>
  <c r="N131" i="1" l="1"/>
  <c r="M131" i="1"/>
  <c r="K131" i="1"/>
  <c r="N121" i="1"/>
  <c r="M121" i="1"/>
  <c r="K121" i="1"/>
  <c r="N132" i="1"/>
  <c r="M132" i="1"/>
  <c r="K132" i="1"/>
  <c r="R50" i="1"/>
  <c r="N115" i="1" l="1"/>
  <c r="M115" i="1"/>
  <c r="K115" i="1"/>
  <c r="G139" i="1"/>
  <c r="F139" i="1"/>
  <c r="G137" i="1"/>
  <c r="F137" i="1"/>
  <c r="G136" i="1"/>
  <c r="F136" i="1"/>
  <c r="G134" i="1"/>
  <c r="F134" i="1"/>
  <c r="G133" i="1"/>
  <c r="F133" i="1"/>
  <c r="G132" i="1"/>
  <c r="F132" i="1"/>
  <c r="G131" i="1"/>
  <c r="F131" i="1"/>
  <c r="G130" i="1"/>
  <c r="F130" i="1"/>
  <c r="G127" i="1"/>
  <c r="F127" i="1"/>
  <c r="G126" i="1"/>
  <c r="F126" i="1"/>
  <c r="D139" i="1"/>
  <c r="D137" i="1"/>
  <c r="D136" i="1"/>
  <c r="D134" i="1"/>
  <c r="D132" i="1"/>
  <c r="D131" i="1"/>
  <c r="D127" i="1"/>
  <c r="D126" i="1"/>
  <c r="G123" i="1"/>
  <c r="F123" i="1"/>
  <c r="G122" i="1"/>
  <c r="F122" i="1"/>
  <c r="G121" i="1"/>
  <c r="F121" i="1"/>
  <c r="G120" i="1"/>
  <c r="F120" i="1"/>
  <c r="G119" i="1"/>
  <c r="F119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D123" i="1"/>
  <c r="D122" i="1"/>
  <c r="D121" i="1"/>
  <c r="D120" i="1"/>
  <c r="D119" i="1"/>
  <c r="D115" i="1"/>
  <c r="D114" i="1"/>
  <c r="D113" i="1"/>
  <c r="D112" i="1"/>
  <c r="D111" i="1"/>
  <c r="D110" i="1"/>
  <c r="D109" i="1"/>
  <c r="D108" i="1"/>
  <c r="R202" i="1" l="1"/>
  <c r="V194" i="1" l="1"/>
  <c r="U194" i="1"/>
  <c r="T194" i="1"/>
  <c r="S194" i="1"/>
  <c r="R194" i="1"/>
  <c r="R136" i="1"/>
  <c r="S136" i="1"/>
  <c r="T136" i="1"/>
  <c r="U136" i="1"/>
  <c r="V136" i="1"/>
  <c r="R6" i="1" l="1"/>
  <c r="V178" i="1" l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R89" i="1" l="1"/>
  <c r="N130" i="1" l="1"/>
  <c r="M130" i="1"/>
  <c r="V32" i="1" l="1"/>
  <c r="U32" i="1"/>
  <c r="T32" i="1"/>
  <c r="S32" i="1"/>
  <c r="R32" i="1"/>
  <c r="V72" i="1" l="1"/>
  <c r="V47" i="1" l="1"/>
  <c r="U47" i="1"/>
  <c r="T47" i="1"/>
  <c r="S47" i="1"/>
  <c r="R47" i="1"/>
  <c r="J10" i="4" l="1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G4" i="5"/>
  <c r="G3" i="5" s="1"/>
  <c r="F4" i="5"/>
  <c r="F3" i="5" s="1"/>
  <c r="V234" i="1"/>
  <c r="U234" i="1"/>
  <c r="S234" i="1"/>
  <c r="O234" i="1"/>
  <c r="K234" i="1"/>
  <c r="H234" i="1"/>
  <c r="D234" i="1"/>
  <c r="E232" i="1" s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O219" i="1"/>
  <c r="K219" i="1"/>
  <c r="L218" i="1" s="1"/>
  <c r="H219" i="1"/>
  <c r="D219" i="1"/>
  <c r="E218" i="1" s="1"/>
  <c r="V218" i="1"/>
  <c r="U218" i="1"/>
  <c r="T218" i="1"/>
  <c r="S218" i="1"/>
  <c r="R218" i="1"/>
  <c r="V217" i="1"/>
  <c r="U217" i="1"/>
  <c r="T217" i="1"/>
  <c r="S217" i="1"/>
  <c r="R217" i="1"/>
  <c r="O214" i="1"/>
  <c r="K214" i="1"/>
  <c r="L213" i="1" s="1"/>
  <c r="H214" i="1"/>
  <c r="D214" i="1"/>
  <c r="V213" i="1"/>
  <c r="U213" i="1"/>
  <c r="T213" i="1"/>
  <c r="S213" i="1"/>
  <c r="R213" i="1"/>
  <c r="V209" i="1"/>
  <c r="U209" i="1"/>
  <c r="S209" i="1"/>
  <c r="O209" i="1"/>
  <c r="K209" i="1"/>
  <c r="H209" i="1"/>
  <c r="D209" i="1"/>
  <c r="V208" i="1"/>
  <c r="U208" i="1"/>
  <c r="T208" i="1"/>
  <c r="S208" i="1"/>
  <c r="R208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3" i="1"/>
  <c r="U193" i="1"/>
  <c r="T193" i="1"/>
  <c r="S193" i="1"/>
  <c r="R193" i="1"/>
  <c r="V190" i="1"/>
  <c r="U190" i="1"/>
  <c r="T190" i="1"/>
  <c r="S190" i="1"/>
  <c r="R190" i="1"/>
  <c r="V189" i="1"/>
  <c r="U189" i="1"/>
  <c r="T189" i="1"/>
  <c r="S189" i="1"/>
  <c r="R189" i="1"/>
  <c r="V185" i="1"/>
  <c r="U185" i="1"/>
  <c r="S185" i="1"/>
  <c r="O185" i="1"/>
  <c r="K185" i="1"/>
  <c r="H185" i="1"/>
  <c r="D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79" i="1"/>
  <c r="U179" i="1"/>
  <c r="S179" i="1"/>
  <c r="O179" i="1"/>
  <c r="K179" i="1"/>
  <c r="H179" i="1"/>
  <c r="D179" i="1"/>
  <c r="V148" i="1"/>
  <c r="U148" i="1"/>
  <c r="S148" i="1"/>
  <c r="O148" i="1"/>
  <c r="K148" i="1"/>
  <c r="B6" i="3" s="1"/>
  <c r="H148" i="1"/>
  <c r="D148" i="1"/>
  <c r="E146" i="1" s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S143" i="1"/>
  <c r="R143" i="1"/>
  <c r="V140" i="1"/>
  <c r="U140" i="1"/>
  <c r="S140" i="1"/>
  <c r="O140" i="1"/>
  <c r="H140" i="1"/>
  <c r="V139" i="1"/>
  <c r="U139" i="1"/>
  <c r="T139" i="1"/>
  <c r="R139" i="1"/>
  <c r="V138" i="1"/>
  <c r="U138" i="1"/>
  <c r="T138" i="1"/>
  <c r="S138" i="1"/>
  <c r="R138" i="1"/>
  <c r="V137" i="1"/>
  <c r="U137" i="1"/>
  <c r="T137" i="1"/>
  <c r="S137" i="1"/>
  <c r="V135" i="1"/>
  <c r="U135" i="1"/>
  <c r="T135" i="1"/>
  <c r="S135" i="1"/>
  <c r="R135" i="1"/>
  <c r="V134" i="1"/>
  <c r="U134" i="1"/>
  <c r="T134" i="1"/>
  <c r="S134" i="1"/>
  <c r="V133" i="1"/>
  <c r="U133" i="1"/>
  <c r="T133" i="1"/>
  <c r="R133" i="1"/>
  <c r="S133" i="1"/>
  <c r="V132" i="1"/>
  <c r="U132" i="1"/>
  <c r="T132" i="1"/>
  <c r="S132" i="1"/>
  <c r="V131" i="1"/>
  <c r="U131" i="1"/>
  <c r="T131" i="1"/>
  <c r="S131" i="1"/>
  <c r="R131" i="1"/>
  <c r="V130" i="1"/>
  <c r="U130" i="1"/>
  <c r="T130" i="1"/>
  <c r="R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V126" i="1"/>
  <c r="U126" i="1"/>
  <c r="T126" i="1"/>
  <c r="S126" i="1"/>
  <c r="R126" i="1"/>
  <c r="V123" i="1"/>
  <c r="U123" i="1"/>
  <c r="T123" i="1"/>
  <c r="S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V113" i="1"/>
  <c r="U113" i="1"/>
  <c r="T113" i="1"/>
  <c r="S113" i="1"/>
  <c r="V112" i="1"/>
  <c r="U112" i="1"/>
  <c r="T112" i="1"/>
  <c r="S112" i="1"/>
  <c r="R112" i="1"/>
  <c r="V110" i="1"/>
  <c r="U110" i="1"/>
  <c r="T110" i="1"/>
  <c r="S110" i="1"/>
  <c r="V109" i="1"/>
  <c r="U109" i="1"/>
  <c r="T109" i="1"/>
  <c r="S109" i="1"/>
  <c r="V108" i="1"/>
  <c r="U108" i="1"/>
  <c r="T108" i="1"/>
  <c r="R108" i="1"/>
  <c r="S108" i="1"/>
  <c r="V104" i="1"/>
  <c r="U104" i="1"/>
  <c r="S104" i="1"/>
  <c r="O104" i="1"/>
  <c r="K104" i="1"/>
  <c r="L82" i="1" s="1"/>
  <c r="H104" i="1"/>
  <c r="D104" i="1"/>
  <c r="B15" i="2" s="1"/>
  <c r="B5" i="2" s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5" i="1"/>
  <c r="U65" i="1"/>
  <c r="S65" i="1"/>
  <c r="O65" i="1"/>
  <c r="K65" i="1"/>
  <c r="H65" i="1"/>
  <c r="D65" i="1"/>
  <c r="B14" i="2" s="1"/>
  <c r="B4" i="2" s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V49" i="1"/>
  <c r="U49" i="1"/>
  <c r="T49" i="1"/>
  <c r="S49" i="1"/>
  <c r="R49" i="1"/>
  <c r="V48" i="1"/>
  <c r="U48" i="1"/>
  <c r="T48" i="1"/>
  <c r="S48" i="1"/>
  <c r="R48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H24" i="1"/>
  <c r="D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57" i="1" l="1"/>
  <c r="B8" i="3"/>
  <c r="B20" i="2"/>
  <c r="B10" i="2" s="1"/>
  <c r="E194" i="1"/>
  <c r="L198" i="1"/>
  <c r="L194" i="1"/>
  <c r="E178" i="1"/>
  <c r="E166" i="1"/>
  <c r="E154" i="1"/>
  <c r="E176" i="1"/>
  <c r="E164" i="1"/>
  <c r="E152" i="1"/>
  <c r="E171" i="1"/>
  <c r="E159" i="1"/>
  <c r="E169" i="1"/>
  <c r="E174" i="1"/>
  <c r="E162" i="1"/>
  <c r="E153" i="1"/>
  <c r="E161" i="1"/>
  <c r="E167" i="1"/>
  <c r="E155" i="1"/>
  <c r="E173" i="1"/>
  <c r="E172" i="1"/>
  <c r="E160" i="1"/>
  <c r="E157" i="1"/>
  <c r="E177" i="1"/>
  <c r="E165" i="1"/>
  <c r="E170" i="1"/>
  <c r="E158" i="1"/>
  <c r="E168" i="1"/>
  <c r="E156" i="1"/>
  <c r="E175" i="1"/>
  <c r="E163" i="1"/>
  <c r="E151" i="1"/>
  <c r="L171" i="1"/>
  <c r="L159" i="1"/>
  <c r="L169" i="1"/>
  <c r="L176" i="1"/>
  <c r="L164" i="1"/>
  <c r="L152" i="1"/>
  <c r="L157" i="1"/>
  <c r="L174" i="1"/>
  <c r="L167" i="1"/>
  <c r="L155" i="1"/>
  <c r="L161" i="1"/>
  <c r="L162" i="1"/>
  <c r="L172" i="1"/>
  <c r="L160" i="1"/>
  <c r="L158" i="1"/>
  <c r="L177" i="1"/>
  <c r="L165" i="1"/>
  <c r="L153" i="1"/>
  <c r="L173" i="1"/>
  <c r="L166" i="1"/>
  <c r="L170" i="1"/>
  <c r="L154" i="1"/>
  <c r="L175" i="1"/>
  <c r="L163" i="1"/>
  <c r="L151" i="1"/>
  <c r="L168" i="1"/>
  <c r="L156" i="1"/>
  <c r="B2" i="3"/>
  <c r="L183" i="1"/>
  <c r="L32" i="1"/>
  <c r="L12" i="1"/>
  <c r="L100" i="1"/>
  <c r="L69" i="1"/>
  <c r="E14" i="1"/>
  <c r="E32" i="1"/>
  <c r="E47" i="1"/>
  <c r="L47" i="1"/>
  <c r="R214" i="1"/>
  <c r="B5" i="3"/>
  <c r="L21" i="1"/>
  <c r="L7" i="1"/>
  <c r="D4" i="5"/>
  <c r="D3" i="5" s="1"/>
  <c r="B4" i="3"/>
  <c r="L196" i="1"/>
  <c r="R234" i="1"/>
  <c r="E230" i="1"/>
  <c r="E228" i="1"/>
  <c r="E226" i="1"/>
  <c r="E8" i="1"/>
  <c r="L205" i="1"/>
  <c r="E190" i="1"/>
  <c r="T234" i="1"/>
  <c r="J12" i="4"/>
  <c r="E12" i="1"/>
  <c r="E10" i="1"/>
  <c r="E6" i="1"/>
  <c r="E18" i="1"/>
  <c r="E195" i="1"/>
  <c r="E217" i="1"/>
  <c r="E224" i="1"/>
  <c r="E82" i="1"/>
  <c r="E22" i="1"/>
  <c r="E46" i="1"/>
  <c r="E20" i="1"/>
  <c r="E16" i="1"/>
  <c r="E71" i="1"/>
  <c r="E102" i="1"/>
  <c r="E98" i="1"/>
  <c r="E74" i="1"/>
  <c r="E96" i="1"/>
  <c r="S139" i="1"/>
  <c r="E222" i="1"/>
  <c r="E233" i="1"/>
  <c r="E94" i="1"/>
  <c r="E92" i="1"/>
  <c r="E76" i="1"/>
  <c r="E68" i="1"/>
  <c r="E70" i="1"/>
  <c r="E144" i="1"/>
  <c r="T185" i="1"/>
  <c r="E88" i="1"/>
  <c r="E80" i="1"/>
  <c r="E100" i="1"/>
  <c r="E86" i="1"/>
  <c r="E69" i="1"/>
  <c r="E78" i="1"/>
  <c r="E84" i="1"/>
  <c r="L23" i="1"/>
  <c r="E91" i="1"/>
  <c r="E93" i="1"/>
  <c r="E95" i="1"/>
  <c r="E97" i="1"/>
  <c r="E99" i="1"/>
  <c r="E101" i="1"/>
  <c r="E103" i="1"/>
  <c r="E223" i="1"/>
  <c r="E225" i="1"/>
  <c r="E227" i="1"/>
  <c r="E229" i="1"/>
  <c r="E231" i="1"/>
  <c r="L19" i="1"/>
  <c r="E73" i="1"/>
  <c r="E75" i="1"/>
  <c r="E77" i="1"/>
  <c r="E79" i="1"/>
  <c r="E81" i="1"/>
  <c r="E83" i="1"/>
  <c r="E85" i="1"/>
  <c r="E87" i="1"/>
  <c r="E89" i="1"/>
  <c r="L15" i="1"/>
  <c r="T140" i="1"/>
  <c r="L11" i="1"/>
  <c r="L143" i="1"/>
  <c r="L147" i="1"/>
  <c r="L233" i="1"/>
  <c r="T65" i="1"/>
  <c r="L182" i="1"/>
  <c r="L184" i="1"/>
  <c r="E198" i="1"/>
  <c r="E200" i="1"/>
  <c r="E202" i="1"/>
  <c r="E204" i="1"/>
  <c r="T209" i="1"/>
  <c r="L6" i="1"/>
  <c r="L10" i="1"/>
  <c r="L14" i="1"/>
  <c r="L18" i="1"/>
  <c r="L22" i="1"/>
  <c r="E189" i="1"/>
  <c r="E193" i="1"/>
  <c r="E196" i="1"/>
  <c r="E208" i="1"/>
  <c r="H210" i="1"/>
  <c r="H235" i="1" s="1"/>
  <c r="R219" i="1"/>
  <c r="D140" i="1"/>
  <c r="T104" i="1"/>
  <c r="L146" i="1"/>
  <c r="T148" i="1"/>
  <c r="T179" i="1"/>
  <c r="E199" i="1"/>
  <c r="E201" i="1"/>
  <c r="E203" i="1"/>
  <c r="E205" i="1"/>
  <c r="C4" i="5"/>
  <c r="C3" i="5" s="1"/>
  <c r="D12" i="4"/>
  <c r="G12" i="4"/>
  <c r="H4" i="5"/>
  <c r="H3" i="5" s="1"/>
  <c r="I12" i="4"/>
  <c r="E90" i="1"/>
  <c r="L42" i="1"/>
  <c r="L63" i="1"/>
  <c r="L78" i="1"/>
  <c r="L102" i="1"/>
  <c r="L59" i="1"/>
  <c r="L55" i="1"/>
  <c r="L53" i="1"/>
  <c r="L61" i="1"/>
  <c r="L51" i="1"/>
  <c r="L49" i="1"/>
  <c r="E54" i="1"/>
  <c r="E56" i="1"/>
  <c r="E58" i="1"/>
  <c r="E60" i="1"/>
  <c r="E62" i="1"/>
  <c r="E64" i="1"/>
  <c r="E52" i="1"/>
  <c r="E50" i="1"/>
  <c r="E48" i="1"/>
  <c r="L193" i="1"/>
  <c r="L199" i="1"/>
  <c r="L189" i="1"/>
  <c r="L197" i="1"/>
  <c r="L201" i="1"/>
  <c r="L225" i="1"/>
  <c r="L229" i="1"/>
  <c r="L223" i="1"/>
  <c r="L227" i="1"/>
  <c r="L231" i="1"/>
  <c r="L222" i="1"/>
  <c r="L224" i="1"/>
  <c r="L226" i="1"/>
  <c r="L228" i="1"/>
  <c r="L230" i="1"/>
  <c r="L232" i="1"/>
  <c r="L86" i="1"/>
  <c r="L94" i="1"/>
  <c r="L203" i="1"/>
  <c r="L71" i="1"/>
  <c r="E72" i="1"/>
  <c r="L74" i="1"/>
  <c r="L98" i="1"/>
  <c r="L46" i="1"/>
  <c r="L76" i="1"/>
  <c r="L80" i="1"/>
  <c r="L84" i="1"/>
  <c r="L88" i="1"/>
  <c r="L92" i="1"/>
  <c r="L96" i="1"/>
  <c r="R148" i="1"/>
  <c r="L144" i="1"/>
  <c r="L145" i="1"/>
  <c r="L27" i="1"/>
  <c r="E28" i="1"/>
  <c r="L29" i="1"/>
  <c r="E30" i="1"/>
  <c r="L31" i="1"/>
  <c r="E33" i="1"/>
  <c r="L34" i="1"/>
  <c r="E35" i="1"/>
  <c r="L36" i="1"/>
  <c r="E37" i="1"/>
  <c r="L38" i="1"/>
  <c r="E39" i="1"/>
  <c r="L40" i="1"/>
  <c r="E41" i="1"/>
  <c r="E43" i="1"/>
  <c r="L44" i="1"/>
  <c r="E45" i="1"/>
  <c r="L8" i="1"/>
  <c r="L9" i="1"/>
  <c r="L13" i="1"/>
  <c r="L16" i="1"/>
  <c r="L17" i="1"/>
  <c r="L20" i="1"/>
  <c r="R179" i="1"/>
  <c r="B7" i="3"/>
  <c r="C15" i="2"/>
  <c r="C5" i="2" s="1"/>
  <c r="R110" i="1"/>
  <c r="R113" i="1"/>
  <c r="R114" i="1"/>
  <c r="R120" i="1"/>
  <c r="E7" i="1"/>
  <c r="E9" i="1"/>
  <c r="E11" i="1"/>
  <c r="E13" i="1"/>
  <c r="E15" i="1"/>
  <c r="E17" i="1"/>
  <c r="E19" i="1"/>
  <c r="E21" i="1"/>
  <c r="E23" i="1"/>
  <c r="B3" i="3"/>
  <c r="C13" i="2"/>
  <c r="C3" i="2" s="1"/>
  <c r="O210" i="1"/>
  <c r="O235" i="1" s="1"/>
  <c r="E27" i="1"/>
  <c r="L28" i="1"/>
  <c r="E29" i="1"/>
  <c r="L30" i="1"/>
  <c r="E31" i="1"/>
  <c r="L33" i="1"/>
  <c r="E34" i="1"/>
  <c r="L35" i="1"/>
  <c r="E36" i="1"/>
  <c r="L37" i="1"/>
  <c r="E38" i="1"/>
  <c r="L39" i="1"/>
  <c r="E40" i="1"/>
  <c r="L41" i="1"/>
  <c r="E42" i="1"/>
  <c r="L43" i="1"/>
  <c r="E44" i="1"/>
  <c r="L45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E63" i="1"/>
  <c r="L64" i="1"/>
  <c r="R65" i="1"/>
  <c r="L68" i="1"/>
  <c r="L70" i="1"/>
  <c r="L72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R104" i="1"/>
  <c r="R109" i="1"/>
  <c r="R123" i="1"/>
  <c r="R127" i="1"/>
  <c r="S130" i="1"/>
  <c r="B19" i="2"/>
  <c r="B9" i="2" s="1"/>
  <c r="E184" i="1"/>
  <c r="E182" i="1"/>
  <c r="B13" i="2"/>
  <c r="B3" i="2" s="1"/>
  <c r="R24" i="1"/>
  <c r="T24" i="1"/>
  <c r="C14" i="2"/>
  <c r="C4" i="2" s="1"/>
  <c r="L90" i="1"/>
  <c r="R132" i="1"/>
  <c r="R134" i="1"/>
  <c r="R137" i="1"/>
  <c r="B17" i="2"/>
  <c r="B7" i="2" s="1"/>
  <c r="E147" i="1"/>
  <c r="E145" i="1"/>
  <c r="E143" i="1"/>
  <c r="B18" i="2"/>
  <c r="B8" i="2" s="1"/>
  <c r="E183" i="1"/>
  <c r="R185" i="1"/>
  <c r="L190" i="1"/>
  <c r="L195" i="1"/>
  <c r="L200" i="1"/>
  <c r="L202" i="1"/>
  <c r="L204" i="1"/>
  <c r="L208" i="1"/>
  <c r="R209" i="1"/>
  <c r="E213" i="1"/>
  <c r="L217" i="1"/>
  <c r="C17" i="2"/>
  <c r="C7" i="2" s="1"/>
  <c r="C18" i="2"/>
  <c r="C8" i="2" s="1"/>
  <c r="C19" i="2"/>
  <c r="C9" i="2" s="1"/>
  <c r="C20" i="2"/>
  <c r="C10" i="2" s="1"/>
  <c r="L111" i="1" l="1"/>
  <c r="B9" i="3"/>
  <c r="E123" i="1"/>
  <c r="E136" i="1"/>
  <c r="L120" i="1"/>
  <c r="L136" i="1"/>
  <c r="E126" i="1"/>
  <c r="E130" i="1"/>
  <c r="E131" i="1"/>
  <c r="E122" i="1"/>
  <c r="E108" i="1"/>
  <c r="E113" i="1"/>
  <c r="E127" i="1"/>
  <c r="D210" i="1"/>
  <c r="E65" i="1" s="1"/>
  <c r="E120" i="1"/>
  <c r="E137" i="1"/>
  <c r="E128" i="1"/>
  <c r="E110" i="1"/>
  <c r="E112" i="1"/>
  <c r="E139" i="1"/>
  <c r="E134" i="1"/>
  <c r="E115" i="1"/>
  <c r="E129" i="1"/>
  <c r="E116" i="1"/>
  <c r="E133" i="1"/>
  <c r="E132" i="1"/>
  <c r="E118" i="1"/>
  <c r="E135" i="1"/>
  <c r="E119" i="1"/>
  <c r="B16" i="2"/>
  <c r="B6" i="2" s="1"/>
  <c r="E121" i="1"/>
  <c r="E117" i="1"/>
  <c r="E109" i="1"/>
  <c r="L134" i="1"/>
  <c r="K210" i="1"/>
  <c r="L140" i="1" s="1"/>
  <c r="L127" i="1"/>
  <c r="L110" i="1"/>
  <c r="C16" i="2"/>
  <c r="C6" i="2" s="1"/>
  <c r="L138" i="1"/>
  <c r="L130" i="1"/>
  <c r="L139" i="1"/>
  <c r="L135" i="1"/>
  <c r="L133" i="1"/>
  <c r="R140" i="1"/>
  <c r="L131" i="1"/>
  <c r="L129" i="1"/>
  <c r="L128" i="1"/>
  <c r="L126" i="1"/>
  <c r="L122" i="1"/>
  <c r="L118" i="1"/>
  <c r="L116" i="1"/>
  <c r="L108" i="1"/>
  <c r="L121" i="1"/>
  <c r="L119" i="1"/>
  <c r="L117" i="1"/>
  <c r="L115" i="1"/>
  <c r="L112" i="1"/>
  <c r="L109" i="1"/>
  <c r="L137" i="1"/>
  <c r="L132" i="1"/>
  <c r="L123" i="1"/>
  <c r="L113" i="1"/>
  <c r="L114" i="1"/>
  <c r="E185" i="1" l="1"/>
  <c r="E104" i="1"/>
  <c r="E179" i="1"/>
  <c r="E148" i="1"/>
  <c r="E209" i="1"/>
  <c r="D235" i="1"/>
  <c r="E24" i="1"/>
  <c r="E140" i="1"/>
  <c r="K235" i="1"/>
  <c r="R210" i="1"/>
  <c r="L185" i="1"/>
  <c r="L24" i="1"/>
  <c r="L179" i="1"/>
  <c r="L148" i="1"/>
  <c r="L65" i="1"/>
  <c r="L104" i="1"/>
  <c r="L209" i="1"/>
</calcChain>
</file>

<file path=xl/sharedStrings.xml><?xml version="1.0" encoding="utf-8"?>
<sst xmlns="http://schemas.openxmlformats.org/spreadsheetml/2006/main" count="483" uniqueCount="305">
  <si>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</si>
  <si>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</si>
  <si>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</si>
  <si>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</si>
  <si>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</si>
  <si>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</si>
  <si>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</si>
  <si>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</si>
  <si>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</si>
  <si>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</si>
  <si>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</si>
  <si>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</si>
  <si>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</si>
  <si>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</si>
  <si>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</si>
  <si>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</si>
  <si>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</si>
  <si>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</si>
  <si>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</si>
  <si>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</si>
  <si>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</si>
  <si>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</si>
  <si>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</si>
  <si>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</si>
  <si>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</si>
  <si>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</si>
  <si>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</si>
  <si>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</si>
  <si>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</si>
  <si>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</si>
  <si>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</si>
  <si>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</si>
  <si>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</si>
  <si>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</si>
  <si>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</si>
  <si>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</si>
  <si>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</si>
  <si>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</si>
  <si>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</si>
  <si>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</si>
  <si>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</si>
  <si>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</si>
  <si>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</si>
  <si>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</si>
  <si>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</si>
  <si>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</si>
  <si>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</si>
  <si>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</si>
  <si>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</si>
  <si>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</si>
  <si>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</si>
  <si>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</si>
  <si>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</si>
  <si>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</si>
  <si>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</si>
  <si>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</si>
  <si>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</si>
  <si>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</si>
  <si>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</si>
  <si>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</si>
  <si>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</si>
  <si>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</si>
  <si>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</si>
  <si>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</si>
  <si>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</si>
  <si>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</si>
  <si>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</si>
  <si>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</si>
  <si>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</si>
  <si>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</si>
  <si>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</si>
  <si>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</si>
  <si>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</si>
  <si>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</si>
  <si>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</si>
  <si>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</si>
  <si>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</si>
  <si>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</si>
  <si>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</si>
  <si>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</si>
  <si>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</si>
  <si>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</si>
  <si>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</si>
  <si>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</si>
  <si>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</si>
  <si>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</si>
  <si>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</si>
  <si>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</si>
  <si>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</si>
  <si>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</si>
  <si>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</si>
  <si>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</si>
  <si>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</si>
  <si>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</si>
  <si>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</si>
  <si>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</si>
  <si>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</si>
  <si>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</si>
  <si>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</si>
  <si>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</si>
  <si>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</si>
  <si>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</si>
  <si>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</si>
  <si>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</si>
  <si>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</si>
  <si>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</si>
  <si>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</si>
  <si>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</si>
  <si>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</si>
  <si>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</si>
  <si>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</si>
  <si>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</si>
  <si>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</si>
  <si>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</si>
  <si>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</si>
  <si>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</si>
  <si>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</si>
  <si>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</si>
  <si>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</si>
  <si>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</si>
  <si>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</si>
  <si>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</si>
  <si>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</si>
  <si>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</si>
  <si>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</si>
  <si>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</si>
  <si>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</si>
  <si>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</si>
  <si>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</si>
  <si>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</si>
  <si>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</si>
  <si>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</si>
  <si>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</si>
  <si>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</si>
  <si>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</si>
  <si>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</si>
  <si>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</si>
  <si>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</si>
  <si>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</si>
  <si>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</si>
  <si>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</si>
  <si>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</si>
  <si>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</si>
  <si>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</si>
  <si>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</si>
  <si>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</si>
  <si>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</si>
  <si>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</si>
  <si>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</si>
  <si>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</si>
  <si>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</si>
  <si>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</si>
  <si>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</si>
  <si>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</si>
  <si>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</si>
  <si>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</si>
  <si>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</si>
  <si>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</si>
  <si>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</si>
  <si>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</si>
  <si>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</si>
  <si>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</si>
  <si>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</si>
  <si>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</si>
  <si>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</si>
  <si>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</si>
  <si>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</si>
  <si>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</si>
  <si>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</si>
  <si>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</si>
  <si>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</si>
  <si>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</si>
  <si>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</si>
  <si>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</si>
  <si>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</si>
  <si>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</si>
  <si>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</si>
  <si>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</si>
  <si>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</si>
  <si>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</si>
  <si>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</si>
  <si>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</si>
  <si>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</si>
  <si>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</si>
  <si>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</si>
  <si>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</si>
  <si>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</si>
  <si>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</si>
  <si>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</si>
  <si>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</si>
  <si>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</si>
  <si>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</si>
  <si>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</si>
  <si>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</si>
  <si>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</si>
  <si>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</si>
  <si>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</si>
  <si>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</si>
  <si>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</si>
  <si>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</si>
  <si>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</si>
  <si>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</si>
  <si>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</si>
  <si>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</si>
  <si>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</si>
  <si>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</si>
  <si>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</si>
  <si>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</si>
  <si>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</si>
  <si>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</si>
  <si>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</si>
  <si>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</si>
  <si>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</si>
  <si>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</si>
  <si>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</si>
  <si>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</si>
  <si>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</si>
  <si>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</si>
  <si>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</si>
  <si>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</si>
  <si>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</si>
  <si>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</si>
  <si>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</si>
  <si>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</si>
  <si>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</si>
  <si>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</si>
  <si>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</si>
  <si>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</si>
  <si>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</si>
  <si>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</si>
  <si>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</si>
  <si>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</si>
  <si>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</si>
  <si>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</si>
  <si>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</si>
  <si>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</si>
  <si>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</si>
  <si>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</si>
  <si>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</si>
  <si>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</si>
  <si>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</si>
  <si>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</si>
  <si>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</si>
  <si>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</si>
  <si>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</si>
  <si>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</si>
  <si>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</si>
  <si>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</si>
  <si>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</si>
  <si>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</si>
  <si>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</si>
  <si>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</si>
  <si>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</si>
  <si>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</si>
  <si>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</si>
  <si>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</si>
  <si>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</si>
  <si>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</si>
  <si>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</si>
  <si>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</si>
  <si>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</si>
  <si>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</si>
  <si>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</si>
  <si>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</si>
  <si>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</si>
  <si>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</si>
  <si>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</si>
  <si>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</si>
  <si>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</si>
  <si>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</si>
  <si>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</si>
  <si>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</si>
  <si>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</si>
  <si>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</si>
  <si>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</si>
  <si>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</si>
  <si>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</si>
  <si>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</si>
  <si>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</si>
  <si>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</si>
  <si>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</si>
  <si>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</si>
  <si>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</si>
  <si>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</si>
  <si>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</si>
  <si>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</si>
  <si>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</si>
  <si>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</si>
  <si>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</si>
  <si>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</si>
  <si>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</si>
  <si>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</si>
  <si>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</si>
  <si>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</si>
  <si>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</si>
  <si>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</si>
  <si>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</si>
  <si>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NAV, Unit Price and Yield as at Week Ended January 17, 2025</t>
  </si>
  <si>
    <t>0.07%</t>
  </si>
  <si>
    <t>Week Ended January 17, 2025</t>
  </si>
  <si>
    <t>WEEKLY VALUATION REPORT OF COLLECTIVE INVESTMENT SCHEMES AS AT WEEK ENDED FRIDAY, JANUARY 24, 2025</t>
  </si>
  <si>
    <t>NAV, Unit Price and Yield as at Week Ended January 24, 2025</t>
  </si>
  <si>
    <t>NFEM RATE NG₦/US$ as at 24th January, 2025 = N1,533.263</t>
  </si>
  <si>
    <t>0.44%</t>
  </si>
  <si>
    <t>Week Ended January 24,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</si>
</sst>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6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0"/>
      <color rgb="FF555555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21" borderId="0" applyNumberFormat="0" applyBorder="0" applyAlignment="0" applyProtection="0"/>
    <xf numFmtId="0" fontId="35" fillId="0" borderId="0"/>
    <xf numFmtId="0" fontId="38" fillId="0" borderId="0"/>
    <xf numFmtId="0" fontId="36" fillId="0" borderId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189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4" fillId="2" borderId="0" xfId="0" applyFont="1" applyFill="1" applyAlignment="1">
      <alignment wrapText="1"/>
    </xf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8" fillId="16" borderId="1" xfId="1" applyFont="1" applyFill="1" applyBorder="1" applyAlignment="1">
      <alignment horizontal="right" vertical="top" wrapText="1"/>
    </xf>
    <xf numFmtId="4" fontId="28" fillId="16" borderId="1" xfId="0" applyNumberFormat="1" applyFont="1" applyFill="1" applyBorder="1" applyAlignment="1">
      <alignment horizontal="right"/>
    </xf>
    <xf numFmtId="0" fontId="29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30" fillId="0" borderId="0" xfId="0" applyFont="1"/>
    <xf numFmtId="43" fontId="0" fillId="0" borderId="0" xfId="0" applyNumberFormat="1"/>
    <xf numFmtId="0" fontId="31" fillId="0" borderId="0" xfId="0" applyFont="1"/>
    <xf numFmtId="0" fontId="25" fillId="2" borderId="0" xfId="0" applyFont="1" applyFill="1" applyAlignment="1">
      <alignment wrapText="1"/>
    </xf>
    <xf numFmtId="43" fontId="31" fillId="0" borderId="0" xfId="11" applyFont="1" applyBorder="1"/>
    <xf numFmtId="2" fontId="31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8" fillId="16" borderId="1" xfId="2" applyFont="1" applyFill="1" applyBorder="1" applyAlignment="1">
      <alignment horizontal="center"/>
    </xf>
    <xf numFmtId="4" fontId="28" fillId="16" borderId="1" xfId="0" applyNumberFormat="1" applyFont="1" applyFill="1" applyBorder="1" applyAlignment="1">
      <alignment horizontal="center"/>
    </xf>
    <xf numFmtId="10" fontId="31" fillId="0" borderId="0" xfId="2" applyNumberFormat="1" applyFont="1" applyBorder="1"/>
    <xf numFmtId="10" fontId="32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8" fillId="16" borderId="1" xfId="2" applyNumberFormat="1" applyFont="1" applyFill="1" applyBorder="1" applyAlignment="1">
      <alignment horizontal="center" vertical="top" wrapText="1"/>
    </xf>
    <xf numFmtId="166" fontId="28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top" wrapText="1"/>
    </xf>
    <xf numFmtId="4" fontId="3" fillId="2" borderId="0" xfId="0" applyNumberFormat="1" applyFont="1" applyFill="1" applyAlignment="1">
      <alignment horizontal="right"/>
    </xf>
    <xf numFmtId="0" fontId="41" fillId="8" borderId="1" xfId="0" applyFont="1" applyFill="1" applyBorder="1"/>
    <xf numFmtId="0" fontId="42" fillId="0" borderId="0" xfId="0" applyFont="1"/>
    <xf numFmtId="0" fontId="29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0" fontId="43" fillId="0" borderId="0" xfId="0" applyFont="1"/>
    <xf numFmtId="43" fontId="6" fillId="0" borderId="0" xfId="0" applyNumberFormat="1" applyFont="1"/>
    <xf numFmtId="0" fontId="8" fillId="0" borderId="0" xfId="0" applyFont="1" applyBorder="1"/>
    <xf numFmtId="0" fontId="45" fillId="0" borderId="0" xfId="0" applyFont="1" applyBorder="1" applyAlignment="1">
      <alignment horizontal="right"/>
    </xf>
    <xf numFmtId="16" fontId="45" fillId="2" borderId="0" xfId="0" applyNumberFormat="1" applyFont="1" applyFill="1" applyBorder="1" applyAlignment="1">
      <alignment horizontal="center" wrapText="1"/>
    </xf>
    <xf numFmtId="0" fontId="46" fillId="0" borderId="0" xfId="0" applyFont="1" applyBorder="1"/>
    <xf numFmtId="0" fontId="45" fillId="0" borderId="0" xfId="0" applyFont="1" applyBorder="1" applyAlignment="1">
      <alignment horizontal="right" wrapText="1"/>
    </xf>
    <xf numFmtId="4" fontId="47" fillId="2" borderId="0" xfId="0" applyNumberFormat="1" applyFont="1" applyFill="1" applyBorder="1"/>
    <xf numFmtId="4" fontId="47" fillId="2" borderId="0" xfId="0" applyNumberFormat="1" applyFont="1" applyFill="1" applyBorder="1" applyAlignment="1">
      <alignment horizontal="right"/>
    </xf>
    <xf numFmtId="164" fontId="47" fillId="2" borderId="0" xfId="1" applyFont="1" applyFill="1" applyBorder="1" applyAlignment="1">
      <alignment horizontal="right" vertical="top" wrapText="1"/>
    </xf>
    <xf numFmtId="0" fontId="48" fillId="0" borderId="0" xfId="0" applyFont="1" applyBorder="1" applyAlignment="1">
      <alignment horizontal="right" wrapText="1"/>
    </xf>
    <xf numFmtId="164" fontId="49" fillId="0" borderId="0" xfId="1" applyFont="1" applyBorder="1"/>
    <xf numFmtId="4" fontId="49" fillId="2" borderId="0" xfId="0" applyNumberFormat="1" applyFont="1" applyFill="1" applyBorder="1"/>
    <xf numFmtId="0" fontId="48" fillId="0" borderId="0" xfId="0" applyFont="1" applyBorder="1" applyAlignment="1">
      <alignment horizontal="right"/>
    </xf>
    <xf numFmtId="4" fontId="49" fillId="2" borderId="0" xfId="0" applyNumberFormat="1" applyFont="1" applyFill="1" applyBorder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50" fillId="0" borderId="0" xfId="0" applyFont="1" applyBorder="1" applyAlignment="1">
      <alignment horizontal="right"/>
    </xf>
    <xf numFmtId="4" fontId="51" fillId="2" borderId="0" xfId="0" applyNumberFormat="1" applyFont="1" applyFill="1" applyBorder="1" applyAlignment="1">
      <alignment horizontal="right"/>
    </xf>
    <xf numFmtId="4" fontId="51" fillId="2" borderId="0" xfId="0" applyNumberFormat="1" applyFont="1" applyFill="1" applyBorder="1"/>
    <xf numFmtId="0" fontId="50" fillId="0" borderId="0" xfId="0" applyFont="1" applyAlignment="1">
      <alignment horizontal="right"/>
    </xf>
    <xf numFmtId="4" fontId="51" fillId="2" borderId="0" xfId="0" applyNumberFormat="1" applyFont="1" applyFill="1"/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Border="1" applyAlignment="1">
      <alignment horizontal="right"/>
    </xf>
    <xf numFmtId="16" fontId="50" fillId="2" borderId="0" xfId="0" applyNumberFormat="1" applyFont="1" applyFill="1" applyBorder="1"/>
    <xf numFmtId="164" fontId="8" fillId="0" borderId="0" xfId="1" applyFont="1" applyBorder="1"/>
    <xf numFmtId="0" fontId="44" fillId="0" borderId="0" xfId="0" applyFont="1"/>
    <xf numFmtId="16" fontId="53" fillId="2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0" fontId="16" fillId="0" borderId="1" xfId="0" applyFont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4" fontId="16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wrapText="1"/>
    </xf>
    <xf numFmtId="49" fontId="16" fillId="0" borderId="1" xfId="0" applyNumberFormat="1" applyFont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55" fillId="0" borderId="0" xfId="0" applyFont="1"/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26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</cellXfs>
  <cellStyles count="3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17,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33.055654590010001</c:v>
                </c:pt>
                <c:pt idx="1">
                  <c:v>1833.4943338316871</c:v>
                </c:pt>
                <c:pt idx="2">
                  <c:v>199.57294490079062</c:v>
                </c:pt>
                <c:pt idx="3">
                  <c:v>1738.4597624644448</c:v>
                </c:pt>
                <c:pt idx="4">
                  <c:v>100.84819703593321</c:v>
                </c:pt>
                <c:pt idx="5" formatCode="_-* #,##0.00_-;\-* #,##0.00_-;_-* &quot;-&quot;??_-;_-@_-">
                  <c:v>54.483397031599196</c:v>
                </c:pt>
                <c:pt idx="6">
                  <c:v>6.02151531135</c:v>
                </c:pt>
                <c:pt idx="7">
                  <c:v>53.769824668250124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24,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33.667453981210002</c:v>
                </c:pt>
                <c:pt idx="1">
                  <c:v>1887.2726802340167</c:v>
                </c:pt>
                <c:pt idx="2">
                  <c:v>193.29511705489386</c:v>
                </c:pt>
                <c:pt idx="3">
                  <c:v>1788.0254439223008</c:v>
                </c:pt>
                <c:pt idx="4">
                  <c:v>100.88315171523095</c:v>
                </c:pt>
                <c:pt idx="5" formatCode="_-* #,##0.00_-;\-* #,##0.00_-;_-* &quot;-&quot;??_-;_-@_-">
                  <c:v>55.157132700650408</c:v>
                </c:pt>
                <c:pt idx="6">
                  <c:v>6.1473936605699997</c:v>
                </c:pt>
                <c:pt idx="7">
                  <c:v>54.941389819284474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24TH JANUARY,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24-Jan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6147393660.5699997</c:v>
                </c:pt>
                <c:pt idx="1">
                  <c:v>33667453981.210003</c:v>
                </c:pt>
                <c:pt idx="2" formatCode="_-* #,##0.00_-;\-* #,##0.00_-;_-* &quot;-&quot;??_-;_-@_-">
                  <c:v>54941389819.284477</c:v>
                </c:pt>
                <c:pt idx="3">
                  <c:v>55157132700.650406</c:v>
                </c:pt>
                <c:pt idx="4">
                  <c:v>100883151715.23096</c:v>
                </c:pt>
                <c:pt idx="5">
                  <c:v>193295117054.89386</c:v>
                </c:pt>
                <c:pt idx="6">
                  <c:v>1887272680234.0166</c:v>
                </c:pt>
                <c:pt idx="7">
                  <c:v>1788025443922.3008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45632</c:v>
                </c:pt>
                <c:pt idx="1">
                  <c:v>45639</c:v>
                </c:pt>
                <c:pt idx="2">
                  <c:v>45646</c:v>
                </c:pt>
                <c:pt idx="3">
                  <c:v>45653</c:v>
                </c:pt>
                <c:pt idx="4">
                  <c:v>45660</c:v>
                </c:pt>
                <c:pt idx="5">
                  <c:v>45667</c:v>
                </c:pt>
                <c:pt idx="6">
                  <c:v>45674</c:v>
                </c:pt>
                <c:pt idx="7">
                  <c:v>45681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3767.9650755489829</c:v>
                </c:pt>
                <c:pt idx="1">
                  <c:v>3751.2644931970517</c:v>
                </c:pt>
                <c:pt idx="2">
                  <c:v>3792.1276820114672</c:v>
                </c:pt>
                <c:pt idx="3">
                  <c:v>3829.831201863391</c:v>
                </c:pt>
                <c:pt idx="4">
                  <c:v>3883.4933818535656</c:v>
                </c:pt>
                <c:pt idx="5">
                  <c:v>3964.1148250792808</c:v>
                </c:pt>
                <c:pt idx="6">
                  <c:v>4019.7056298340649</c:v>
                </c:pt>
                <c:pt idx="7">
                  <c:v>4119.3897630881565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45632</c:v>
                </c:pt>
                <c:pt idx="1">
                  <c:v>45639</c:v>
                </c:pt>
                <c:pt idx="2">
                  <c:v>45646</c:v>
                </c:pt>
                <c:pt idx="3">
                  <c:v>45653</c:v>
                </c:pt>
                <c:pt idx="4">
                  <c:v>45660</c:v>
                </c:pt>
                <c:pt idx="5">
                  <c:v>45667</c:v>
                </c:pt>
                <c:pt idx="6">
                  <c:v>45674</c:v>
                </c:pt>
                <c:pt idx="7">
                  <c:v>45681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12.480727319636602</c:v>
                </c:pt>
                <c:pt idx="1">
                  <c:v>12.494363671946113</c:v>
                </c:pt>
                <c:pt idx="2">
                  <c:v>12.568890044927004</c:v>
                </c:pt>
                <c:pt idx="3">
                  <c:v>12.767135898969396</c:v>
                </c:pt>
                <c:pt idx="4">
                  <c:v>12.486443329167654</c:v>
                </c:pt>
                <c:pt idx="5">
                  <c:v>13.126291240540001</c:v>
                </c:pt>
                <c:pt idx="6">
                  <c:v>12.926648581233682</c:v>
                </c:pt>
                <c:pt idx="7">
                  <c:v>13.139930136069998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2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76" t="s">
        <v>300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5" ht="15" customHeight="1">
      <c r="A2" s="23"/>
      <c r="B2" s="24"/>
      <c r="C2" s="130"/>
      <c r="D2" s="177" t="s">
        <v>297</v>
      </c>
      <c r="E2" s="177"/>
      <c r="F2" s="177"/>
      <c r="G2" s="177"/>
      <c r="H2" s="177"/>
      <c r="I2" s="177"/>
      <c r="J2" s="177"/>
      <c r="K2" s="177" t="s">
        <v>301</v>
      </c>
      <c r="L2" s="177"/>
      <c r="M2" s="177"/>
      <c r="N2" s="177"/>
      <c r="O2" s="177"/>
      <c r="P2" s="177"/>
      <c r="Q2" s="177"/>
      <c r="R2" s="177" t="s">
        <v>0</v>
      </c>
      <c r="S2" s="177"/>
      <c r="T2" s="177"/>
      <c r="U2" s="177" t="s">
        <v>1</v>
      </c>
      <c r="V2" s="177"/>
    </row>
    <row r="3" spans="1:25" ht="20.399999999999999">
      <c r="A3" s="25" t="s">
        <v>2</v>
      </c>
      <c r="B3" s="26" t="s">
        <v>3</v>
      </c>
      <c r="C3" s="27" t="s">
        <v>4</v>
      </c>
      <c r="D3" s="28" t="s">
        <v>5</v>
      </c>
      <c r="E3" s="29" t="s">
        <v>6</v>
      </c>
      <c r="F3" s="128" t="s">
        <v>291</v>
      </c>
      <c r="G3" s="29" t="s">
        <v>8</v>
      </c>
      <c r="H3" s="29" t="s">
        <v>9</v>
      </c>
      <c r="I3" s="29" t="s">
        <v>10</v>
      </c>
      <c r="J3" s="29" t="s">
        <v>11</v>
      </c>
      <c r="K3" s="52" t="s">
        <v>5</v>
      </c>
      <c r="L3" s="29" t="s">
        <v>6</v>
      </c>
      <c r="M3" s="29" t="s">
        <v>7</v>
      </c>
      <c r="N3" s="29" t="s">
        <v>8</v>
      </c>
      <c r="O3" s="29" t="s">
        <v>9</v>
      </c>
      <c r="P3" s="29" t="s">
        <v>10</v>
      </c>
      <c r="Q3" s="29" t="s">
        <v>11</v>
      </c>
      <c r="R3" s="28" t="s">
        <v>12</v>
      </c>
      <c r="S3" s="29" t="s">
        <v>13</v>
      </c>
      <c r="T3" s="29" t="s">
        <v>14</v>
      </c>
      <c r="U3" s="29" t="s">
        <v>15</v>
      </c>
      <c r="V3" s="29" t="s">
        <v>16</v>
      </c>
    </row>
    <row r="4" spans="1:25" ht="5.25" customHeight="1">
      <c r="A4" s="30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5" spans="1:25" ht="15" customHeight="1">
      <c r="A5" s="179" t="s">
        <v>17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</row>
    <row r="6" spans="1:25">
      <c r="A6" s="171">
        <v>1</v>
      </c>
      <c r="B6" s="167" t="s">
        <v>18</v>
      </c>
      <c r="C6" s="168" t="s">
        <v>19</v>
      </c>
      <c r="D6" s="31">
        <v>1406467411.3699999</v>
      </c>
      <c r="E6" s="32">
        <f t="shared" ref="E6:E23" si="0">(D6/$D$24)</f>
        <v>4.2548466482193306E-2</v>
      </c>
      <c r="F6" s="33">
        <v>402.37729999999999</v>
      </c>
      <c r="G6" s="33">
        <v>402.37729999999999</v>
      </c>
      <c r="H6" s="34">
        <v>1948</v>
      </c>
      <c r="I6" s="53">
        <v>-6.1000000000000004E-3</v>
      </c>
      <c r="J6" s="53">
        <v>1.2200000000000001E-2</v>
      </c>
      <c r="K6" s="31">
        <v>1431203739.7</v>
      </c>
      <c r="L6" s="32">
        <f>(K6/$K$24)</f>
        <v>4.2510008048091873E-2</v>
      </c>
      <c r="M6" s="33">
        <v>407.56139999999999</v>
      </c>
      <c r="N6" s="33">
        <v>407.56139999999999</v>
      </c>
      <c r="O6" s="34">
        <v>1816</v>
      </c>
      <c r="P6" s="53">
        <v>1.29E-2</v>
      </c>
      <c r="Q6" s="53">
        <v>2.53E-2</v>
      </c>
      <c r="R6" s="59">
        <f>((K6-D6)/D6)</f>
        <v>1.7587558822927299E-2</v>
      </c>
      <c r="S6" s="59">
        <f>((N6-G6)/G6)</f>
        <v>1.2883679074341422E-2</v>
      </c>
      <c r="T6" s="59">
        <f>((O6-H6)/H6)</f>
        <v>-6.7761806981519512E-2</v>
      </c>
      <c r="U6" s="60">
        <f>P6-I6</f>
        <v>1.9E-2</v>
      </c>
      <c r="V6" s="61">
        <f>Q6-J6</f>
        <v>1.3099999999999999E-2</v>
      </c>
    </row>
    <row r="7" spans="1:25">
      <c r="A7" s="171">
        <v>2</v>
      </c>
      <c r="B7" s="167" t="s">
        <v>20</v>
      </c>
      <c r="C7" s="168" t="s">
        <v>21</v>
      </c>
      <c r="D7" s="35">
        <v>628407111.74000001</v>
      </c>
      <c r="E7" s="32">
        <f t="shared" si="0"/>
        <v>1.9010578357444345E-2</v>
      </c>
      <c r="F7" s="35">
        <v>259.33929999999998</v>
      </c>
      <c r="G7" s="35">
        <v>262.27910000000003</v>
      </c>
      <c r="H7" s="34">
        <v>461</v>
      </c>
      <c r="I7" s="53">
        <v>-1.06E-3</v>
      </c>
      <c r="J7" s="53">
        <v>7.1000000000000004E-3</v>
      </c>
      <c r="K7" s="35">
        <v>644940485.29999995</v>
      </c>
      <c r="L7" s="32">
        <f t="shared" ref="L7:L23" si="1">(K7/$K$24)</f>
        <v>1.9156200099358416E-2</v>
      </c>
      <c r="M7" s="35">
        <v>265.7414</v>
      </c>
      <c r="N7" s="35">
        <v>268.77300000000002</v>
      </c>
      <c r="O7" s="34">
        <v>463</v>
      </c>
      <c r="P7" s="53">
        <v>1.1953999999999999E-2</v>
      </c>
      <c r="Q7" s="53">
        <v>7.1000000000000004E-3</v>
      </c>
      <c r="R7" s="59">
        <f t="shared" ref="R7:R24" si="2">((K7-D7)/D7)</f>
        <v>2.6309972072436596E-2</v>
      </c>
      <c r="S7" s="59">
        <f t="shared" ref="S7:S24" si="3">((N7-G7)/G7)</f>
        <v>2.4759502377429219E-2</v>
      </c>
      <c r="T7" s="59">
        <f t="shared" ref="T7:T24" si="4">((O7-H7)/H7)</f>
        <v>4.3383947939262474E-3</v>
      </c>
      <c r="U7" s="60">
        <f t="shared" ref="U7:U24" si="5">P7-I7</f>
        <v>1.3014E-2</v>
      </c>
      <c r="V7" s="61">
        <f t="shared" ref="V7:V24" si="6">Q7-J7</f>
        <v>0</v>
      </c>
    </row>
    <row r="8" spans="1:25">
      <c r="A8" s="171">
        <v>3</v>
      </c>
      <c r="B8" s="167" t="s">
        <v>22</v>
      </c>
      <c r="C8" s="168" t="s">
        <v>23</v>
      </c>
      <c r="D8" s="35">
        <v>3828407776.29</v>
      </c>
      <c r="E8" s="32">
        <f t="shared" si="0"/>
        <v>0.11581703111839182</v>
      </c>
      <c r="F8" s="35">
        <v>34.864100000000001</v>
      </c>
      <c r="G8" s="35">
        <v>35.915300000000002</v>
      </c>
      <c r="H8" s="36">
        <v>6621</v>
      </c>
      <c r="I8" s="54">
        <v>-2.0491000000000001</v>
      </c>
      <c r="J8" s="54">
        <v>-0.3579</v>
      </c>
      <c r="K8" s="35">
        <v>3916589610.5100002</v>
      </c>
      <c r="L8" s="32">
        <f t="shared" si="1"/>
        <v>0.11633162438406751</v>
      </c>
      <c r="M8" s="35">
        <v>35.524700000000003</v>
      </c>
      <c r="N8" s="35">
        <v>36.595799999999997</v>
      </c>
      <c r="O8" s="36">
        <v>6626</v>
      </c>
      <c r="P8" s="54">
        <v>0.98799999999999999</v>
      </c>
      <c r="Q8" s="54">
        <v>2.9899999999999999E-2</v>
      </c>
      <c r="R8" s="59">
        <f t="shared" si="2"/>
        <v>2.3033553208758432E-2</v>
      </c>
      <c r="S8" s="59">
        <f t="shared" si="3"/>
        <v>1.8947356697563294E-2</v>
      </c>
      <c r="T8" s="59">
        <f t="shared" si="4"/>
        <v>7.5517293460202384E-4</v>
      </c>
      <c r="U8" s="60">
        <f t="shared" si="5"/>
        <v>3.0371000000000001</v>
      </c>
      <c r="V8" s="61">
        <f t="shared" si="6"/>
        <v>0.38779999999999998</v>
      </c>
      <c r="X8" s="62"/>
      <c r="Y8" s="62"/>
    </row>
    <row r="9" spans="1:25">
      <c r="A9" s="171">
        <v>4</v>
      </c>
      <c r="B9" s="167" t="s">
        <v>24</v>
      </c>
      <c r="C9" s="168" t="s">
        <v>25</v>
      </c>
      <c r="D9" s="35">
        <v>626673742.29999995</v>
      </c>
      <c r="E9" s="32">
        <f t="shared" si="0"/>
        <v>1.8958140447455901E-2</v>
      </c>
      <c r="F9" s="35">
        <v>217.92320000000001</v>
      </c>
      <c r="G9" s="35">
        <v>217.92320000000001</v>
      </c>
      <c r="H9" s="34">
        <v>1897</v>
      </c>
      <c r="I9" s="53">
        <v>-2.0899999999999998E-2</v>
      </c>
      <c r="J9" s="53">
        <v>-4.7999999999999996E-3</v>
      </c>
      <c r="K9" s="35">
        <v>644711969.34000003</v>
      </c>
      <c r="L9" s="32">
        <f t="shared" si="1"/>
        <v>1.914941265531446E-2</v>
      </c>
      <c r="M9" s="35">
        <v>220.8142</v>
      </c>
      <c r="N9" s="35">
        <v>220.8142</v>
      </c>
      <c r="O9" s="34">
        <v>1899</v>
      </c>
      <c r="P9" s="53">
        <v>1.3299999999999999E-2</v>
      </c>
      <c r="Q9" s="53">
        <v>8.3999999999999995E-3</v>
      </c>
      <c r="R9" s="59">
        <f t="shared" si="2"/>
        <v>2.8784079852774265E-2</v>
      </c>
      <c r="S9" s="59">
        <f t="shared" si="3"/>
        <v>1.3266141466351408E-2</v>
      </c>
      <c r="T9" s="59">
        <f t="shared" si="4"/>
        <v>1.0542962572482868E-3</v>
      </c>
      <c r="U9" s="60">
        <f t="shared" si="5"/>
        <v>3.4199999999999994E-2</v>
      </c>
      <c r="V9" s="61">
        <f t="shared" si="6"/>
        <v>1.32E-2</v>
      </c>
    </row>
    <row r="10" spans="1:25">
      <c r="A10" s="171">
        <v>5</v>
      </c>
      <c r="B10" s="167" t="s">
        <v>26</v>
      </c>
      <c r="C10" s="168" t="s">
        <v>27</v>
      </c>
      <c r="D10" s="35">
        <v>954436728.55999994</v>
      </c>
      <c r="E10" s="32">
        <f t="shared" si="0"/>
        <v>2.8873629652714471E-2</v>
      </c>
      <c r="F10" s="35">
        <v>1.2177</v>
      </c>
      <c r="G10" s="35">
        <v>1.2330000000000001</v>
      </c>
      <c r="H10" s="34">
        <v>494</v>
      </c>
      <c r="I10" s="53">
        <v>-3.4299999999999997E-2</v>
      </c>
      <c r="J10" s="53">
        <v>-1.7000000000000001E-2</v>
      </c>
      <c r="K10" s="35">
        <v>971485856.99000001</v>
      </c>
      <c r="L10" s="32">
        <f t="shared" si="1"/>
        <v>2.8855340755264469E-2</v>
      </c>
      <c r="M10" s="35">
        <v>1.2472000000000001</v>
      </c>
      <c r="N10" s="35">
        <v>1.2628999999999999</v>
      </c>
      <c r="O10" s="34">
        <v>493</v>
      </c>
      <c r="P10" s="53">
        <v>1.7999999999999999E-2</v>
      </c>
      <c r="Q10" s="53">
        <v>6.7999999999999996E-3</v>
      </c>
      <c r="R10" s="59">
        <f t="shared" si="2"/>
        <v>1.7863026348245027E-2</v>
      </c>
      <c r="S10" s="59">
        <f t="shared" si="3"/>
        <v>2.424979724249782E-2</v>
      </c>
      <c r="T10" s="59">
        <f t="shared" si="4"/>
        <v>-2.0242914979757085E-3</v>
      </c>
      <c r="U10" s="60">
        <f t="shared" si="5"/>
        <v>5.2299999999999999E-2</v>
      </c>
      <c r="V10" s="61">
        <f t="shared" si="6"/>
        <v>2.3800000000000002E-2</v>
      </c>
    </row>
    <row r="11" spans="1:25">
      <c r="A11" s="171">
        <v>6</v>
      </c>
      <c r="B11" s="167" t="s">
        <v>28</v>
      </c>
      <c r="C11" s="168" t="s">
        <v>29</v>
      </c>
      <c r="D11" s="37">
        <v>96433645.829999998</v>
      </c>
      <c r="E11" s="32">
        <f t="shared" si="0"/>
        <v>2.9173116377838705E-3</v>
      </c>
      <c r="F11" s="35">
        <v>173.94300000000001</v>
      </c>
      <c r="G11" s="35">
        <v>174.7568</v>
      </c>
      <c r="H11" s="36">
        <v>63</v>
      </c>
      <c r="I11" s="54">
        <v>3.8200000000000002E-4</v>
      </c>
      <c r="J11" s="54">
        <v>1.2E-2</v>
      </c>
      <c r="K11" s="37">
        <v>96540572.590000004</v>
      </c>
      <c r="L11" s="32">
        <f t="shared" si="1"/>
        <v>2.8674747025385361E-3</v>
      </c>
      <c r="M11" s="35">
        <v>174.2003</v>
      </c>
      <c r="N11" s="35">
        <v>175.0179</v>
      </c>
      <c r="O11" s="36">
        <v>64</v>
      </c>
      <c r="P11" s="54">
        <v>6.5750000000000001E-3</v>
      </c>
      <c r="Q11" s="54">
        <v>1.35E-2</v>
      </c>
      <c r="R11" s="59">
        <f t="shared" si="2"/>
        <v>1.1088117542346512E-3</v>
      </c>
      <c r="S11" s="59">
        <f t="shared" si="3"/>
        <v>1.4940763392325735E-3</v>
      </c>
      <c r="T11" s="59">
        <f t="shared" si="4"/>
        <v>1.5873015873015872E-2</v>
      </c>
      <c r="U11" s="60">
        <f t="shared" si="5"/>
        <v>6.1929999999999997E-3</v>
      </c>
      <c r="V11" s="61">
        <f t="shared" si="6"/>
        <v>1.4999999999999996E-3</v>
      </c>
    </row>
    <row r="12" spans="1:25">
      <c r="A12" s="171">
        <v>7</v>
      </c>
      <c r="B12" s="167" t="s">
        <v>30</v>
      </c>
      <c r="C12" s="168" t="s">
        <v>31</v>
      </c>
      <c r="D12" s="35">
        <v>1218645810</v>
      </c>
      <c r="E12" s="32">
        <f t="shared" si="0"/>
        <v>3.6866485480771455E-2</v>
      </c>
      <c r="F12" s="35">
        <v>332.58</v>
      </c>
      <c r="G12" s="35">
        <v>336.31</v>
      </c>
      <c r="H12" s="36">
        <v>1650</v>
      </c>
      <c r="I12" s="54">
        <v>-5.4999999999999997E-3</v>
      </c>
      <c r="J12" s="54">
        <v>2.7099999999999999E-2</v>
      </c>
      <c r="K12" s="35">
        <v>1229944504.9100001</v>
      </c>
      <c r="L12" s="32">
        <f t="shared" si="1"/>
        <v>3.6532150770784123E-2</v>
      </c>
      <c r="M12" s="35">
        <v>335.72</v>
      </c>
      <c r="N12" s="35">
        <v>339.61</v>
      </c>
      <c r="O12" s="36">
        <v>1656</v>
      </c>
      <c r="P12" s="54">
        <v>9.5999999999999992E-3</v>
      </c>
      <c r="Q12" s="54">
        <v>3.6799999999999999E-2</v>
      </c>
      <c r="R12" s="59">
        <f t="shared" si="2"/>
        <v>9.2715166435439391E-3</v>
      </c>
      <c r="S12" s="59">
        <f t="shared" si="3"/>
        <v>9.8123754869019995E-3</v>
      </c>
      <c r="T12" s="59">
        <f t="shared" si="4"/>
        <v>3.6363636363636364E-3</v>
      </c>
      <c r="U12" s="60">
        <f t="shared" si="5"/>
        <v>1.5099999999999999E-2</v>
      </c>
      <c r="V12" s="61">
        <f t="shared" si="6"/>
        <v>9.7000000000000003E-3</v>
      </c>
    </row>
    <row r="13" spans="1:25">
      <c r="A13" s="171">
        <v>8</v>
      </c>
      <c r="B13" s="167" t="s">
        <v>32</v>
      </c>
      <c r="C13" s="168" t="s">
        <v>33</v>
      </c>
      <c r="D13" s="31">
        <v>437701087.44</v>
      </c>
      <c r="E13" s="32">
        <f t="shared" si="0"/>
        <v>1.3241337764107715E-2</v>
      </c>
      <c r="F13" s="35">
        <v>216.52</v>
      </c>
      <c r="G13" s="35">
        <v>225.72</v>
      </c>
      <c r="H13" s="34">
        <v>2466</v>
      </c>
      <c r="I13" s="53">
        <v>-4.1999999999999997E-3</v>
      </c>
      <c r="J13" s="53">
        <v>0.72240000000000004</v>
      </c>
      <c r="K13" s="31">
        <v>446030823.42000002</v>
      </c>
      <c r="L13" s="32">
        <f t="shared" si="1"/>
        <v>1.3248130484382108E-2</v>
      </c>
      <c r="M13" s="35">
        <v>223.6</v>
      </c>
      <c r="N13" s="35">
        <v>233.3</v>
      </c>
      <c r="O13" s="34">
        <v>2466</v>
      </c>
      <c r="P13" s="53">
        <v>-4.1999999999999997E-3</v>
      </c>
      <c r="Q13" s="53">
        <v>0.72240000000000004</v>
      </c>
      <c r="R13" s="59">
        <f t="shared" si="2"/>
        <v>1.9030649498082086E-2</v>
      </c>
      <c r="S13" s="59">
        <f t="shared" si="3"/>
        <v>3.3581428318270476E-2</v>
      </c>
      <c r="T13" s="59">
        <f t="shared" si="4"/>
        <v>0</v>
      </c>
      <c r="U13" s="60">
        <f t="shared" si="5"/>
        <v>0</v>
      </c>
      <c r="V13" s="61">
        <f t="shared" si="6"/>
        <v>0</v>
      </c>
    </row>
    <row r="14" spans="1:25">
      <c r="A14" s="171">
        <v>9</v>
      </c>
      <c r="B14" s="167" t="s">
        <v>34</v>
      </c>
      <c r="C14" s="168" t="s">
        <v>35</v>
      </c>
      <c r="D14" s="37">
        <v>62450314.649999999</v>
      </c>
      <c r="E14" s="32">
        <f t="shared" si="0"/>
        <v>1.8892475561162712E-3</v>
      </c>
      <c r="F14" s="35">
        <v>222.33</v>
      </c>
      <c r="G14" s="35">
        <v>229.45</v>
      </c>
      <c r="H14" s="34">
        <v>16</v>
      </c>
      <c r="I14" s="53">
        <v>-1.46E-2</v>
      </c>
      <c r="J14" s="53">
        <v>1.6799999999999999E-2</v>
      </c>
      <c r="K14" s="37">
        <v>63647334.299999997</v>
      </c>
      <c r="L14" s="32">
        <f t="shared" si="1"/>
        <v>1.8904706704439824E-3</v>
      </c>
      <c r="M14" s="35">
        <v>226.6</v>
      </c>
      <c r="N14" s="35">
        <v>233.84</v>
      </c>
      <c r="O14" s="34">
        <v>16</v>
      </c>
      <c r="P14" s="53">
        <v>1.9199999999999998E-2</v>
      </c>
      <c r="Q14" s="53">
        <v>3.6299999999999999E-2</v>
      </c>
      <c r="R14" s="59">
        <f t="shared" si="2"/>
        <v>1.9167551944432013E-2</v>
      </c>
      <c r="S14" s="59">
        <f t="shared" si="3"/>
        <v>1.9132708651122314E-2</v>
      </c>
      <c r="T14" s="59">
        <f t="shared" si="4"/>
        <v>0</v>
      </c>
      <c r="U14" s="60">
        <f t="shared" si="5"/>
        <v>3.3799999999999997E-2</v>
      </c>
      <c r="V14" s="61">
        <f t="shared" si="6"/>
        <v>1.95E-2</v>
      </c>
    </row>
    <row r="15" spans="1:25" ht="14.25" customHeight="1">
      <c r="A15" s="171">
        <v>10</v>
      </c>
      <c r="B15" s="167" t="s">
        <v>36</v>
      </c>
      <c r="C15" s="168" t="s">
        <v>37</v>
      </c>
      <c r="D15" s="31">
        <v>640029484.34000003</v>
      </c>
      <c r="E15" s="32">
        <f t="shared" si="0"/>
        <v>1.9362178491949399E-2</v>
      </c>
      <c r="F15" s="35">
        <v>2.2047119999999998</v>
      </c>
      <c r="G15" s="35">
        <v>2.2352910000000001</v>
      </c>
      <c r="H15" s="34">
        <v>479</v>
      </c>
      <c r="I15" s="53">
        <v>8.4487483310393685E-3</v>
      </c>
      <c r="J15" s="53">
        <v>5.2535796859357609E-2</v>
      </c>
      <c r="K15" s="31">
        <v>641688423.24000001</v>
      </c>
      <c r="L15" s="32">
        <f t="shared" si="1"/>
        <v>1.9059606455484573E-2</v>
      </c>
      <c r="M15" s="35">
        <v>2.2235990000000001</v>
      </c>
      <c r="N15" s="35">
        <v>2.2553709999999998</v>
      </c>
      <c r="O15" s="34">
        <v>479</v>
      </c>
      <c r="P15" s="53">
        <v>8.5666517894402716E-3</v>
      </c>
      <c r="Q15" s="53">
        <v>6.1552504526972696E-2</v>
      </c>
      <c r="R15" s="59">
        <f t="shared" si="2"/>
        <v>2.5919726209342963E-3</v>
      </c>
      <c r="S15" s="59">
        <f t="shared" si="3"/>
        <v>8.9831704238954365E-3</v>
      </c>
      <c r="T15" s="59">
        <f t="shared" si="4"/>
        <v>0</v>
      </c>
      <c r="U15" s="60">
        <f t="shared" si="5"/>
        <v>1.1790345840090311E-4</v>
      </c>
      <c r="V15" s="61">
        <f t="shared" si="6"/>
        <v>9.016707667615087E-3</v>
      </c>
    </row>
    <row r="16" spans="1:25" ht="14.25" customHeight="1">
      <c r="A16" s="171">
        <v>11</v>
      </c>
      <c r="B16" s="167" t="s">
        <v>38</v>
      </c>
      <c r="C16" s="168" t="s">
        <v>39</v>
      </c>
      <c r="D16" s="31">
        <v>16650468.1</v>
      </c>
      <c r="E16" s="32">
        <f t="shared" si="0"/>
        <v>5.0371013088429547E-4</v>
      </c>
      <c r="F16" s="35">
        <v>14.37</v>
      </c>
      <c r="G16" s="35">
        <v>15.2</v>
      </c>
      <c r="H16" s="34">
        <v>28</v>
      </c>
      <c r="I16" s="53">
        <v>0.1229</v>
      </c>
      <c r="J16" s="53">
        <v>0.11967999999999999</v>
      </c>
      <c r="K16" s="31">
        <v>16643946.17</v>
      </c>
      <c r="L16" s="32">
        <f t="shared" si="1"/>
        <v>4.9436307774532282E-4</v>
      </c>
      <c r="M16" s="35">
        <v>14.05</v>
      </c>
      <c r="N16" s="35">
        <v>14.87</v>
      </c>
      <c r="O16" s="34">
        <v>28</v>
      </c>
      <c r="P16" s="53">
        <v>8.9399999999999993E-2</v>
      </c>
      <c r="Q16" s="53">
        <v>1.1079000000000001</v>
      </c>
      <c r="R16" s="59">
        <f t="shared" ref="R16" si="7">((K16-D16)/D16)</f>
        <v>-3.9169649530752245E-4</v>
      </c>
      <c r="S16" s="59">
        <f t="shared" ref="S16" si="8">((N16-G16)/G16)</f>
        <v>-2.1710526315789479E-2</v>
      </c>
      <c r="T16" s="59">
        <f t="shared" ref="T16" si="9">((O16-H16)/H16)</f>
        <v>0</v>
      </c>
      <c r="U16" s="60">
        <f t="shared" ref="U16" si="10">P16-I16</f>
        <v>-3.3500000000000002E-2</v>
      </c>
      <c r="V16" s="61">
        <f t="shared" ref="V16" si="11">Q16-J16</f>
        <v>0.9882200000000001</v>
      </c>
    </row>
    <row r="17" spans="1:22">
      <c r="A17" s="171">
        <v>12</v>
      </c>
      <c r="B17" s="167" t="s">
        <v>40</v>
      </c>
      <c r="C17" s="168" t="s">
        <v>41</v>
      </c>
      <c r="D17" s="133">
        <v>1770206645.5899999</v>
      </c>
      <c r="E17" s="32">
        <f t="shared" si="0"/>
        <v>5.3552309507886357E-2</v>
      </c>
      <c r="F17" s="35">
        <v>3.6</v>
      </c>
      <c r="G17" s="35">
        <v>3.68</v>
      </c>
      <c r="H17" s="34">
        <v>3659</v>
      </c>
      <c r="I17" s="53">
        <v>-3.6299999999999999E-2</v>
      </c>
      <c r="J17" s="53">
        <v>-0.01</v>
      </c>
      <c r="K17" s="133">
        <v>1817857858.76</v>
      </c>
      <c r="L17" s="32">
        <f t="shared" si="1"/>
        <v>5.3994515289886691E-2</v>
      </c>
      <c r="M17" s="35">
        <v>3.7</v>
      </c>
      <c r="N17" s="35">
        <v>3.78</v>
      </c>
      <c r="O17" s="34">
        <v>3659</v>
      </c>
      <c r="P17" s="53">
        <v>1.6199999999999999E-2</v>
      </c>
      <c r="Q17" s="53">
        <v>1.67E-2</v>
      </c>
      <c r="R17" s="59">
        <f t="shared" si="2"/>
        <v>2.6918446661981767E-2</v>
      </c>
      <c r="S17" s="59">
        <f t="shared" si="3"/>
        <v>2.7173913043478163E-2</v>
      </c>
      <c r="T17" s="59">
        <f t="shared" si="4"/>
        <v>0</v>
      </c>
      <c r="U17" s="60">
        <f t="shared" si="5"/>
        <v>5.2499999999999998E-2</v>
      </c>
      <c r="V17" s="61">
        <f t="shared" si="6"/>
        <v>2.6700000000000002E-2</v>
      </c>
    </row>
    <row r="18" spans="1:22">
      <c r="A18" s="171">
        <v>13</v>
      </c>
      <c r="B18" s="167" t="s">
        <v>42</v>
      </c>
      <c r="C18" s="168" t="s">
        <v>43</v>
      </c>
      <c r="D18" s="35">
        <v>835256650.60000002</v>
      </c>
      <c r="E18" s="32">
        <f t="shared" si="0"/>
        <v>2.5268192717999578E-2</v>
      </c>
      <c r="F18" s="35">
        <v>24.886125</v>
      </c>
      <c r="G18" s="35">
        <v>25.012715</v>
      </c>
      <c r="H18" s="34">
        <v>416</v>
      </c>
      <c r="I18" s="53">
        <v>-5.1378300536413235E-3</v>
      </c>
      <c r="J18" s="53">
        <v>2.4440940284358836E-2</v>
      </c>
      <c r="K18" s="35">
        <v>896426026.05999994</v>
      </c>
      <c r="L18" s="32">
        <f t="shared" si="1"/>
        <v>2.6625892963581397E-2</v>
      </c>
      <c r="M18" s="35">
        <v>25.398944</v>
      </c>
      <c r="N18" s="35">
        <v>25.476924</v>
      </c>
      <c r="O18" s="34">
        <v>419</v>
      </c>
      <c r="P18" s="53">
        <v>2.0606623168532678E-2</v>
      </c>
      <c r="Q18" s="53">
        <v>4.5551208699216028E-2</v>
      </c>
      <c r="R18" s="59">
        <f t="shared" si="2"/>
        <v>7.3234227367192331E-2</v>
      </c>
      <c r="S18" s="59">
        <f t="shared" si="3"/>
        <v>1.8558920932813583E-2</v>
      </c>
      <c r="T18" s="59">
        <f t="shared" si="4"/>
        <v>7.2115384615384619E-3</v>
      </c>
      <c r="U18" s="60">
        <f t="shared" si="5"/>
        <v>2.5744453222174002E-2</v>
      </c>
      <c r="V18" s="61">
        <f t="shared" si="6"/>
        <v>2.1110268414857192E-2</v>
      </c>
    </row>
    <row r="19" spans="1:22">
      <c r="A19" s="171">
        <v>14</v>
      </c>
      <c r="B19" s="167" t="s">
        <v>44</v>
      </c>
      <c r="C19" s="168" t="s">
        <v>45</v>
      </c>
      <c r="D19" s="35">
        <v>123809114.59</v>
      </c>
      <c r="E19" s="32">
        <f t="shared" si="0"/>
        <v>3.7454745980863829E-3</v>
      </c>
      <c r="F19" s="35">
        <v>1.337534</v>
      </c>
      <c r="G19" s="35">
        <v>1.390428</v>
      </c>
      <c r="H19" s="34">
        <v>22</v>
      </c>
      <c r="I19" s="53">
        <v>-4.4999999999999998E-2</v>
      </c>
      <c r="J19" s="53">
        <v>-0.37159999999999999</v>
      </c>
      <c r="K19" s="35">
        <v>125325343.79000001</v>
      </c>
      <c r="L19" s="32">
        <f t="shared" si="1"/>
        <v>3.7224479124541104E-3</v>
      </c>
      <c r="M19" s="35">
        <v>1.3539140000000001</v>
      </c>
      <c r="N19" s="35">
        <v>1.4067069999999999</v>
      </c>
      <c r="O19" s="34">
        <v>22</v>
      </c>
      <c r="P19" s="53">
        <v>7.0000000000000001E-3</v>
      </c>
      <c r="Q19" s="53">
        <v>-0.36409999999999998</v>
      </c>
      <c r="R19" s="59">
        <f t="shared" si="2"/>
        <v>1.22465070929638E-2</v>
      </c>
      <c r="S19" s="59">
        <f t="shared" si="3"/>
        <v>1.1707905767145033E-2</v>
      </c>
      <c r="T19" s="59">
        <f t="shared" si="4"/>
        <v>0</v>
      </c>
      <c r="U19" s="60">
        <f t="shared" si="5"/>
        <v>5.1999999999999998E-2</v>
      </c>
      <c r="V19" s="61">
        <f t="shared" si="6"/>
        <v>7.5000000000000067E-3</v>
      </c>
    </row>
    <row r="20" spans="1:22">
      <c r="A20" s="171">
        <v>15</v>
      </c>
      <c r="B20" s="167" t="s">
        <v>46</v>
      </c>
      <c r="C20" s="168" t="s">
        <v>47</v>
      </c>
      <c r="D20" s="31">
        <v>2398568446.4400001</v>
      </c>
      <c r="E20" s="32">
        <f t="shared" si="0"/>
        <v>7.2561517119824018E-2</v>
      </c>
      <c r="F20" s="35">
        <v>31.95</v>
      </c>
      <c r="G20" s="35">
        <v>32.6</v>
      </c>
      <c r="H20" s="34">
        <v>8944</v>
      </c>
      <c r="I20" s="53">
        <v>-7.1000000000000004E-3</v>
      </c>
      <c r="J20" s="53">
        <v>2.6200000000000001E-2</v>
      </c>
      <c r="K20" s="31">
        <v>2430788072.0500002</v>
      </c>
      <c r="L20" s="32">
        <f t="shared" si="1"/>
        <v>7.2199937465025926E-2</v>
      </c>
      <c r="M20" s="35">
        <v>32.35</v>
      </c>
      <c r="N20" s="35">
        <v>33.01</v>
      </c>
      <c r="O20" s="34">
        <v>8944</v>
      </c>
      <c r="P20" s="53">
        <v>1.0999999999999999E-2</v>
      </c>
      <c r="Q20" s="53">
        <v>3.9199999999999999E-2</v>
      </c>
      <c r="R20" s="59">
        <f t="shared" si="2"/>
        <v>1.3432856443109265E-2</v>
      </c>
      <c r="S20" s="59">
        <f t="shared" si="3"/>
        <v>1.2576687116564312E-2</v>
      </c>
      <c r="T20" s="59">
        <f t="shared" si="4"/>
        <v>0</v>
      </c>
      <c r="U20" s="60">
        <f t="shared" si="5"/>
        <v>1.8099999999999998E-2</v>
      </c>
      <c r="V20" s="61">
        <f t="shared" si="6"/>
        <v>1.2999999999999998E-2</v>
      </c>
    </row>
    <row r="21" spans="1:22" ht="12.75" customHeight="1">
      <c r="A21" s="171">
        <v>16</v>
      </c>
      <c r="B21" s="167" t="s">
        <v>48</v>
      </c>
      <c r="C21" s="168" t="s">
        <v>49</v>
      </c>
      <c r="D21" s="35">
        <v>786964461.09000003</v>
      </c>
      <c r="E21" s="32">
        <f t="shared" si="0"/>
        <v>2.3807256908106565E-2</v>
      </c>
      <c r="F21" s="35">
        <v>8252.2900000000009</v>
      </c>
      <c r="G21" s="35">
        <v>8346.84</v>
      </c>
      <c r="H21" s="34">
        <v>19</v>
      </c>
      <c r="I21" s="53">
        <v>6.9999999999999999E-4</v>
      </c>
      <c r="J21" s="53">
        <v>2.9100000000000001E-2</v>
      </c>
      <c r="K21" s="35">
        <v>800122765.74000001</v>
      </c>
      <c r="L21" s="32">
        <f t="shared" si="1"/>
        <v>2.3765466975511514E-2</v>
      </c>
      <c r="M21" s="35">
        <v>8382.83</v>
      </c>
      <c r="N21" s="35">
        <v>8491.5</v>
      </c>
      <c r="O21" s="34">
        <v>19</v>
      </c>
      <c r="P21" s="53">
        <v>1.7299999999999999E-2</v>
      </c>
      <c r="Q21" s="53">
        <v>4.6899999999999997E-2</v>
      </c>
      <c r="R21" s="59">
        <f t="shared" si="2"/>
        <v>1.6720328935533907E-2</v>
      </c>
      <c r="S21" s="59">
        <f t="shared" si="3"/>
        <v>1.7331109737337706E-2</v>
      </c>
      <c r="T21" s="59">
        <f t="shared" si="4"/>
        <v>0</v>
      </c>
      <c r="U21" s="60">
        <f t="shared" si="5"/>
        <v>1.66E-2</v>
      </c>
      <c r="V21" s="61">
        <f t="shared" si="6"/>
        <v>1.7799999999999996E-2</v>
      </c>
    </row>
    <row r="22" spans="1:22">
      <c r="A22" s="171">
        <v>17</v>
      </c>
      <c r="B22" s="167" t="s">
        <v>50</v>
      </c>
      <c r="C22" s="168" t="s">
        <v>49</v>
      </c>
      <c r="D22" s="35">
        <v>13371716606.940001</v>
      </c>
      <c r="E22" s="32">
        <f t="shared" si="0"/>
        <v>0.40452130725558727</v>
      </c>
      <c r="F22" s="35">
        <v>25974.09</v>
      </c>
      <c r="G22" s="35">
        <v>26350.2</v>
      </c>
      <c r="H22" s="34">
        <v>17481</v>
      </c>
      <c r="I22" s="53">
        <v>-5.7999999999999996E-3</v>
      </c>
      <c r="J22" s="53">
        <v>2.52E-2</v>
      </c>
      <c r="K22" s="35">
        <v>13573578912.120001</v>
      </c>
      <c r="L22" s="32">
        <f t="shared" si="1"/>
        <v>0.40316618297586426</v>
      </c>
      <c r="M22" s="35">
        <v>26412.22</v>
      </c>
      <c r="N22" s="35">
        <v>26777.66</v>
      </c>
      <c r="O22" s="34">
        <v>17491</v>
      </c>
      <c r="P22" s="53">
        <v>1.6199999999999999E-2</v>
      </c>
      <c r="Q22" s="53">
        <v>4.19E-2</v>
      </c>
      <c r="R22" s="59">
        <f t="shared" si="2"/>
        <v>1.5096214727975357E-2</v>
      </c>
      <c r="S22" s="59">
        <f t="shared" si="3"/>
        <v>1.6222267762673496E-2</v>
      </c>
      <c r="T22" s="59">
        <f t="shared" si="4"/>
        <v>5.7204965390995942E-4</v>
      </c>
      <c r="U22" s="60">
        <f t="shared" si="5"/>
        <v>2.1999999999999999E-2</v>
      </c>
      <c r="V22" s="61">
        <f t="shared" si="6"/>
        <v>1.67E-2</v>
      </c>
    </row>
    <row r="23" spans="1:22">
      <c r="A23" s="171">
        <v>18</v>
      </c>
      <c r="B23" s="168" t="s">
        <v>51</v>
      </c>
      <c r="C23" s="168" t="s">
        <v>52</v>
      </c>
      <c r="D23" s="35">
        <v>3852829084.1399999</v>
      </c>
      <c r="E23" s="32">
        <f t="shared" si="0"/>
        <v>0.11655582477269691</v>
      </c>
      <c r="F23" s="35">
        <v>1.5262</v>
      </c>
      <c r="G23" s="33">
        <v>1.5411999999999999</v>
      </c>
      <c r="H23" s="34">
        <v>4595</v>
      </c>
      <c r="I23" s="53">
        <v>-7.6E-3</v>
      </c>
      <c r="J23" s="53">
        <v>2.3099999999999999E-2</v>
      </c>
      <c r="K23" s="35">
        <v>3919927736.2199998</v>
      </c>
      <c r="L23" s="32">
        <f t="shared" si="1"/>
        <v>0.11643077431420071</v>
      </c>
      <c r="M23" s="35">
        <v>1.542</v>
      </c>
      <c r="N23" s="33">
        <v>1.5570999999999999</v>
      </c>
      <c r="O23" s="34">
        <v>4615</v>
      </c>
      <c r="P23" s="53">
        <v>1.03E-2</v>
      </c>
      <c r="Q23" s="53">
        <v>3.3700000000000001E-2</v>
      </c>
      <c r="R23" s="59">
        <f t="shared" si="2"/>
        <v>1.7415423994853171E-2</v>
      </c>
      <c r="S23" s="59">
        <f t="shared" si="3"/>
        <v>1.0316636387230746E-2</v>
      </c>
      <c r="T23" s="59">
        <f t="shared" si="4"/>
        <v>4.3525571273122961E-3</v>
      </c>
      <c r="U23" s="60">
        <f t="shared" si="5"/>
        <v>1.7899999999999999E-2</v>
      </c>
      <c r="V23" s="61">
        <f t="shared" si="6"/>
        <v>1.0600000000000002E-2</v>
      </c>
    </row>
    <row r="24" spans="1:22">
      <c r="A24" s="38"/>
      <c r="B24" s="39"/>
      <c r="C24" s="40" t="s">
        <v>53</v>
      </c>
      <c r="D24" s="41">
        <f>SUM(D6:D23)</f>
        <v>33055654590.010002</v>
      </c>
      <c r="E24" s="42">
        <f>(D24/$D$210)</f>
        <v>8.2234018194448123E-3</v>
      </c>
      <c r="F24" s="43"/>
      <c r="G24" s="44"/>
      <c r="H24" s="45">
        <f>SUM(H6:H23)</f>
        <v>51259</v>
      </c>
      <c r="I24" s="55"/>
      <c r="J24" s="34">
        <v>0</v>
      </c>
      <c r="K24" s="41">
        <f>SUM(K6:K23)</f>
        <v>33667453981.210003</v>
      </c>
      <c r="L24" s="42">
        <f>(K24/$K$210)</f>
        <v>8.1729226699759367E-3</v>
      </c>
      <c r="M24" s="43"/>
      <c r="N24" s="44"/>
      <c r="O24" s="45">
        <f>SUM(O6:O23)</f>
        <v>51175</v>
      </c>
      <c r="P24" s="55"/>
      <c r="Q24" s="45"/>
      <c r="R24" s="59">
        <f t="shared" si="2"/>
        <v>1.8508161426181446E-2</v>
      </c>
      <c r="S24" s="59" t="e">
        <f t="shared" si="3"/>
        <v>#DIV/0!</v>
      </c>
      <c r="T24" s="59">
        <f t="shared" si="4"/>
        <v>-1.6387366121071421E-3</v>
      </c>
      <c r="U24" s="60">
        <f t="shared" si="5"/>
        <v>0</v>
      </c>
      <c r="V24" s="61">
        <f t="shared" si="6"/>
        <v>0</v>
      </c>
    </row>
    <row r="25" spans="1:22" ht="4.5" customHeight="1">
      <c r="A25" s="38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</row>
    <row r="26" spans="1:22" ht="15" customHeight="1">
      <c r="A26" s="179" t="s">
        <v>54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</row>
    <row r="27" spans="1:22">
      <c r="A27" s="166">
        <v>19</v>
      </c>
      <c r="B27" s="167" t="s">
        <v>55</v>
      </c>
      <c r="C27" s="168" t="s">
        <v>19</v>
      </c>
      <c r="D27" s="47">
        <v>2003642898.1800001</v>
      </c>
      <c r="E27" s="32">
        <f>(D27/$K$65)</f>
        <v>1.0616605216430908E-3</v>
      </c>
      <c r="F27" s="33">
        <v>100</v>
      </c>
      <c r="G27" s="33">
        <v>100</v>
      </c>
      <c r="H27" s="34">
        <v>876</v>
      </c>
      <c r="I27" s="53">
        <v>0.20760000000000001</v>
      </c>
      <c r="J27" s="53">
        <v>0.20760000000000001</v>
      </c>
      <c r="K27" s="47">
        <v>2031432339.48</v>
      </c>
      <c r="L27" s="32">
        <f t="shared" ref="L27:L64" si="12">(K27/$K$65)</f>
        <v>1.0763851778048882E-3</v>
      </c>
      <c r="M27" s="33">
        <v>100</v>
      </c>
      <c r="N27" s="33">
        <v>100</v>
      </c>
      <c r="O27" s="34">
        <v>1166</v>
      </c>
      <c r="P27" s="53">
        <v>0.21099999999999999</v>
      </c>
      <c r="Q27" s="53">
        <v>0.21099999999999999</v>
      </c>
      <c r="R27" s="59">
        <f>((K27-D27)/D27)</f>
        <v>1.3869458138095548E-2</v>
      </c>
      <c r="S27" s="59">
        <f>((N27-G27)/G27)</f>
        <v>0</v>
      </c>
      <c r="T27" s="59">
        <f>((O27-H27)/H27)</f>
        <v>0.33105022831050229</v>
      </c>
      <c r="U27" s="60">
        <f>P27-I27</f>
        <v>3.3999999999999864E-3</v>
      </c>
      <c r="V27" s="61">
        <f>Q27-J27</f>
        <v>3.3999999999999864E-3</v>
      </c>
    </row>
    <row r="28" spans="1:22">
      <c r="A28" s="166">
        <v>20</v>
      </c>
      <c r="B28" s="167" t="s">
        <v>56</v>
      </c>
      <c r="C28" s="168" t="s">
        <v>57</v>
      </c>
      <c r="D28" s="47">
        <v>12284414864.690001</v>
      </c>
      <c r="E28" s="32">
        <f t="shared" ref="E28:E64" si="13">(D28/$K$65)</f>
        <v>6.5090831830230105E-3</v>
      </c>
      <c r="F28" s="33">
        <v>100</v>
      </c>
      <c r="G28" s="33">
        <v>100</v>
      </c>
      <c r="H28" s="34">
        <v>2014</v>
      </c>
      <c r="I28" s="53">
        <v>0.23341600000000001</v>
      </c>
      <c r="J28" s="53">
        <v>0.23341600000000001</v>
      </c>
      <c r="K28" s="47">
        <v>12845877171.48</v>
      </c>
      <c r="L28" s="32">
        <f t="shared" si="12"/>
        <v>6.8065824859432321E-3</v>
      </c>
      <c r="M28" s="33">
        <v>100</v>
      </c>
      <c r="N28" s="33">
        <v>100</v>
      </c>
      <c r="O28" s="34">
        <v>2059</v>
      </c>
      <c r="P28" s="53">
        <v>0.22886899999999999</v>
      </c>
      <c r="Q28" s="53">
        <v>0.22886899999999999</v>
      </c>
      <c r="R28" s="59">
        <f t="shared" ref="R28:R65" si="14">((K28-D28)/D28)</f>
        <v>4.5705254419878924E-2</v>
      </c>
      <c r="S28" s="59">
        <f t="shared" ref="S28:S65" si="15">((N28-G28)/G28)</f>
        <v>0</v>
      </c>
      <c r="T28" s="59">
        <f t="shared" ref="T28:T65" si="16">((O28-H28)/H28)</f>
        <v>2.2343594836146972E-2</v>
      </c>
      <c r="U28" s="60">
        <f t="shared" ref="U28:U65" si="17">P28-I28</f>
        <v>-4.5470000000000232E-3</v>
      </c>
      <c r="V28" s="61">
        <f t="shared" ref="V28:V65" si="18">Q28-J28</f>
        <v>-4.5470000000000232E-3</v>
      </c>
    </row>
    <row r="29" spans="1:22">
      <c r="A29" s="166">
        <v>21</v>
      </c>
      <c r="B29" s="167" t="s">
        <v>58</v>
      </c>
      <c r="C29" s="168" t="s">
        <v>21</v>
      </c>
      <c r="D29" s="47">
        <v>1349234500.8900001</v>
      </c>
      <c r="E29" s="32">
        <f t="shared" si="13"/>
        <v>7.1491232561195065E-4</v>
      </c>
      <c r="F29" s="33">
        <v>100</v>
      </c>
      <c r="G29" s="33">
        <v>100</v>
      </c>
      <c r="H29" s="34">
        <v>1822</v>
      </c>
      <c r="I29" s="53">
        <v>0.22439999999999999</v>
      </c>
      <c r="J29" s="53">
        <v>0.22439999999999999</v>
      </c>
      <c r="K29" s="47">
        <v>1358055451.75</v>
      </c>
      <c r="L29" s="32">
        <f t="shared" si="12"/>
        <v>7.1958623996062128E-4</v>
      </c>
      <c r="M29" s="33">
        <v>100</v>
      </c>
      <c r="N29" s="33">
        <v>100</v>
      </c>
      <c r="O29" s="34">
        <v>1829</v>
      </c>
      <c r="P29" s="53">
        <v>0.23949999999999999</v>
      </c>
      <c r="Q29" s="53">
        <v>0.23949999999999999</v>
      </c>
      <c r="R29" s="59">
        <f t="shared" si="14"/>
        <v>6.5377448132117148E-3</v>
      </c>
      <c r="S29" s="59">
        <f t="shared" si="15"/>
        <v>0</v>
      </c>
      <c r="T29" s="59">
        <f t="shared" si="16"/>
        <v>3.8419319429198683E-3</v>
      </c>
      <c r="U29" s="60">
        <f t="shared" si="17"/>
        <v>1.5100000000000002E-2</v>
      </c>
      <c r="V29" s="61">
        <f t="shared" si="18"/>
        <v>1.5100000000000002E-2</v>
      </c>
    </row>
    <row r="30" spans="1:22">
      <c r="A30" s="166">
        <v>22</v>
      </c>
      <c r="B30" s="167" t="s">
        <v>59</v>
      </c>
      <c r="C30" s="168" t="s">
        <v>23</v>
      </c>
      <c r="D30" s="47">
        <v>131547593237.22</v>
      </c>
      <c r="E30" s="32">
        <f t="shared" si="13"/>
        <v>6.9702483703048393E-2</v>
      </c>
      <c r="F30" s="33">
        <v>1</v>
      </c>
      <c r="G30" s="33">
        <v>1</v>
      </c>
      <c r="H30" s="34">
        <v>64706</v>
      </c>
      <c r="I30" s="53">
        <v>0.2157</v>
      </c>
      <c r="J30" s="53">
        <v>0.2157</v>
      </c>
      <c r="K30" s="47">
        <v>137811181295.44</v>
      </c>
      <c r="L30" s="32">
        <f t="shared" si="12"/>
        <v>7.3021340656693981E-2</v>
      </c>
      <c r="M30" s="33">
        <v>1</v>
      </c>
      <c r="N30" s="33">
        <v>1</v>
      </c>
      <c r="O30" s="34">
        <v>64996</v>
      </c>
      <c r="P30" s="53">
        <v>0.219</v>
      </c>
      <c r="Q30" s="53">
        <v>0.219</v>
      </c>
      <c r="R30" s="59">
        <f t="shared" si="14"/>
        <v>4.7614615395698362E-2</v>
      </c>
      <c r="S30" s="59">
        <f t="shared" si="15"/>
        <v>0</v>
      </c>
      <c r="T30" s="59">
        <f t="shared" si="16"/>
        <v>4.4818100330726671E-3</v>
      </c>
      <c r="U30" s="60">
        <f t="shared" si="17"/>
        <v>3.2999999999999974E-3</v>
      </c>
      <c r="V30" s="61">
        <f t="shared" si="18"/>
        <v>3.2999999999999974E-3</v>
      </c>
    </row>
    <row r="31" spans="1:22">
      <c r="A31" s="166">
        <v>23</v>
      </c>
      <c r="B31" s="167" t="s">
        <v>60</v>
      </c>
      <c r="C31" s="168" t="s">
        <v>25</v>
      </c>
      <c r="D31" s="47">
        <v>87643503946.800003</v>
      </c>
      <c r="E31" s="32">
        <f t="shared" si="13"/>
        <v>4.6439237352777475E-2</v>
      </c>
      <c r="F31" s="33">
        <v>1</v>
      </c>
      <c r="G31" s="33">
        <v>1</v>
      </c>
      <c r="H31" s="34">
        <v>31081</v>
      </c>
      <c r="I31" s="53">
        <v>0.2064</v>
      </c>
      <c r="J31" s="53">
        <v>0.2064</v>
      </c>
      <c r="K31" s="47">
        <v>88844450592.729996</v>
      </c>
      <c r="L31" s="32">
        <f t="shared" si="12"/>
        <v>4.7075577113590991E-2</v>
      </c>
      <c r="M31" s="33">
        <v>1</v>
      </c>
      <c r="N31" s="33">
        <v>1</v>
      </c>
      <c r="O31" s="34">
        <v>31225</v>
      </c>
      <c r="P31" s="53">
        <v>0.21160000000000001</v>
      </c>
      <c r="Q31" s="53">
        <v>0.21160000000000001</v>
      </c>
      <c r="R31" s="59">
        <f t="shared" si="14"/>
        <v>1.3702631591030096E-2</v>
      </c>
      <c r="S31" s="59">
        <f t="shared" si="15"/>
        <v>0</v>
      </c>
      <c r="T31" s="59">
        <f t="shared" si="16"/>
        <v>4.6330555644927768E-3</v>
      </c>
      <c r="U31" s="60">
        <f t="shared" si="17"/>
        <v>5.2000000000000102E-3</v>
      </c>
      <c r="V31" s="61">
        <f t="shared" si="18"/>
        <v>5.2000000000000102E-3</v>
      </c>
    </row>
    <row r="32" spans="1:22">
      <c r="A32" s="166">
        <v>24</v>
      </c>
      <c r="B32" s="167" t="s">
        <v>293</v>
      </c>
      <c r="C32" s="168" t="s">
        <v>27</v>
      </c>
      <c r="D32" s="35">
        <v>2375040763.96</v>
      </c>
      <c r="E32" s="32">
        <f t="shared" ref="E32" si="19">(D32/$D$24)</f>
        <v>7.184975742933189E-2</v>
      </c>
      <c r="F32" s="35">
        <v>1</v>
      </c>
      <c r="G32" s="35">
        <v>1</v>
      </c>
      <c r="H32" s="34">
        <v>312</v>
      </c>
      <c r="I32" s="53">
        <v>0.2296</v>
      </c>
      <c r="J32" s="53">
        <v>0.2296</v>
      </c>
      <c r="K32" s="35">
        <v>2523489950</v>
      </c>
      <c r="L32" s="32">
        <f t="shared" ref="L32" si="20">(K32/$K$24)</f>
        <v>7.4953394201069501E-2</v>
      </c>
      <c r="M32" s="35">
        <v>1</v>
      </c>
      <c r="N32" s="35">
        <v>1</v>
      </c>
      <c r="O32" s="34">
        <v>467</v>
      </c>
      <c r="P32" s="53">
        <v>0.24579999999999999</v>
      </c>
      <c r="Q32" s="53">
        <v>0.24579999999999999</v>
      </c>
      <c r="R32" s="59">
        <f t="shared" si="14"/>
        <v>6.2503847636065299E-2</v>
      </c>
      <c r="S32" s="59">
        <f t="shared" si="15"/>
        <v>0</v>
      </c>
      <c r="T32" s="59">
        <f t="shared" si="16"/>
        <v>0.49679487179487181</v>
      </c>
      <c r="U32" s="60">
        <f t="shared" si="17"/>
        <v>1.6199999999999992E-2</v>
      </c>
      <c r="V32" s="61">
        <f t="shared" si="18"/>
        <v>1.6199999999999992E-2</v>
      </c>
    </row>
    <row r="33" spans="1:22" ht="15" customHeight="1">
      <c r="A33" s="166">
        <v>25</v>
      </c>
      <c r="B33" s="167" t="s">
        <v>61</v>
      </c>
      <c r="C33" s="168" t="s">
        <v>47</v>
      </c>
      <c r="D33" s="47">
        <v>13892111482</v>
      </c>
      <c r="E33" s="32">
        <f t="shared" si="13"/>
        <v>7.3609455737352258E-3</v>
      </c>
      <c r="F33" s="33">
        <v>100</v>
      </c>
      <c r="G33" s="33">
        <v>100</v>
      </c>
      <c r="H33" s="34">
        <v>2083</v>
      </c>
      <c r="I33" s="53">
        <v>0.23549999999999999</v>
      </c>
      <c r="J33" s="53">
        <v>0.23549999999999999</v>
      </c>
      <c r="K33" s="47">
        <v>14285766917</v>
      </c>
      <c r="L33" s="32">
        <f t="shared" si="12"/>
        <v>7.5695298653020316E-3</v>
      </c>
      <c r="M33" s="33">
        <v>100</v>
      </c>
      <c r="N33" s="33">
        <v>100</v>
      </c>
      <c r="O33" s="34">
        <v>2083</v>
      </c>
      <c r="P33" s="53">
        <v>0.23649999999999999</v>
      </c>
      <c r="Q33" s="53">
        <v>0.23649999999999999</v>
      </c>
      <c r="R33" s="59">
        <f t="shared" si="14"/>
        <v>2.8336616468278352E-2</v>
      </c>
      <c r="S33" s="59">
        <f t="shared" si="15"/>
        <v>0</v>
      </c>
      <c r="T33" s="59">
        <f t="shared" si="16"/>
        <v>0</v>
      </c>
      <c r="U33" s="60">
        <f t="shared" si="17"/>
        <v>1.0000000000000009E-3</v>
      </c>
      <c r="V33" s="61">
        <f t="shared" si="18"/>
        <v>1.0000000000000009E-3</v>
      </c>
    </row>
    <row r="34" spans="1:22" ht="15" customHeight="1">
      <c r="A34" s="166">
        <v>26</v>
      </c>
      <c r="B34" s="167" t="s">
        <v>62</v>
      </c>
      <c r="C34" s="168" t="s">
        <v>63</v>
      </c>
      <c r="D34" s="47">
        <v>349379063.95999998</v>
      </c>
      <c r="E34" s="32">
        <f t="shared" si="13"/>
        <v>1.8512378609575271E-4</v>
      </c>
      <c r="F34" s="33">
        <v>1</v>
      </c>
      <c r="G34" s="33">
        <v>1</v>
      </c>
      <c r="H34" s="34">
        <v>304</v>
      </c>
      <c r="I34" s="53">
        <v>0.215</v>
      </c>
      <c r="J34" s="53">
        <v>0.215</v>
      </c>
      <c r="K34" s="47">
        <v>346675536.37</v>
      </c>
      <c r="L34" s="32">
        <f t="shared" si="12"/>
        <v>1.8369128107498128E-4</v>
      </c>
      <c r="M34" s="33">
        <v>1</v>
      </c>
      <c r="N34" s="33">
        <v>1</v>
      </c>
      <c r="O34" s="34">
        <v>306</v>
      </c>
      <c r="P34" s="53">
        <v>0.215</v>
      </c>
      <c r="Q34" s="53">
        <v>0.215</v>
      </c>
      <c r="R34" s="59">
        <f t="shared" si="14"/>
        <v>-7.7380927161379582E-3</v>
      </c>
      <c r="S34" s="59">
        <f t="shared" si="15"/>
        <v>0</v>
      </c>
      <c r="T34" s="59">
        <f t="shared" si="16"/>
        <v>6.5789473684210523E-3</v>
      </c>
      <c r="U34" s="60">
        <f t="shared" si="17"/>
        <v>0</v>
      </c>
      <c r="V34" s="61">
        <f t="shared" si="18"/>
        <v>0</v>
      </c>
    </row>
    <row r="35" spans="1:22">
      <c r="A35" s="166">
        <v>27</v>
      </c>
      <c r="B35" s="167" t="s">
        <v>64</v>
      </c>
      <c r="C35" s="168" t="s">
        <v>65</v>
      </c>
      <c r="D35" s="47">
        <v>36574037446.979996</v>
      </c>
      <c r="E35" s="32">
        <f t="shared" si="13"/>
        <v>1.937930741542071E-2</v>
      </c>
      <c r="F35" s="33">
        <v>100</v>
      </c>
      <c r="G35" s="33">
        <v>100</v>
      </c>
      <c r="H35" s="34">
        <v>3419</v>
      </c>
      <c r="I35" s="53">
        <v>0.22675347277286301</v>
      </c>
      <c r="J35" s="53">
        <v>0.22675347277286301</v>
      </c>
      <c r="K35" s="47">
        <v>37077896849.489998</v>
      </c>
      <c r="L35" s="32">
        <f t="shared" si="12"/>
        <v>1.9646284947489646E-2</v>
      </c>
      <c r="M35" s="33">
        <v>100</v>
      </c>
      <c r="N35" s="33">
        <v>100</v>
      </c>
      <c r="O35" s="34">
        <v>3468</v>
      </c>
      <c r="P35" s="53">
        <v>0.22760547147396001</v>
      </c>
      <c r="Q35" s="53">
        <v>0.22760547147396001</v>
      </c>
      <c r="R35" s="59">
        <f t="shared" si="14"/>
        <v>1.377642277641423E-2</v>
      </c>
      <c r="S35" s="59">
        <f t="shared" si="15"/>
        <v>0</v>
      </c>
      <c r="T35" s="59">
        <f t="shared" si="16"/>
        <v>1.4331675928634104E-2</v>
      </c>
      <c r="U35" s="60">
        <f t="shared" si="17"/>
        <v>8.5199870109700648E-4</v>
      </c>
      <c r="V35" s="61">
        <f t="shared" si="18"/>
        <v>8.5199870109700648E-4</v>
      </c>
    </row>
    <row r="36" spans="1:22">
      <c r="A36" s="166">
        <v>28</v>
      </c>
      <c r="B36" s="167" t="s">
        <v>66</v>
      </c>
      <c r="C36" s="168" t="s">
        <v>67</v>
      </c>
      <c r="D36" s="47">
        <v>17778815825.220001</v>
      </c>
      <c r="E36" s="32">
        <f t="shared" si="13"/>
        <v>9.4203747086592047E-3</v>
      </c>
      <c r="F36" s="33">
        <v>100</v>
      </c>
      <c r="G36" s="33">
        <v>100</v>
      </c>
      <c r="H36" s="34">
        <v>6530</v>
      </c>
      <c r="I36" s="53">
        <v>0.2019</v>
      </c>
      <c r="J36" s="53">
        <v>0.2019</v>
      </c>
      <c r="K36" s="47">
        <v>16848647929.93</v>
      </c>
      <c r="L36" s="32">
        <f t="shared" si="12"/>
        <v>8.9275111680421366E-3</v>
      </c>
      <c r="M36" s="33">
        <v>100</v>
      </c>
      <c r="N36" s="33">
        <v>100</v>
      </c>
      <c r="O36" s="34">
        <v>6554</v>
      </c>
      <c r="P36" s="53">
        <v>0.21959999999999999</v>
      </c>
      <c r="Q36" s="53">
        <v>0.21959999999999999</v>
      </c>
      <c r="R36" s="59">
        <f t="shared" si="14"/>
        <v>-5.2318889201299811E-2</v>
      </c>
      <c r="S36" s="59">
        <f t="shared" si="15"/>
        <v>0</v>
      </c>
      <c r="T36" s="59">
        <f t="shared" si="16"/>
        <v>3.675344563552833E-3</v>
      </c>
      <c r="U36" s="60">
        <f t="shared" si="17"/>
        <v>1.7699999999999994E-2</v>
      </c>
      <c r="V36" s="61">
        <f t="shared" si="18"/>
        <v>1.7699999999999994E-2</v>
      </c>
    </row>
    <row r="37" spans="1:22">
      <c r="A37" s="166">
        <v>29</v>
      </c>
      <c r="B37" s="167" t="s">
        <v>68</v>
      </c>
      <c r="C37" s="168" t="s">
        <v>69</v>
      </c>
      <c r="D37" s="47">
        <v>44514190.369999997</v>
      </c>
      <c r="E37" s="32">
        <f t="shared" si="13"/>
        <v>2.3586517643269419E-5</v>
      </c>
      <c r="F37" s="33">
        <v>100</v>
      </c>
      <c r="G37" s="33">
        <v>100</v>
      </c>
      <c r="H37" s="34">
        <v>0</v>
      </c>
      <c r="I37" s="53">
        <v>0</v>
      </c>
      <c r="J37" s="53">
        <v>0</v>
      </c>
      <c r="K37" s="47">
        <v>44514190.369999997</v>
      </c>
      <c r="L37" s="32">
        <f t="shared" si="12"/>
        <v>2.3586517643269419E-5</v>
      </c>
      <c r="M37" s="33">
        <v>100</v>
      </c>
      <c r="N37" s="33">
        <v>100</v>
      </c>
      <c r="O37" s="34">
        <v>0</v>
      </c>
      <c r="P37" s="53">
        <v>0</v>
      </c>
      <c r="Q37" s="53">
        <v>0</v>
      </c>
      <c r="R37" s="59">
        <f t="shared" si="14"/>
        <v>0</v>
      </c>
      <c r="S37" s="59">
        <f t="shared" si="15"/>
        <v>0</v>
      </c>
      <c r="T37" s="59" t="e">
        <f t="shared" si="16"/>
        <v>#DIV/0!</v>
      </c>
      <c r="U37" s="60">
        <f t="shared" si="17"/>
        <v>0</v>
      </c>
      <c r="V37" s="61">
        <f t="shared" si="18"/>
        <v>0</v>
      </c>
    </row>
    <row r="38" spans="1:22">
      <c r="A38" s="166">
        <v>30</v>
      </c>
      <c r="B38" s="167" t="s">
        <v>70</v>
      </c>
      <c r="C38" s="168" t="s">
        <v>71</v>
      </c>
      <c r="D38" s="47">
        <v>11013314857.379999</v>
      </c>
      <c r="E38" s="32">
        <f t="shared" si="13"/>
        <v>5.8355716016693353E-3</v>
      </c>
      <c r="F38" s="33">
        <v>1</v>
      </c>
      <c r="G38" s="33">
        <v>1</v>
      </c>
      <c r="H38" s="34">
        <v>3772</v>
      </c>
      <c r="I38" s="53">
        <v>0.23880000000000001</v>
      </c>
      <c r="J38" s="53">
        <v>0.23880000000000001</v>
      </c>
      <c r="K38" s="47">
        <v>12511844866.01</v>
      </c>
      <c r="L38" s="32">
        <f t="shared" si="12"/>
        <v>6.6295904121595013E-3</v>
      </c>
      <c r="M38" s="33">
        <v>1</v>
      </c>
      <c r="N38" s="33">
        <v>1</v>
      </c>
      <c r="O38" s="34">
        <v>3880</v>
      </c>
      <c r="P38" s="53">
        <v>0.1981</v>
      </c>
      <c r="Q38" s="53">
        <v>0.1981</v>
      </c>
      <c r="R38" s="59">
        <f t="shared" si="14"/>
        <v>0.13606530168578984</v>
      </c>
      <c r="S38" s="59">
        <f t="shared" si="15"/>
        <v>0</v>
      </c>
      <c r="T38" s="59">
        <f t="shared" si="16"/>
        <v>2.863202545068929E-2</v>
      </c>
      <c r="U38" s="60">
        <f t="shared" si="17"/>
        <v>-4.0700000000000014E-2</v>
      </c>
      <c r="V38" s="61">
        <f t="shared" si="18"/>
        <v>-4.0700000000000014E-2</v>
      </c>
    </row>
    <row r="39" spans="1:22">
      <c r="A39" s="166">
        <v>31</v>
      </c>
      <c r="B39" s="167" t="s">
        <v>72</v>
      </c>
      <c r="C39" s="168" t="s">
        <v>73</v>
      </c>
      <c r="D39" s="47">
        <v>32264293650.919998</v>
      </c>
      <c r="E39" s="32">
        <f t="shared" si="13"/>
        <v>1.7095724422248996E-2</v>
      </c>
      <c r="F39" s="48">
        <v>100</v>
      </c>
      <c r="G39" s="48">
        <v>100</v>
      </c>
      <c r="H39" s="34">
        <v>3046</v>
      </c>
      <c r="I39" s="53">
        <v>0.23200000000000001</v>
      </c>
      <c r="J39" s="53">
        <v>0.23200000000000001</v>
      </c>
      <c r="K39" s="47">
        <v>32547184153.049999</v>
      </c>
      <c r="L39" s="32">
        <f t="shared" si="12"/>
        <v>1.7245618237325535E-2</v>
      </c>
      <c r="M39" s="48">
        <v>100</v>
      </c>
      <c r="N39" s="48">
        <v>100</v>
      </c>
      <c r="O39" s="34">
        <v>3089</v>
      </c>
      <c r="P39" s="53">
        <v>0.23860000000000001</v>
      </c>
      <c r="Q39" s="53">
        <v>0.23860000000000001</v>
      </c>
      <c r="R39" s="59">
        <f t="shared" si="14"/>
        <v>8.7679124542661292E-3</v>
      </c>
      <c r="S39" s="59">
        <f t="shared" si="15"/>
        <v>0</v>
      </c>
      <c r="T39" s="59">
        <f t="shared" si="16"/>
        <v>1.4116874589625739E-2</v>
      </c>
      <c r="U39" s="60">
        <f t="shared" si="17"/>
        <v>6.5999999999999948E-3</v>
      </c>
      <c r="V39" s="61">
        <f t="shared" si="18"/>
        <v>6.5999999999999948E-3</v>
      </c>
    </row>
    <row r="40" spans="1:22">
      <c r="A40" s="166">
        <v>32</v>
      </c>
      <c r="B40" s="167" t="s">
        <v>74</v>
      </c>
      <c r="C40" s="168" t="s">
        <v>73</v>
      </c>
      <c r="D40" s="47">
        <v>1966736563.3199999</v>
      </c>
      <c r="E40" s="32">
        <f t="shared" si="13"/>
        <v>1.0421051414129143E-3</v>
      </c>
      <c r="F40" s="48">
        <v>1000000</v>
      </c>
      <c r="G40" s="48">
        <v>1000000</v>
      </c>
      <c r="H40" s="34">
        <v>6</v>
      </c>
      <c r="I40" s="53">
        <v>0.25640000000000002</v>
      </c>
      <c r="J40" s="53">
        <v>0.25640000000000002</v>
      </c>
      <c r="K40" s="47">
        <v>2056245202.5</v>
      </c>
      <c r="L40" s="32">
        <f t="shared" si="12"/>
        <v>1.0895326489042544E-3</v>
      </c>
      <c r="M40" s="48">
        <v>1000000</v>
      </c>
      <c r="N40" s="48">
        <v>1000000</v>
      </c>
      <c r="O40" s="34">
        <v>9</v>
      </c>
      <c r="P40" s="53">
        <v>0.24979999999999999</v>
      </c>
      <c r="Q40" s="53">
        <v>0.24979999999999999</v>
      </c>
      <c r="R40" s="59">
        <f t="shared" si="14"/>
        <v>4.5511249879293808E-2</v>
      </c>
      <c r="S40" s="59">
        <f t="shared" si="15"/>
        <v>0</v>
      </c>
      <c r="T40" s="59">
        <f t="shared" si="16"/>
        <v>0.5</v>
      </c>
      <c r="U40" s="60">
        <f t="shared" si="17"/>
        <v>-6.6000000000000225E-3</v>
      </c>
      <c r="V40" s="61">
        <f t="shared" si="18"/>
        <v>-6.6000000000000225E-3</v>
      </c>
    </row>
    <row r="41" spans="1:22">
      <c r="A41" s="166">
        <v>33</v>
      </c>
      <c r="B41" s="167" t="s">
        <v>75</v>
      </c>
      <c r="C41" s="168" t="s">
        <v>76</v>
      </c>
      <c r="D41" s="47">
        <v>3610887021.7199998</v>
      </c>
      <c r="E41" s="32">
        <f t="shared" si="13"/>
        <v>1.9132831516812186E-3</v>
      </c>
      <c r="F41" s="33">
        <v>1</v>
      </c>
      <c r="G41" s="33">
        <v>1</v>
      </c>
      <c r="H41" s="34">
        <v>758</v>
      </c>
      <c r="I41" s="53">
        <v>0.21759999999999999</v>
      </c>
      <c r="J41" s="53">
        <v>0.21759999999999999</v>
      </c>
      <c r="K41" s="47">
        <v>3633728686.0799999</v>
      </c>
      <c r="L41" s="32">
        <f t="shared" si="12"/>
        <v>1.9253861533296967E-3</v>
      </c>
      <c r="M41" s="33">
        <v>1</v>
      </c>
      <c r="N41" s="33">
        <v>1</v>
      </c>
      <c r="O41" s="34">
        <v>770</v>
      </c>
      <c r="P41" s="53">
        <v>0.2276</v>
      </c>
      <c r="Q41" s="53">
        <v>0.2276</v>
      </c>
      <c r="R41" s="59">
        <f t="shared" si="14"/>
        <v>6.3257765259905029E-3</v>
      </c>
      <c r="S41" s="59">
        <f t="shared" si="15"/>
        <v>0</v>
      </c>
      <c r="T41" s="59">
        <f t="shared" si="16"/>
        <v>1.5831134564643801E-2</v>
      </c>
      <c r="U41" s="60">
        <f t="shared" si="17"/>
        <v>1.0000000000000009E-2</v>
      </c>
      <c r="V41" s="61">
        <f t="shared" si="18"/>
        <v>1.0000000000000009E-2</v>
      </c>
    </row>
    <row r="42" spans="1:22">
      <c r="A42" s="166">
        <v>34</v>
      </c>
      <c r="B42" s="167" t="s">
        <v>77</v>
      </c>
      <c r="C42" s="168" t="s">
        <v>31</v>
      </c>
      <c r="D42" s="47">
        <v>379983899685.71997</v>
      </c>
      <c r="E42" s="32">
        <f t="shared" si="13"/>
        <v>0.20134022161471812</v>
      </c>
      <c r="F42" s="33">
        <v>100</v>
      </c>
      <c r="G42" s="33">
        <v>100</v>
      </c>
      <c r="H42" s="34">
        <v>15362</v>
      </c>
      <c r="I42" s="53">
        <v>0.22700000000000001</v>
      </c>
      <c r="J42" s="53">
        <v>0.22700000000000001</v>
      </c>
      <c r="K42" s="47">
        <v>385555476228.79999</v>
      </c>
      <c r="L42" s="32">
        <f t="shared" si="12"/>
        <v>0.20429240579108693</v>
      </c>
      <c r="M42" s="33">
        <v>100</v>
      </c>
      <c r="N42" s="33">
        <v>100</v>
      </c>
      <c r="O42" s="34">
        <v>15580</v>
      </c>
      <c r="P42" s="53">
        <v>0.2296</v>
      </c>
      <c r="Q42" s="53">
        <v>0.2296</v>
      </c>
      <c r="R42" s="59">
        <f t="shared" si="14"/>
        <v>1.4662664780503069E-2</v>
      </c>
      <c r="S42" s="59">
        <f t="shared" si="15"/>
        <v>0</v>
      </c>
      <c r="T42" s="59">
        <f t="shared" si="16"/>
        <v>1.4190860565030595E-2</v>
      </c>
      <c r="U42" s="60">
        <f t="shared" si="17"/>
        <v>2.5999999999999912E-3</v>
      </c>
      <c r="V42" s="61">
        <f t="shared" si="18"/>
        <v>2.5999999999999912E-3</v>
      </c>
    </row>
    <row r="43" spans="1:22">
      <c r="A43" s="166">
        <v>35</v>
      </c>
      <c r="B43" s="167" t="s">
        <v>78</v>
      </c>
      <c r="C43" s="168" t="s">
        <v>79</v>
      </c>
      <c r="D43" s="47">
        <v>830016073.88999999</v>
      </c>
      <c r="E43" s="32">
        <f t="shared" si="13"/>
        <v>4.397965819052074E-4</v>
      </c>
      <c r="F43" s="33">
        <v>1</v>
      </c>
      <c r="G43" s="33">
        <v>1</v>
      </c>
      <c r="H43" s="49">
        <v>841</v>
      </c>
      <c r="I43" s="56">
        <v>0.21490000000000001</v>
      </c>
      <c r="J43" s="56">
        <v>0.21490000000000001</v>
      </c>
      <c r="K43" s="47">
        <v>981856213.14999998</v>
      </c>
      <c r="L43" s="32">
        <f t="shared" si="12"/>
        <v>5.2025137831606424E-4</v>
      </c>
      <c r="M43" s="33">
        <v>1</v>
      </c>
      <c r="N43" s="33">
        <v>1</v>
      </c>
      <c r="O43" s="49">
        <v>855</v>
      </c>
      <c r="P43" s="56">
        <v>0.23810000000000001</v>
      </c>
      <c r="Q43" s="56">
        <v>0.23810000000000001</v>
      </c>
      <c r="R43" s="59">
        <f t="shared" si="14"/>
        <v>0.18293638404901902</v>
      </c>
      <c r="S43" s="59">
        <f t="shared" si="15"/>
        <v>0</v>
      </c>
      <c r="T43" s="59">
        <f t="shared" si="16"/>
        <v>1.6646848989298454E-2</v>
      </c>
      <c r="U43" s="60">
        <f t="shared" si="17"/>
        <v>2.3199999999999998E-2</v>
      </c>
      <c r="V43" s="61">
        <f t="shared" si="18"/>
        <v>2.3199999999999998E-2</v>
      </c>
    </row>
    <row r="44" spans="1:22">
      <c r="A44" s="166">
        <v>36</v>
      </c>
      <c r="B44" s="167" t="s">
        <v>80</v>
      </c>
      <c r="C44" s="168" t="s">
        <v>81</v>
      </c>
      <c r="D44" s="47">
        <v>757524870.35000002</v>
      </c>
      <c r="E44" s="32">
        <f t="shared" si="13"/>
        <v>4.0138602030527406E-4</v>
      </c>
      <c r="F44" s="33">
        <v>10</v>
      </c>
      <c r="G44" s="33">
        <v>10</v>
      </c>
      <c r="H44" s="34">
        <v>412</v>
      </c>
      <c r="I44" s="53">
        <v>0.187</v>
      </c>
      <c r="J44" s="53">
        <v>0.187</v>
      </c>
      <c r="K44" s="47">
        <v>766413770.30999994</v>
      </c>
      <c r="L44" s="32">
        <f t="shared" si="12"/>
        <v>4.0609593851322361E-4</v>
      </c>
      <c r="M44" s="33">
        <v>10</v>
      </c>
      <c r="N44" s="33">
        <v>10</v>
      </c>
      <c r="O44" s="34">
        <v>416</v>
      </c>
      <c r="P44" s="53">
        <v>0.18149999999999999</v>
      </c>
      <c r="Q44" s="53">
        <v>0.18149999999999999</v>
      </c>
      <c r="R44" s="59">
        <f t="shared" si="14"/>
        <v>1.173413614247803E-2</v>
      </c>
      <c r="S44" s="59">
        <f t="shared" si="15"/>
        <v>0</v>
      </c>
      <c r="T44" s="59">
        <f t="shared" si="16"/>
        <v>9.7087378640776691E-3</v>
      </c>
      <c r="U44" s="60">
        <f t="shared" si="17"/>
        <v>-5.5000000000000049E-3</v>
      </c>
      <c r="V44" s="61">
        <f t="shared" si="18"/>
        <v>-5.5000000000000049E-3</v>
      </c>
    </row>
    <row r="45" spans="1:22">
      <c r="A45" s="166">
        <v>37</v>
      </c>
      <c r="B45" s="167" t="s">
        <v>82</v>
      </c>
      <c r="C45" s="168" t="s">
        <v>83</v>
      </c>
      <c r="D45" s="47">
        <v>5169349973.1700001</v>
      </c>
      <c r="E45" s="32">
        <f t="shared" si="13"/>
        <v>2.7390583392162575E-3</v>
      </c>
      <c r="F45" s="33">
        <v>100</v>
      </c>
      <c r="G45" s="33">
        <v>100</v>
      </c>
      <c r="H45" s="34">
        <v>729</v>
      </c>
      <c r="I45" s="53">
        <v>0.20899999999999999</v>
      </c>
      <c r="J45" s="53">
        <v>0.20899999999999999</v>
      </c>
      <c r="K45" s="47">
        <v>5184842491.6000004</v>
      </c>
      <c r="L45" s="32">
        <f t="shared" si="12"/>
        <v>2.7472672846390665E-3</v>
      </c>
      <c r="M45" s="33">
        <v>100</v>
      </c>
      <c r="N45" s="33">
        <v>100</v>
      </c>
      <c r="O45" s="34">
        <v>729</v>
      </c>
      <c r="P45" s="53">
        <v>0.21540000000000001</v>
      </c>
      <c r="Q45" s="53">
        <v>0.21540000000000001</v>
      </c>
      <c r="R45" s="59">
        <f t="shared" si="14"/>
        <v>2.9969954656600332E-3</v>
      </c>
      <c r="S45" s="59">
        <f t="shared" si="15"/>
        <v>0</v>
      </c>
      <c r="T45" s="59">
        <f t="shared" si="16"/>
        <v>0</v>
      </c>
      <c r="U45" s="60">
        <f t="shared" si="17"/>
        <v>6.4000000000000168E-3</v>
      </c>
      <c r="V45" s="61">
        <f t="shared" si="18"/>
        <v>6.4000000000000168E-3</v>
      </c>
    </row>
    <row r="46" spans="1:22">
      <c r="A46" s="166">
        <v>38</v>
      </c>
      <c r="B46" s="167" t="s">
        <v>84</v>
      </c>
      <c r="C46" s="167" t="s">
        <v>85</v>
      </c>
      <c r="D46" s="35">
        <v>77582822.500233784</v>
      </c>
      <c r="E46" s="32">
        <f>(D46/$D$179)</f>
        <v>1.4239718286148241E-3</v>
      </c>
      <c r="F46" s="35">
        <v>1</v>
      </c>
      <c r="G46" s="35">
        <v>1</v>
      </c>
      <c r="H46" s="34">
        <v>51</v>
      </c>
      <c r="I46" s="53">
        <v>0.15931202031105549</v>
      </c>
      <c r="J46" s="53">
        <v>0.15931202031105549</v>
      </c>
      <c r="K46" s="35">
        <v>78541449.880263403</v>
      </c>
      <c r="L46" s="57">
        <f>(K46/$K$179)</f>
        <v>1.4239581724910305E-3</v>
      </c>
      <c r="M46" s="35">
        <v>1</v>
      </c>
      <c r="N46" s="35">
        <v>1</v>
      </c>
      <c r="O46" s="34">
        <v>50</v>
      </c>
      <c r="P46" s="53">
        <v>0.160735243460841</v>
      </c>
      <c r="Q46" s="53">
        <v>0.160735243460841</v>
      </c>
      <c r="R46" s="60">
        <f t="shared" si="14"/>
        <v>1.2356180777345785E-2</v>
      </c>
      <c r="S46" s="60">
        <f t="shared" si="15"/>
        <v>0</v>
      </c>
      <c r="T46" s="60">
        <f t="shared" si="16"/>
        <v>-1.9607843137254902E-2</v>
      </c>
      <c r="U46" s="60">
        <f t="shared" si="17"/>
        <v>1.4232231497855186E-3</v>
      </c>
      <c r="V46" s="61">
        <f t="shared" si="18"/>
        <v>1.4232231497855186E-3</v>
      </c>
    </row>
    <row r="47" spans="1:22">
      <c r="A47" s="166">
        <v>39</v>
      </c>
      <c r="B47" s="167" t="s">
        <v>292</v>
      </c>
      <c r="C47" s="168" t="s">
        <v>37</v>
      </c>
      <c r="D47" s="47">
        <v>171575448.80000001</v>
      </c>
      <c r="E47" s="32">
        <f t="shared" ref="E47" si="21">(D47/$K$65)</f>
        <v>9.0911848932569259E-5</v>
      </c>
      <c r="F47" s="33">
        <v>1</v>
      </c>
      <c r="G47" s="33">
        <v>1</v>
      </c>
      <c r="H47" s="34">
        <v>607</v>
      </c>
      <c r="I47" s="53">
        <v>0.19204392000000001</v>
      </c>
      <c r="J47" s="53">
        <v>0.19204392000000001</v>
      </c>
      <c r="K47" s="47">
        <v>176006568.13</v>
      </c>
      <c r="L47" s="32">
        <f t="shared" ref="L47" si="22">(K47/$K$65)</f>
        <v>9.3259744589836195E-5</v>
      </c>
      <c r="M47" s="33">
        <v>1</v>
      </c>
      <c r="N47" s="33">
        <v>1</v>
      </c>
      <c r="O47" s="34">
        <v>737</v>
      </c>
      <c r="P47" s="53">
        <v>0.159</v>
      </c>
      <c r="Q47" s="53">
        <v>0.159</v>
      </c>
      <c r="R47" s="59">
        <f t="shared" ref="R47" si="23">((K47-D47)/D47)</f>
        <v>2.582606871199385E-2</v>
      </c>
      <c r="S47" s="59">
        <f t="shared" ref="S47" si="24">((N47-G47)/G47)</f>
        <v>0</v>
      </c>
      <c r="T47" s="59">
        <f t="shared" ref="T47" si="25">((O47-H47)/H47)</f>
        <v>0.21416803953871499</v>
      </c>
      <c r="U47" s="60">
        <f t="shared" ref="U47" si="26">P47-I47</f>
        <v>-3.3043920000000004E-2</v>
      </c>
      <c r="V47" s="61">
        <f t="shared" ref="V47" si="27">Q47-J47</f>
        <v>-3.3043920000000004E-2</v>
      </c>
    </row>
    <row r="48" spans="1:22">
      <c r="A48" s="166">
        <v>40</v>
      </c>
      <c r="B48" s="167" t="s">
        <v>86</v>
      </c>
      <c r="C48" s="168" t="s">
        <v>37</v>
      </c>
      <c r="D48" s="47">
        <v>46706888836.360001</v>
      </c>
      <c r="E48" s="32">
        <f t="shared" si="13"/>
        <v>2.474835211972044E-2</v>
      </c>
      <c r="F48" s="33">
        <v>100</v>
      </c>
      <c r="G48" s="33">
        <v>100</v>
      </c>
      <c r="H48" s="34">
        <v>13184</v>
      </c>
      <c r="I48" s="53">
        <v>0.20808872</v>
      </c>
      <c r="J48" s="53">
        <v>0.20808872</v>
      </c>
      <c r="K48" s="47">
        <v>48581309994.690002</v>
      </c>
      <c r="L48" s="32">
        <f t="shared" si="12"/>
        <v>2.5741542546287511E-2</v>
      </c>
      <c r="M48" s="33">
        <v>100</v>
      </c>
      <c r="N48" s="33">
        <v>100</v>
      </c>
      <c r="O48" s="34">
        <v>13269</v>
      </c>
      <c r="P48" s="53">
        <v>0.18609999999999999</v>
      </c>
      <c r="Q48" s="53">
        <v>0.18609999999999999</v>
      </c>
      <c r="R48" s="59">
        <f t="shared" si="14"/>
        <v>4.0131578125383885E-2</v>
      </c>
      <c r="S48" s="59">
        <f t="shared" si="15"/>
        <v>0</v>
      </c>
      <c r="T48" s="59">
        <f t="shared" si="16"/>
        <v>6.4472087378640774E-3</v>
      </c>
      <c r="U48" s="60">
        <f t="shared" si="17"/>
        <v>-2.1988720000000017E-2</v>
      </c>
      <c r="V48" s="61">
        <f t="shared" si="18"/>
        <v>-2.1988720000000017E-2</v>
      </c>
    </row>
    <row r="49" spans="1:22">
      <c r="A49" s="166">
        <v>41</v>
      </c>
      <c r="B49" s="167" t="s">
        <v>87</v>
      </c>
      <c r="C49" s="168" t="s">
        <v>41</v>
      </c>
      <c r="D49" s="47">
        <v>9442821588.5</v>
      </c>
      <c r="E49" s="32">
        <f t="shared" si="13"/>
        <v>5.0034219683236852E-3</v>
      </c>
      <c r="F49" s="33">
        <v>1</v>
      </c>
      <c r="G49" s="33">
        <v>1</v>
      </c>
      <c r="H49" s="34">
        <v>1198</v>
      </c>
      <c r="I49" s="53">
        <v>0.22450000000000001</v>
      </c>
      <c r="J49" s="53">
        <v>0.22450000000000001</v>
      </c>
      <c r="K49" s="47">
        <v>9801356307.3999996</v>
      </c>
      <c r="L49" s="32">
        <f t="shared" si="12"/>
        <v>5.193397016791796E-3</v>
      </c>
      <c r="M49" s="33">
        <v>1</v>
      </c>
      <c r="N49" s="33">
        <v>1</v>
      </c>
      <c r="O49" s="34">
        <v>1218</v>
      </c>
      <c r="P49" s="53">
        <v>0.223</v>
      </c>
      <c r="Q49" s="53">
        <v>0.223</v>
      </c>
      <c r="R49" s="59">
        <f t="shared" si="14"/>
        <v>3.7969023934185456E-2</v>
      </c>
      <c r="S49" s="59">
        <f t="shared" si="15"/>
        <v>0</v>
      </c>
      <c r="T49" s="59">
        <f t="shared" si="16"/>
        <v>1.6694490818030049E-2</v>
      </c>
      <c r="U49" s="60">
        <f t="shared" si="17"/>
        <v>-1.5000000000000013E-3</v>
      </c>
      <c r="V49" s="61">
        <f t="shared" si="18"/>
        <v>-1.5000000000000013E-3</v>
      </c>
    </row>
    <row r="50" spans="1:22">
      <c r="A50" s="166">
        <v>42</v>
      </c>
      <c r="B50" s="167" t="s">
        <v>88</v>
      </c>
      <c r="C50" s="168" t="s">
        <v>43</v>
      </c>
      <c r="D50" s="50">
        <v>19506484310.389999</v>
      </c>
      <c r="E50" s="32">
        <f t="shared" si="13"/>
        <v>1.033580600974484E-2</v>
      </c>
      <c r="F50" s="33">
        <v>10</v>
      </c>
      <c r="G50" s="33">
        <v>10</v>
      </c>
      <c r="H50" s="34">
        <v>3336</v>
      </c>
      <c r="I50" s="53">
        <v>0.24110000000000001</v>
      </c>
      <c r="J50" s="53">
        <v>0.24110000000000001</v>
      </c>
      <c r="K50" s="50">
        <v>20951419586.629997</v>
      </c>
      <c r="L50" s="32">
        <f t="shared" si="12"/>
        <v>1.110142683993713E-2</v>
      </c>
      <c r="M50" s="33">
        <v>10</v>
      </c>
      <c r="N50" s="33">
        <v>10</v>
      </c>
      <c r="O50" s="34">
        <v>3386</v>
      </c>
      <c r="P50" s="53">
        <v>0.2424</v>
      </c>
      <c r="Q50" s="53">
        <v>0.2424</v>
      </c>
      <c r="R50" s="59">
        <f t="shared" si="14"/>
        <v>7.4074612997810305E-2</v>
      </c>
      <c r="S50" s="59">
        <f t="shared" si="15"/>
        <v>0</v>
      </c>
      <c r="T50" s="59">
        <f t="shared" si="16"/>
        <v>1.498800959232614E-2</v>
      </c>
      <c r="U50" s="60">
        <f t="shared" si="17"/>
        <v>1.2999999999999956E-3</v>
      </c>
      <c r="V50" s="61">
        <f t="shared" si="18"/>
        <v>1.2999999999999956E-3</v>
      </c>
    </row>
    <row r="51" spans="1:22">
      <c r="A51" s="166">
        <v>43</v>
      </c>
      <c r="B51" s="167" t="s">
        <v>89</v>
      </c>
      <c r="C51" s="168" t="s">
        <v>90</v>
      </c>
      <c r="D51" s="47">
        <v>13766463956</v>
      </c>
      <c r="E51" s="32">
        <f t="shared" si="13"/>
        <v>7.2943693299756746E-3</v>
      </c>
      <c r="F51" s="33">
        <v>100</v>
      </c>
      <c r="G51" s="33">
        <v>100</v>
      </c>
      <c r="H51" s="34">
        <v>3337</v>
      </c>
      <c r="I51" s="53">
        <v>0.22370000000000001</v>
      </c>
      <c r="J51" s="53">
        <v>0.22370000000000001</v>
      </c>
      <c r="K51" s="47">
        <v>13988942956</v>
      </c>
      <c r="L51" s="32">
        <f t="shared" si="12"/>
        <v>7.4122531961122911E-3</v>
      </c>
      <c r="M51" s="33">
        <v>100</v>
      </c>
      <c r="N51" s="33">
        <v>100</v>
      </c>
      <c r="O51" s="34">
        <v>3337</v>
      </c>
      <c r="P51" s="53">
        <v>0.22359999999999999</v>
      </c>
      <c r="Q51" s="53">
        <v>0.22359999999999999</v>
      </c>
      <c r="R51" s="59">
        <f t="shared" si="14"/>
        <v>1.6160940144911675E-2</v>
      </c>
      <c r="S51" s="59">
        <f t="shared" si="15"/>
        <v>0</v>
      </c>
      <c r="T51" s="59">
        <f t="shared" si="16"/>
        <v>0</v>
      </c>
      <c r="U51" s="60">
        <f t="shared" si="17"/>
        <v>-1.0000000000001674E-4</v>
      </c>
      <c r="V51" s="61">
        <f t="shared" si="18"/>
        <v>-1.0000000000001674E-4</v>
      </c>
    </row>
    <row r="52" spans="1:22">
      <c r="A52" s="166">
        <v>44</v>
      </c>
      <c r="B52" s="167" t="s">
        <v>91</v>
      </c>
      <c r="C52" s="168" t="s">
        <v>92</v>
      </c>
      <c r="D52" s="47">
        <v>278995349.57999998</v>
      </c>
      <c r="E52" s="32">
        <f t="shared" si="13"/>
        <v>1.4782990953135893E-4</v>
      </c>
      <c r="F52" s="33">
        <v>1</v>
      </c>
      <c r="G52" s="33">
        <v>1</v>
      </c>
      <c r="H52" s="34">
        <v>89</v>
      </c>
      <c r="I52" s="53">
        <v>0.1749</v>
      </c>
      <c r="J52" s="53">
        <v>0.1749</v>
      </c>
      <c r="K52" s="47">
        <v>287696511.86000001</v>
      </c>
      <c r="L52" s="32">
        <f t="shared" si="12"/>
        <v>1.5244035208750357E-4</v>
      </c>
      <c r="M52" s="33">
        <v>1</v>
      </c>
      <c r="N52" s="33">
        <v>1</v>
      </c>
      <c r="O52" s="34">
        <v>89</v>
      </c>
      <c r="P52" s="53">
        <v>0.16889999999999999</v>
      </c>
      <c r="Q52" s="53">
        <v>0.16889999999999999</v>
      </c>
      <c r="R52" s="59">
        <f t="shared" si="14"/>
        <v>3.1187481415366865E-2</v>
      </c>
      <c r="S52" s="59">
        <f t="shared" si="15"/>
        <v>0</v>
      </c>
      <c r="T52" s="59">
        <f t="shared" si="16"/>
        <v>0</v>
      </c>
      <c r="U52" s="60">
        <f t="shared" si="17"/>
        <v>-6.0000000000000053E-3</v>
      </c>
      <c r="V52" s="61">
        <f t="shared" si="18"/>
        <v>-6.0000000000000053E-3</v>
      </c>
    </row>
    <row r="53" spans="1:22">
      <c r="A53" s="166">
        <v>45</v>
      </c>
      <c r="B53" s="167" t="s">
        <v>93</v>
      </c>
      <c r="C53" s="168" t="s">
        <v>45</v>
      </c>
      <c r="D53" s="50">
        <v>969643241.30999994</v>
      </c>
      <c r="E53" s="32">
        <f t="shared" si="13"/>
        <v>5.1378015030120966E-4</v>
      </c>
      <c r="F53" s="33">
        <v>10</v>
      </c>
      <c r="G53" s="33">
        <v>10</v>
      </c>
      <c r="H53" s="34">
        <v>742</v>
      </c>
      <c r="I53" s="53">
        <v>0.16400000000000001</v>
      </c>
      <c r="J53" s="53">
        <v>0.16400000000000001</v>
      </c>
      <c r="K53" s="50">
        <v>985992274.48000002</v>
      </c>
      <c r="L53" s="32">
        <f t="shared" si="12"/>
        <v>5.2244293302531122E-4</v>
      </c>
      <c r="M53" s="33">
        <v>10</v>
      </c>
      <c r="N53" s="33">
        <v>10</v>
      </c>
      <c r="O53" s="34">
        <v>744</v>
      </c>
      <c r="P53" s="53">
        <v>0.16400000000000001</v>
      </c>
      <c r="Q53" s="53">
        <v>0.16400000000000001</v>
      </c>
      <c r="R53" s="59">
        <f t="shared" si="14"/>
        <v>1.6860874673774173E-2</v>
      </c>
      <c r="S53" s="59">
        <f t="shared" si="15"/>
        <v>0</v>
      </c>
      <c r="T53" s="59">
        <f t="shared" si="16"/>
        <v>2.6954177897574125E-3</v>
      </c>
      <c r="U53" s="60">
        <f t="shared" si="17"/>
        <v>0</v>
      </c>
      <c r="V53" s="61">
        <f t="shared" si="18"/>
        <v>0</v>
      </c>
    </row>
    <row r="54" spans="1:22">
      <c r="A54" s="166">
        <v>46</v>
      </c>
      <c r="B54" s="167" t="s">
        <v>94</v>
      </c>
      <c r="C54" s="168" t="s">
        <v>95</v>
      </c>
      <c r="D54" s="50">
        <v>744254680.92999995</v>
      </c>
      <c r="E54" s="32">
        <f t="shared" si="13"/>
        <v>3.9435460955102389E-4</v>
      </c>
      <c r="F54" s="33">
        <v>1</v>
      </c>
      <c r="G54" s="33">
        <v>1</v>
      </c>
      <c r="H54" s="34">
        <v>62</v>
      </c>
      <c r="I54" s="53">
        <v>0.21890000000000001</v>
      </c>
      <c r="J54" s="53">
        <v>0.21890000000000001</v>
      </c>
      <c r="K54" s="50">
        <v>749461224.65999997</v>
      </c>
      <c r="L54" s="32">
        <f t="shared" si="12"/>
        <v>3.9711337556535225E-4</v>
      </c>
      <c r="M54" s="33">
        <v>1</v>
      </c>
      <c r="N54" s="33">
        <v>1</v>
      </c>
      <c r="O54" s="34">
        <v>62</v>
      </c>
      <c r="P54" s="53">
        <v>0.21890000000000001</v>
      </c>
      <c r="Q54" s="53">
        <v>0.21890000000000001</v>
      </c>
      <c r="R54" s="59">
        <f t="shared" si="14"/>
        <v>6.9956479460687665E-3</v>
      </c>
      <c r="S54" s="59">
        <f t="shared" si="15"/>
        <v>0</v>
      </c>
      <c r="T54" s="59">
        <f t="shared" si="16"/>
        <v>0</v>
      </c>
      <c r="U54" s="60">
        <f t="shared" si="17"/>
        <v>0</v>
      </c>
      <c r="V54" s="61">
        <f t="shared" si="18"/>
        <v>0</v>
      </c>
    </row>
    <row r="55" spans="1:22">
      <c r="A55" s="166">
        <v>47</v>
      </c>
      <c r="B55" s="167" t="s">
        <v>96</v>
      </c>
      <c r="C55" s="168" t="s">
        <v>97</v>
      </c>
      <c r="D55" s="50">
        <v>6464721595.7467003</v>
      </c>
      <c r="E55" s="32">
        <f t="shared" si="13"/>
        <v>3.4254306033535613E-3</v>
      </c>
      <c r="F55" s="33">
        <v>100</v>
      </c>
      <c r="G55" s="33">
        <v>100</v>
      </c>
      <c r="H55" s="34">
        <v>82</v>
      </c>
      <c r="I55" s="53">
        <v>0.22869999999999999</v>
      </c>
      <c r="J55" s="53">
        <v>0.22869999999999999</v>
      </c>
      <c r="K55" s="50">
        <v>6516237595.7464008</v>
      </c>
      <c r="L55" s="32">
        <f t="shared" si="12"/>
        <v>3.4527271358256537E-3</v>
      </c>
      <c r="M55" s="33">
        <v>100</v>
      </c>
      <c r="N55" s="33">
        <v>100</v>
      </c>
      <c r="O55" s="34">
        <v>82</v>
      </c>
      <c r="P55" s="53">
        <v>0.23300000000000001</v>
      </c>
      <c r="Q55" s="53">
        <v>0.23300000000000001</v>
      </c>
      <c r="R55" s="59">
        <f t="shared" si="14"/>
        <v>7.9687886379506568E-3</v>
      </c>
      <c r="S55" s="59">
        <f t="shared" si="15"/>
        <v>0</v>
      </c>
      <c r="T55" s="59">
        <f t="shared" si="16"/>
        <v>0</v>
      </c>
      <c r="U55" s="60">
        <f t="shared" si="17"/>
        <v>4.300000000000026E-3</v>
      </c>
      <c r="V55" s="61">
        <f t="shared" si="18"/>
        <v>4.300000000000026E-3</v>
      </c>
    </row>
    <row r="56" spans="1:22">
      <c r="A56" s="166">
        <v>48</v>
      </c>
      <c r="B56" s="167" t="s">
        <v>98</v>
      </c>
      <c r="C56" s="168" t="s">
        <v>99</v>
      </c>
      <c r="D56" s="50">
        <v>58335811.460000001</v>
      </c>
      <c r="E56" s="32">
        <f t="shared" si="13"/>
        <v>3.0910112815688365E-5</v>
      </c>
      <c r="F56" s="33">
        <v>1000</v>
      </c>
      <c r="G56" s="33">
        <v>1000</v>
      </c>
      <c r="H56" s="34">
        <v>21</v>
      </c>
      <c r="I56" s="53">
        <v>0.189</v>
      </c>
      <c r="J56" s="53">
        <v>0.189</v>
      </c>
      <c r="K56" s="50">
        <v>58339686.979999997</v>
      </c>
      <c r="L56" s="32">
        <f t="shared" si="12"/>
        <v>3.0912166318629718E-5</v>
      </c>
      <c r="M56" s="33">
        <v>1000</v>
      </c>
      <c r="N56" s="33">
        <v>1000</v>
      </c>
      <c r="O56" s="34">
        <v>21</v>
      </c>
      <c r="P56" s="53">
        <v>0.188</v>
      </c>
      <c r="Q56" s="53">
        <v>0.188</v>
      </c>
      <c r="R56" s="59">
        <f t="shared" si="14"/>
        <v>6.6434663425453755E-5</v>
      </c>
      <c r="S56" s="59">
        <f t="shared" si="15"/>
        <v>0</v>
      </c>
      <c r="T56" s="59">
        <f t="shared" si="16"/>
        <v>0</v>
      </c>
      <c r="U56" s="60">
        <f t="shared" si="17"/>
        <v>-1.0000000000000009E-3</v>
      </c>
      <c r="V56" s="61">
        <f t="shared" si="18"/>
        <v>-1.0000000000000009E-3</v>
      </c>
    </row>
    <row r="57" spans="1:22">
      <c r="A57" s="166">
        <v>49</v>
      </c>
      <c r="B57" s="167" t="s">
        <v>100</v>
      </c>
      <c r="C57" s="168" t="s">
        <v>49</v>
      </c>
      <c r="D57" s="47">
        <v>840367961263.91003</v>
      </c>
      <c r="E57" s="32">
        <f t="shared" si="13"/>
        <v>0.4452816861417751</v>
      </c>
      <c r="F57" s="33">
        <v>100</v>
      </c>
      <c r="G57" s="33">
        <v>100</v>
      </c>
      <c r="H57" s="34">
        <v>151109</v>
      </c>
      <c r="I57" s="53">
        <v>0.21210000000000001</v>
      </c>
      <c r="J57" s="53">
        <v>0.21210000000000001</v>
      </c>
      <c r="K57" s="47">
        <v>864859283909.47998</v>
      </c>
      <c r="L57" s="32">
        <f t="shared" si="12"/>
        <v>0.45825878420612742</v>
      </c>
      <c r="M57" s="33">
        <v>100</v>
      </c>
      <c r="N57" s="33">
        <v>100</v>
      </c>
      <c r="O57" s="34">
        <v>152740</v>
      </c>
      <c r="P57" s="53">
        <v>0.2162</v>
      </c>
      <c r="Q57" s="53">
        <v>0.2162</v>
      </c>
      <c r="R57" s="59">
        <f t="shared" si="14"/>
        <v>2.9143570167447955E-2</v>
      </c>
      <c r="S57" s="59">
        <f t="shared" si="15"/>
        <v>0</v>
      </c>
      <c r="T57" s="59">
        <f t="shared" si="16"/>
        <v>1.0793533144948348E-2</v>
      </c>
      <c r="U57" s="60">
        <f t="shared" si="17"/>
        <v>4.0999999999999925E-3</v>
      </c>
      <c r="V57" s="61">
        <f t="shared" si="18"/>
        <v>4.0999999999999925E-3</v>
      </c>
    </row>
    <row r="58" spans="1:22">
      <c r="A58" s="166">
        <v>50</v>
      </c>
      <c r="B58" s="167" t="s">
        <v>101</v>
      </c>
      <c r="C58" s="167" t="s">
        <v>102</v>
      </c>
      <c r="D58" s="47">
        <v>1725643823.46</v>
      </c>
      <c r="E58" s="32">
        <f t="shared" si="13"/>
        <v>9.1435850342835726E-4</v>
      </c>
      <c r="F58" s="33">
        <v>100</v>
      </c>
      <c r="G58" s="33">
        <v>100</v>
      </c>
      <c r="H58" s="34">
        <v>370</v>
      </c>
      <c r="I58" s="53">
        <v>0.21460000000000001</v>
      </c>
      <c r="J58" s="53">
        <v>0.21460000000000001</v>
      </c>
      <c r="K58" s="47">
        <v>1787336670.1700001</v>
      </c>
      <c r="L58" s="32">
        <f t="shared" si="12"/>
        <v>9.470473921915593E-4</v>
      </c>
      <c r="M58" s="33">
        <v>100</v>
      </c>
      <c r="N58" s="33">
        <v>100</v>
      </c>
      <c r="O58" s="34">
        <v>384</v>
      </c>
      <c r="P58" s="53">
        <v>0.21529999999999999</v>
      </c>
      <c r="Q58" s="53">
        <v>0.21529999999999999</v>
      </c>
      <c r="R58" s="59">
        <f t="shared" si="14"/>
        <v>3.5750625865714786E-2</v>
      </c>
      <c r="S58" s="59">
        <f t="shared" si="15"/>
        <v>0</v>
      </c>
      <c r="T58" s="59">
        <f t="shared" si="16"/>
        <v>3.783783783783784E-2</v>
      </c>
      <c r="U58" s="60">
        <f t="shared" si="17"/>
        <v>6.9999999999997842E-4</v>
      </c>
      <c r="V58" s="61">
        <f t="shared" si="18"/>
        <v>6.9999999999997842E-4</v>
      </c>
    </row>
    <row r="59" spans="1:22">
      <c r="A59" s="166">
        <v>51</v>
      </c>
      <c r="B59" s="167" t="s">
        <v>103</v>
      </c>
      <c r="C59" s="168" t="s">
        <v>104</v>
      </c>
      <c r="D59" s="47">
        <v>3744410368.1799998</v>
      </c>
      <c r="E59" s="32">
        <f t="shared" si="13"/>
        <v>1.9840325181391927E-3</v>
      </c>
      <c r="F59" s="33">
        <v>1</v>
      </c>
      <c r="G59" s="33">
        <v>1</v>
      </c>
      <c r="H59" s="34">
        <v>404</v>
      </c>
      <c r="I59" s="53">
        <v>0.20071979339999999</v>
      </c>
      <c r="J59" s="53">
        <v>0.20071979339999999</v>
      </c>
      <c r="K59" s="47">
        <v>3524673890.0700002</v>
      </c>
      <c r="L59" s="32">
        <f t="shared" si="12"/>
        <v>1.8676018187435163E-3</v>
      </c>
      <c r="M59" s="33">
        <v>1</v>
      </c>
      <c r="N59" s="33">
        <v>1</v>
      </c>
      <c r="O59" s="34">
        <v>402</v>
      </c>
      <c r="P59" s="53">
        <v>0.2080849122</v>
      </c>
      <c r="Q59" s="53">
        <v>0.2080849122</v>
      </c>
      <c r="R59" s="59">
        <f t="shared" si="14"/>
        <v>-5.8683866484646102E-2</v>
      </c>
      <c r="S59" s="59">
        <f t="shared" si="15"/>
        <v>0</v>
      </c>
      <c r="T59" s="59">
        <f t="shared" si="16"/>
        <v>-4.9504950495049506E-3</v>
      </c>
      <c r="U59" s="60">
        <f t="shared" si="17"/>
        <v>7.3651188000000145E-3</v>
      </c>
      <c r="V59" s="61">
        <f t="shared" si="18"/>
        <v>7.3651188000000145E-3</v>
      </c>
    </row>
    <row r="60" spans="1:22">
      <c r="A60" s="166">
        <v>52</v>
      </c>
      <c r="B60" s="167" t="s">
        <v>105</v>
      </c>
      <c r="C60" s="168" t="s">
        <v>52</v>
      </c>
      <c r="D60" s="47">
        <v>80153213967.419998</v>
      </c>
      <c r="E60" s="32">
        <f t="shared" si="13"/>
        <v>4.2470393815842881E-2</v>
      </c>
      <c r="F60" s="33">
        <v>1</v>
      </c>
      <c r="G60" s="33">
        <v>1</v>
      </c>
      <c r="H60" s="34">
        <v>41199</v>
      </c>
      <c r="I60" s="53">
        <v>0.20849999999999999</v>
      </c>
      <c r="J60" s="53">
        <v>0.20849999999999999</v>
      </c>
      <c r="K60" s="47">
        <v>88691828827.639999</v>
      </c>
      <c r="L60" s="32">
        <f t="shared" si="12"/>
        <v>4.6994708160901504E-2</v>
      </c>
      <c r="M60" s="33">
        <v>1</v>
      </c>
      <c r="N60" s="33">
        <v>1</v>
      </c>
      <c r="O60" s="34">
        <v>42585</v>
      </c>
      <c r="P60" s="53">
        <v>0.20849999999999999</v>
      </c>
      <c r="Q60" s="53">
        <v>0.20849999999999999</v>
      </c>
      <c r="R60" s="59">
        <f t="shared" si="14"/>
        <v>0.10652866476060094</v>
      </c>
      <c r="S60" s="59">
        <f t="shared" si="15"/>
        <v>0</v>
      </c>
      <c r="T60" s="59">
        <f t="shared" si="16"/>
        <v>3.3641593242554432E-2</v>
      </c>
      <c r="U60" s="60">
        <f t="shared" si="17"/>
        <v>0</v>
      </c>
      <c r="V60" s="61">
        <f t="shared" si="18"/>
        <v>0</v>
      </c>
    </row>
    <row r="61" spans="1:22">
      <c r="A61" s="166">
        <v>53</v>
      </c>
      <c r="B61" s="167" t="s">
        <v>106</v>
      </c>
      <c r="C61" s="168" t="s">
        <v>107</v>
      </c>
      <c r="D61" s="47">
        <v>1477160571.55</v>
      </c>
      <c r="E61" s="32">
        <f t="shared" si="13"/>
        <v>7.8269589075323032E-4</v>
      </c>
      <c r="F61" s="33">
        <v>1</v>
      </c>
      <c r="G61" s="33">
        <v>1</v>
      </c>
      <c r="H61" s="34">
        <v>143</v>
      </c>
      <c r="I61" s="53">
        <v>0.2198</v>
      </c>
      <c r="J61" s="53">
        <v>0.2198</v>
      </c>
      <c r="K61" s="47">
        <v>1469829212.5699999</v>
      </c>
      <c r="L61" s="32">
        <f t="shared" si="12"/>
        <v>7.7881125921228577E-4</v>
      </c>
      <c r="M61" s="33">
        <v>1</v>
      </c>
      <c r="N61" s="33">
        <v>1</v>
      </c>
      <c r="O61" s="34">
        <v>143</v>
      </c>
      <c r="P61" s="53">
        <v>0.2205</v>
      </c>
      <c r="Q61" s="53">
        <v>0.2205</v>
      </c>
      <c r="R61" s="59">
        <f t="shared" si="14"/>
        <v>-4.963142884532281E-3</v>
      </c>
      <c r="S61" s="59">
        <f t="shared" si="15"/>
        <v>0</v>
      </c>
      <c r="T61" s="59">
        <f t="shared" si="16"/>
        <v>0</v>
      </c>
      <c r="U61" s="60">
        <f t="shared" si="17"/>
        <v>7.0000000000000617E-4</v>
      </c>
      <c r="V61" s="61">
        <f t="shared" si="18"/>
        <v>7.0000000000000617E-4</v>
      </c>
    </row>
    <row r="62" spans="1:22">
      <c r="A62" s="166">
        <v>54</v>
      </c>
      <c r="B62" s="167" t="s">
        <v>108</v>
      </c>
      <c r="C62" s="168" t="s">
        <v>109</v>
      </c>
      <c r="D62" s="47">
        <v>2740044502.98</v>
      </c>
      <c r="E62" s="32">
        <f t="shared" si="13"/>
        <v>1.451854059923255E-3</v>
      </c>
      <c r="F62" s="33">
        <v>1</v>
      </c>
      <c r="G62" s="33">
        <v>1</v>
      </c>
      <c r="H62" s="34">
        <v>347</v>
      </c>
      <c r="I62" s="53">
        <v>0.21460000000000001</v>
      </c>
      <c r="J62" s="53">
        <v>0.21460000000000001</v>
      </c>
      <c r="K62" s="47">
        <v>2799086427.1100001</v>
      </c>
      <c r="L62" s="32">
        <f t="shared" si="12"/>
        <v>1.4831383172265924E-3</v>
      </c>
      <c r="M62" s="33">
        <v>1</v>
      </c>
      <c r="N62" s="33">
        <v>1</v>
      </c>
      <c r="O62" s="34">
        <v>347</v>
      </c>
      <c r="P62" s="53">
        <v>0.22189999999999999</v>
      </c>
      <c r="Q62" s="53">
        <v>0.22189999999999999</v>
      </c>
      <c r="R62" s="59">
        <f t="shared" si="14"/>
        <v>2.1547797514159962E-2</v>
      </c>
      <c r="S62" s="59">
        <f t="shared" si="15"/>
        <v>0</v>
      </c>
      <c r="T62" s="59">
        <f t="shared" si="16"/>
        <v>0</v>
      </c>
      <c r="U62" s="60">
        <f t="shared" si="17"/>
        <v>7.2999999999999732E-3</v>
      </c>
      <c r="V62" s="61">
        <f t="shared" si="18"/>
        <v>7.2999999999999732E-3</v>
      </c>
    </row>
    <row r="63" spans="1:22">
      <c r="A63" s="166">
        <v>55</v>
      </c>
      <c r="B63" s="167" t="s">
        <v>110</v>
      </c>
      <c r="C63" s="168" t="s">
        <v>111</v>
      </c>
      <c r="D63" s="47">
        <v>3230836112.5300002</v>
      </c>
      <c r="E63" s="32">
        <f t="shared" si="13"/>
        <v>1.711907424066238E-3</v>
      </c>
      <c r="F63" s="33">
        <v>1</v>
      </c>
      <c r="G63" s="33">
        <v>1</v>
      </c>
      <c r="H63" s="34">
        <v>2047</v>
      </c>
      <c r="I63" s="53">
        <v>0.2316</v>
      </c>
      <c r="J63" s="53">
        <v>0.2316</v>
      </c>
      <c r="K63" s="47">
        <v>3371342328.2600002</v>
      </c>
      <c r="L63" s="32">
        <f t="shared" si="12"/>
        <v>1.7863567695167203E-3</v>
      </c>
      <c r="M63" s="33">
        <v>1</v>
      </c>
      <c r="N63" s="33">
        <v>1</v>
      </c>
      <c r="O63" s="34">
        <v>2172</v>
      </c>
      <c r="P63" s="53">
        <v>0.22750000000000001</v>
      </c>
      <c r="Q63" s="53">
        <v>0.22750000000000001</v>
      </c>
      <c r="R63" s="59">
        <f t="shared" si="14"/>
        <v>4.3489118864643538E-2</v>
      </c>
      <c r="S63" s="59">
        <f t="shared" si="15"/>
        <v>0</v>
      </c>
      <c r="T63" s="59">
        <f t="shared" si="16"/>
        <v>6.106497313141182E-2</v>
      </c>
      <c r="U63" s="60">
        <f t="shared" si="17"/>
        <v>-4.0999999999999925E-3</v>
      </c>
      <c r="V63" s="61">
        <f t="shared" si="18"/>
        <v>-4.0999999999999925E-3</v>
      </c>
    </row>
    <row r="64" spans="1:22">
      <c r="A64" s="166">
        <v>56</v>
      </c>
      <c r="B64" s="167" t="s">
        <v>112</v>
      </c>
      <c r="C64" s="168" t="s">
        <v>113</v>
      </c>
      <c r="D64" s="47">
        <v>60428984663.339996</v>
      </c>
      <c r="E64" s="32">
        <f t="shared" si="13"/>
        <v>3.2019212324870282E-2</v>
      </c>
      <c r="F64" s="33">
        <v>1</v>
      </c>
      <c r="G64" s="33">
        <v>1</v>
      </c>
      <c r="H64" s="34">
        <v>4416</v>
      </c>
      <c r="I64" s="53">
        <v>0.224</v>
      </c>
      <c r="J64" s="53">
        <v>0.224</v>
      </c>
      <c r="K64" s="47">
        <v>61338414976.720001</v>
      </c>
      <c r="L64" s="32">
        <f t="shared" si="12"/>
        <v>3.2501087743777551E-2</v>
      </c>
      <c r="M64" s="33">
        <v>1</v>
      </c>
      <c r="N64" s="33">
        <v>1</v>
      </c>
      <c r="O64" s="34">
        <v>4463</v>
      </c>
      <c r="P64" s="53">
        <v>0.2266</v>
      </c>
      <c r="Q64" s="53">
        <v>0.2266</v>
      </c>
      <c r="R64" s="59">
        <f t="shared" si="14"/>
        <v>1.5049571301695595E-2</v>
      </c>
      <c r="S64" s="59">
        <f t="shared" si="15"/>
        <v>0</v>
      </c>
      <c r="T64" s="59">
        <f t="shared" si="16"/>
        <v>1.0643115942028986E-2</v>
      </c>
      <c r="U64" s="60">
        <f t="shared" si="17"/>
        <v>2.5999999999999912E-3</v>
      </c>
      <c r="V64" s="61">
        <f t="shared" si="18"/>
        <v>2.5999999999999912E-3</v>
      </c>
    </row>
    <row r="65" spans="1:22">
      <c r="A65" s="38"/>
      <c r="B65" s="39"/>
      <c r="C65" s="40" t="s">
        <v>53</v>
      </c>
      <c r="D65" s="51">
        <f>SUM(D27:D64)</f>
        <v>1833494333831.687</v>
      </c>
      <c r="E65" s="42">
        <f>(D65/$D$210)</f>
        <v>0.45612651837576834</v>
      </c>
      <c r="F65" s="43"/>
      <c r="G65" s="48"/>
      <c r="H65" s="45">
        <f>SUM(H27:H64)</f>
        <v>360817</v>
      </c>
      <c r="I65" s="58"/>
      <c r="J65" s="58"/>
      <c r="K65" s="51">
        <f>SUM(K27:K64)</f>
        <v>1887272680234.0166</v>
      </c>
      <c r="L65" s="42">
        <f>(K65/$K$210)</f>
        <v>0.45814375156848397</v>
      </c>
      <c r="M65" s="43"/>
      <c r="N65" s="48"/>
      <c r="O65" s="45">
        <f>SUM(O27:O64)</f>
        <v>365712</v>
      </c>
      <c r="P65" s="58"/>
      <c r="Q65" s="58"/>
      <c r="R65" s="59">
        <f t="shared" si="14"/>
        <v>2.9331067683172011E-2</v>
      </c>
      <c r="S65" s="59" t="e">
        <f t="shared" si="15"/>
        <v>#DIV/0!</v>
      </c>
      <c r="T65" s="59">
        <f t="shared" si="16"/>
        <v>1.3566433954054271E-2</v>
      </c>
      <c r="U65" s="60">
        <f t="shared" si="17"/>
        <v>0</v>
      </c>
      <c r="V65" s="61">
        <f t="shared" si="18"/>
        <v>0</v>
      </c>
    </row>
    <row r="66" spans="1:22" ht="3" customHeight="1">
      <c r="A66" s="38"/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</row>
    <row r="67" spans="1:22" ht="15" customHeight="1">
      <c r="A67" s="179" t="s">
        <v>114</v>
      </c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</row>
    <row r="68" spans="1:22">
      <c r="A68" s="166">
        <v>57</v>
      </c>
      <c r="B68" s="167" t="s">
        <v>115</v>
      </c>
      <c r="C68" s="168" t="s">
        <v>21</v>
      </c>
      <c r="D68" s="31">
        <v>499568396.68000001</v>
      </c>
      <c r="E68" s="32">
        <f>(D68/$D$104)</f>
        <v>2.5031869772144696E-3</v>
      </c>
      <c r="F68" s="63">
        <v>1.3071999999999999</v>
      </c>
      <c r="G68" s="63">
        <v>1.3071999999999999</v>
      </c>
      <c r="H68" s="34">
        <v>467</v>
      </c>
      <c r="I68" s="53">
        <v>4.5899999999999999E-4</v>
      </c>
      <c r="J68" s="53">
        <v>2.7000000000000001E-3</v>
      </c>
      <c r="K68" s="31">
        <v>498079364.94999999</v>
      </c>
      <c r="L68" s="32">
        <f t="shared" ref="L68:L89" si="28">(K68/$K$104)</f>
        <v>2.5767819308573142E-3</v>
      </c>
      <c r="M68" s="63">
        <v>1.3032999999999999</v>
      </c>
      <c r="N68" s="63">
        <v>1.3032999999999999</v>
      </c>
      <c r="O68" s="34">
        <v>467</v>
      </c>
      <c r="P68" s="53">
        <v>4.548E-3</v>
      </c>
      <c r="Q68" s="53">
        <v>3.2000000000000001E-2</v>
      </c>
      <c r="R68" s="59">
        <f>((K68-D68)/D68)</f>
        <v>-2.9806363651018195E-3</v>
      </c>
      <c r="S68" s="59">
        <f>((N68-G68)/G68)</f>
        <v>-2.9834761321909536E-3</v>
      </c>
      <c r="T68" s="59">
        <f>((O68-H68)/H68)</f>
        <v>0</v>
      </c>
      <c r="U68" s="60">
        <f>P68-I68</f>
        <v>4.0889999999999998E-3</v>
      </c>
      <c r="V68" s="61">
        <f>Q68-J68</f>
        <v>2.93E-2</v>
      </c>
    </row>
    <row r="69" spans="1:22">
      <c r="A69" s="166">
        <v>58</v>
      </c>
      <c r="B69" s="167" t="s">
        <v>116</v>
      </c>
      <c r="C69" s="168" t="s">
        <v>23</v>
      </c>
      <c r="D69" s="31">
        <v>1313373084.0599999</v>
      </c>
      <c r="E69" s="32">
        <f>(D69/$D$104)</f>
        <v>6.5809174921625212E-3</v>
      </c>
      <c r="F69" s="63">
        <v>1.1872</v>
      </c>
      <c r="G69" s="63">
        <v>1.1872</v>
      </c>
      <c r="H69" s="34">
        <v>842</v>
      </c>
      <c r="I69" s="53">
        <v>7.4800000000000005E-2</v>
      </c>
      <c r="J69" s="53">
        <v>0.1091</v>
      </c>
      <c r="K69" s="31">
        <v>1303537028.5</v>
      </c>
      <c r="L69" s="32">
        <f t="shared" si="28"/>
        <v>6.7437659489857091E-3</v>
      </c>
      <c r="M69" s="63">
        <v>1.1895</v>
      </c>
      <c r="N69" s="63">
        <v>1.1895</v>
      </c>
      <c r="O69" s="34">
        <v>844</v>
      </c>
      <c r="P69" s="53">
        <v>0.10100000000000001</v>
      </c>
      <c r="Q69" s="53">
        <v>0.1069</v>
      </c>
      <c r="R69" s="59">
        <f t="shared" ref="R69:R104" si="29">((K69-D69)/D69)</f>
        <v>-7.4891557314346437E-3</v>
      </c>
      <c r="S69" s="59">
        <f t="shared" ref="S69:S104" si="30">((N69-G69)/G69)</f>
        <v>1.9373315363881139E-3</v>
      </c>
      <c r="T69" s="59">
        <f t="shared" ref="T69:T104" si="31">((O69-H69)/H69)</f>
        <v>2.3752969121140144E-3</v>
      </c>
      <c r="U69" s="60">
        <f t="shared" ref="U69:U104" si="32">P69-I69</f>
        <v>2.6200000000000001E-2</v>
      </c>
      <c r="V69" s="61">
        <f t="shared" ref="V69:V104" si="33">Q69-J69</f>
        <v>-2.2000000000000075E-3</v>
      </c>
    </row>
    <row r="70" spans="1:22">
      <c r="A70" s="166">
        <v>59</v>
      </c>
      <c r="B70" s="167" t="s">
        <v>117</v>
      </c>
      <c r="C70" s="168" t="s">
        <v>23</v>
      </c>
      <c r="D70" s="31">
        <v>845257829.25999999</v>
      </c>
      <c r="E70" s="32">
        <f>(D70/$D$104)</f>
        <v>4.2353327485355526E-3</v>
      </c>
      <c r="F70" s="63">
        <v>1.0798000000000001</v>
      </c>
      <c r="G70" s="63">
        <v>1.0798000000000001</v>
      </c>
      <c r="H70" s="34">
        <v>207</v>
      </c>
      <c r="I70" s="53">
        <v>0.121</v>
      </c>
      <c r="J70" s="53">
        <v>0.13200000000000001</v>
      </c>
      <c r="K70" s="31">
        <v>846089667.77999997</v>
      </c>
      <c r="L70" s="32">
        <f t="shared" si="28"/>
        <v>4.3771911089700161E-3</v>
      </c>
      <c r="M70" s="63">
        <v>1.0821000000000001</v>
      </c>
      <c r="N70" s="63">
        <v>1.0821000000000001</v>
      </c>
      <c r="O70" s="34">
        <v>211</v>
      </c>
      <c r="P70" s="53">
        <v>0.1111</v>
      </c>
      <c r="Q70" s="53">
        <v>0.12609999999999999</v>
      </c>
      <c r="R70" s="59">
        <f t="shared" si="29"/>
        <v>9.8412400477642737E-4</v>
      </c>
      <c r="S70" s="59">
        <f t="shared" si="30"/>
        <v>2.1300240785330324E-3</v>
      </c>
      <c r="T70" s="59">
        <f t="shared" si="31"/>
        <v>1.932367149758454E-2</v>
      </c>
      <c r="U70" s="60">
        <f t="shared" si="32"/>
        <v>-9.8999999999999921E-3</v>
      </c>
      <c r="V70" s="61">
        <f t="shared" si="33"/>
        <v>-5.9000000000000163E-3</v>
      </c>
    </row>
    <row r="71" spans="1:22">
      <c r="A71" s="166">
        <v>60</v>
      </c>
      <c r="B71" s="167" t="s">
        <v>118</v>
      </c>
      <c r="C71" s="168" t="s">
        <v>119</v>
      </c>
      <c r="D71" s="31">
        <v>280886465.25</v>
      </c>
      <c r="E71" s="32">
        <f>(D71/$D$104)</f>
        <v>1.4074375932550929E-3</v>
      </c>
      <c r="F71" s="37">
        <v>1118.3599999999999</v>
      </c>
      <c r="G71" s="37">
        <v>1118.3599999999999</v>
      </c>
      <c r="H71" s="34">
        <v>111</v>
      </c>
      <c r="I71" s="53">
        <v>8.4099999999999995E-4</v>
      </c>
      <c r="J71" s="53">
        <v>4.96E-3</v>
      </c>
      <c r="K71" s="31">
        <v>271870147.66000003</v>
      </c>
      <c r="L71" s="32">
        <f t="shared" si="28"/>
        <v>1.4065029256936255E-3</v>
      </c>
      <c r="M71" s="37">
        <v>1082.24</v>
      </c>
      <c r="N71" s="37">
        <v>1082.24</v>
      </c>
      <c r="O71" s="34">
        <v>111</v>
      </c>
      <c r="P71" s="53">
        <v>-3.2911000000000003E-2</v>
      </c>
      <c r="Q71" s="53">
        <v>-2.7497000000000001E-2</v>
      </c>
      <c r="R71" s="59">
        <f t="shared" si="29"/>
        <v>-3.2099508895792099E-2</v>
      </c>
      <c r="S71" s="59">
        <f t="shared" si="30"/>
        <v>-3.2297292463964997E-2</v>
      </c>
      <c r="T71" s="59">
        <f t="shared" si="31"/>
        <v>0</v>
      </c>
      <c r="U71" s="60">
        <f t="shared" si="32"/>
        <v>-3.3752000000000004E-2</v>
      </c>
      <c r="V71" s="61">
        <f t="shared" si="33"/>
        <v>-3.2457E-2</v>
      </c>
    </row>
    <row r="72" spans="1:22" ht="15" customHeight="1">
      <c r="A72" s="166">
        <v>61</v>
      </c>
      <c r="B72" s="167" t="s">
        <v>120</v>
      </c>
      <c r="C72" s="168" t="s">
        <v>27</v>
      </c>
      <c r="D72" s="31">
        <v>1710295256.5899999</v>
      </c>
      <c r="E72" s="32">
        <f>(D72/$K$104)</f>
        <v>8.8481037837303128E-3</v>
      </c>
      <c r="F72" s="37">
        <v>1.0521</v>
      </c>
      <c r="G72" s="37">
        <v>1.0521</v>
      </c>
      <c r="H72" s="34">
        <v>877</v>
      </c>
      <c r="I72" s="53">
        <v>1.2999999999999999E-3</v>
      </c>
      <c r="J72" s="53">
        <v>3.0999999999999999E-3</v>
      </c>
      <c r="K72" s="31">
        <v>1635006785.76</v>
      </c>
      <c r="L72" s="32">
        <f t="shared" si="28"/>
        <v>8.4586036661012734E-3</v>
      </c>
      <c r="M72" s="37">
        <v>1.0474000000000001</v>
      </c>
      <c r="N72" s="37">
        <v>1.0474000000000001</v>
      </c>
      <c r="O72" s="34">
        <v>877</v>
      </c>
      <c r="P72" s="53">
        <v>1.2999999999999999E-3</v>
      </c>
      <c r="Q72" s="53">
        <v>5.7999999999999996E-3</v>
      </c>
      <c r="R72" s="59">
        <f t="shared" si="29"/>
        <v>-4.4020744687154584E-2</v>
      </c>
      <c r="S72" s="59">
        <f t="shared" si="30"/>
        <v>-4.467255964261882E-3</v>
      </c>
      <c r="T72" s="59">
        <f t="shared" si="31"/>
        <v>0</v>
      </c>
      <c r="U72" s="60">
        <f t="shared" si="32"/>
        <v>0</v>
      </c>
      <c r="V72" s="61">
        <f t="shared" si="33"/>
        <v>2.6999999999999997E-3</v>
      </c>
    </row>
    <row r="73" spans="1:22">
      <c r="A73" s="166">
        <v>62</v>
      </c>
      <c r="B73" s="167" t="s">
        <v>121</v>
      </c>
      <c r="C73" s="168" t="s">
        <v>122</v>
      </c>
      <c r="D73" s="31">
        <v>430651522.08523852</v>
      </c>
      <c r="E73" s="32">
        <f t="shared" ref="E73:E89" si="34">(D73/$D$104)</f>
        <v>2.1578652472123362E-3</v>
      </c>
      <c r="F73" s="37">
        <v>2.4782000000000002</v>
      </c>
      <c r="G73" s="37">
        <v>2.4782000000000002</v>
      </c>
      <c r="H73" s="34">
        <v>1390</v>
      </c>
      <c r="I73" s="53">
        <v>0.1371</v>
      </c>
      <c r="J73" s="53">
        <v>0.13339999999999999</v>
      </c>
      <c r="K73" s="31">
        <v>431803345.75086206</v>
      </c>
      <c r="L73" s="32">
        <f t="shared" si="28"/>
        <v>2.2339071588044009E-3</v>
      </c>
      <c r="M73" s="37">
        <v>2.4847999999999999</v>
      </c>
      <c r="N73" s="37">
        <v>2.4847999999999999</v>
      </c>
      <c r="O73" s="34">
        <v>1390</v>
      </c>
      <c r="P73" s="53">
        <v>0.1389</v>
      </c>
      <c r="Q73" s="53">
        <v>0.13519999999999999</v>
      </c>
      <c r="R73" s="59">
        <f t="shared" si="29"/>
        <v>2.6746072092032826E-3</v>
      </c>
      <c r="S73" s="59">
        <f t="shared" si="30"/>
        <v>2.6632233072390109E-3</v>
      </c>
      <c r="T73" s="59">
        <f t="shared" si="31"/>
        <v>0</v>
      </c>
      <c r="U73" s="60">
        <f t="shared" si="32"/>
        <v>1.799999999999996E-3</v>
      </c>
      <c r="V73" s="61">
        <f t="shared" si="33"/>
        <v>1.799999999999996E-3</v>
      </c>
    </row>
    <row r="74" spans="1:22">
      <c r="A74" s="166">
        <v>63</v>
      </c>
      <c r="B74" s="167" t="s">
        <v>123</v>
      </c>
      <c r="C74" s="168" t="s">
        <v>63</v>
      </c>
      <c r="D74" s="31">
        <v>145534907.06</v>
      </c>
      <c r="E74" s="32">
        <f t="shared" si="34"/>
        <v>7.2923164576414214E-4</v>
      </c>
      <c r="F74" s="37">
        <v>10.6</v>
      </c>
      <c r="G74" s="37">
        <v>10.65</v>
      </c>
      <c r="H74" s="34">
        <v>29</v>
      </c>
      <c r="I74" s="53">
        <v>-6.0000000000000001E-3</v>
      </c>
      <c r="J74" s="53">
        <v>-0.435</v>
      </c>
      <c r="K74" s="31">
        <v>137961235.97</v>
      </c>
      <c r="L74" s="32">
        <f t="shared" si="28"/>
        <v>7.1373368387169552E-4</v>
      </c>
      <c r="M74" s="37">
        <v>10.57</v>
      </c>
      <c r="N74" s="37">
        <v>10.63</v>
      </c>
      <c r="O74" s="34">
        <v>29</v>
      </c>
      <c r="P74" s="53">
        <v>-6.1000000000000004E-3</v>
      </c>
      <c r="Q74" s="53">
        <v>-0.43519999999999998</v>
      </c>
      <c r="R74" s="59">
        <f t="shared" si="29"/>
        <v>-5.2040237239287128E-2</v>
      </c>
      <c r="S74" s="59">
        <f t="shared" si="30"/>
        <v>-1.8779342723004293E-3</v>
      </c>
      <c r="T74" s="59">
        <f t="shared" si="31"/>
        <v>0</v>
      </c>
      <c r="U74" s="60">
        <f t="shared" si="32"/>
        <v>-1.0000000000000026E-4</v>
      </c>
      <c r="V74" s="61">
        <f t="shared" si="33"/>
        <v>-1.9999999999997797E-4</v>
      </c>
    </row>
    <row r="75" spans="1:22">
      <c r="A75" s="166">
        <v>64</v>
      </c>
      <c r="B75" s="167" t="s">
        <v>124</v>
      </c>
      <c r="C75" s="168" t="s">
        <v>65</v>
      </c>
      <c r="D75" s="31">
        <v>1880199083.4270799</v>
      </c>
      <c r="E75" s="32">
        <f t="shared" si="34"/>
        <v>9.4211120869201106E-3</v>
      </c>
      <c r="F75" s="31">
        <v>4406.99573159584</v>
      </c>
      <c r="G75" s="31">
        <v>4406.99573159584</v>
      </c>
      <c r="H75" s="34">
        <v>1048</v>
      </c>
      <c r="I75" s="53">
        <v>9.4811531773157154E-2</v>
      </c>
      <c r="J75" s="53">
        <v>0.11123793910766162</v>
      </c>
      <c r="K75" s="31">
        <v>1886501378.04302</v>
      </c>
      <c r="L75" s="32">
        <f t="shared" si="28"/>
        <v>9.7596949513591314E-3</v>
      </c>
      <c r="M75" s="31">
        <v>4414.9060577142</v>
      </c>
      <c r="N75" s="31">
        <v>4414.9060577142</v>
      </c>
      <c r="O75" s="34">
        <v>1051</v>
      </c>
      <c r="P75" s="53">
        <v>9.3593692815694213E-2</v>
      </c>
      <c r="Q75" s="53">
        <v>0.10623313087647397</v>
      </c>
      <c r="R75" s="59">
        <f t="shared" si="29"/>
        <v>3.3519294161407438E-3</v>
      </c>
      <c r="S75" s="59">
        <f t="shared" si="30"/>
        <v>1.7949475334516699E-3</v>
      </c>
      <c r="T75" s="59">
        <f t="shared" si="31"/>
        <v>2.8625954198473282E-3</v>
      </c>
      <c r="U75" s="60">
        <f t="shared" si="32"/>
        <v>-1.2178389574629411E-3</v>
      </c>
      <c r="V75" s="61">
        <f t="shared" si="33"/>
        <v>-5.0048082311876518E-3</v>
      </c>
    </row>
    <row r="76" spans="1:22">
      <c r="A76" s="166">
        <v>65</v>
      </c>
      <c r="B76" s="167" t="s">
        <v>125</v>
      </c>
      <c r="C76" s="168" t="s">
        <v>67</v>
      </c>
      <c r="D76" s="31">
        <v>360947587.00999999</v>
      </c>
      <c r="E76" s="32">
        <f t="shared" si="34"/>
        <v>1.8085997938720104E-3</v>
      </c>
      <c r="F76" s="63">
        <v>110.51</v>
      </c>
      <c r="G76" s="63">
        <v>110.51</v>
      </c>
      <c r="H76" s="34">
        <v>136</v>
      </c>
      <c r="I76" s="53">
        <v>2.3999999999999998E-3</v>
      </c>
      <c r="J76" s="53">
        <v>0.13100000000000001</v>
      </c>
      <c r="K76" s="31">
        <v>361942305.88999999</v>
      </c>
      <c r="L76" s="32">
        <f t="shared" si="28"/>
        <v>1.8724855102636247E-3</v>
      </c>
      <c r="M76" s="63">
        <v>110.77</v>
      </c>
      <c r="N76" s="63">
        <v>110.77</v>
      </c>
      <c r="O76" s="34">
        <v>136</v>
      </c>
      <c r="P76" s="53">
        <v>2.3999999999999998E-3</v>
      </c>
      <c r="Q76" s="53">
        <v>0.1303</v>
      </c>
      <c r="R76" s="59">
        <f t="shared" si="29"/>
        <v>2.7558540790922001E-3</v>
      </c>
      <c r="S76" s="59">
        <f t="shared" si="30"/>
        <v>2.3527282598859007E-3</v>
      </c>
      <c r="T76" s="59">
        <f t="shared" si="31"/>
        <v>0</v>
      </c>
      <c r="U76" s="60">
        <f t="shared" si="32"/>
        <v>0</v>
      </c>
      <c r="V76" s="61">
        <f t="shared" si="33"/>
        <v>-7.0000000000000617E-4</v>
      </c>
    </row>
    <row r="77" spans="1:22" ht="13.5" customHeight="1">
      <c r="A77" s="166">
        <v>66</v>
      </c>
      <c r="B77" s="167" t="s">
        <v>126</v>
      </c>
      <c r="C77" s="168" t="s">
        <v>127</v>
      </c>
      <c r="D77" s="31">
        <v>357174920.56</v>
      </c>
      <c r="E77" s="32">
        <f t="shared" si="34"/>
        <v>1.7896960970213405E-3</v>
      </c>
      <c r="F77" s="63">
        <v>1.3524</v>
      </c>
      <c r="G77" s="63">
        <v>1.3524</v>
      </c>
      <c r="H77" s="34">
        <v>375</v>
      </c>
      <c r="I77" s="53">
        <v>-3.7129596572653689E-3</v>
      </c>
      <c r="J77" s="53">
        <v>6.3095255082151858E-2</v>
      </c>
      <c r="K77" s="31">
        <v>355420806.19999999</v>
      </c>
      <c r="L77" s="32">
        <f t="shared" si="28"/>
        <v>1.8387469461997018E-3</v>
      </c>
      <c r="M77" s="63">
        <v>1.3740000000000001</v>
      </c>
      <c r="N77" s="63">
        <v>1.3740000000000001</v>
      </c>
      <c r="O77" s="34">
        <v>375</v>
      </c>
      <c r="P77" s="53">
        <v>-3.7129596572653689E-3</v>
      </c>
      <c r="Q77" s="53">
        <v>6.3095255082151858E-2</v>
      </c>
      <c r="R77" s="59">
        <f t="shared" si="29"/>
        <v>-4.91107930324394E-3</v>
      </c>
      <c r="S77" s="59">
        <f t="shared" si="30"/>
        <v>1.5971606033717882E-2</v>
      </c>
      <c r="T77" s="59">
        <f t="shared" si="31"/>
        <v>0</v>
      </c>
      <c r="U77" s="60">
        <f t="shared" si="32"/>
        <v>0</v>
      </c>
      <c r="V77" s="61">
        <f t="shared" si="33"/>
        <v>0</v>
      </c>
    </row>
    <row r="78" spans="1:22">
      <c r="A78" s="166">
        <v>67</v>
      </c>
      <c r="B78" s="167" t="s">
        <v>128</v>
      </c>
      <c r="C78" s="168" t="s">
        <v>29</v>
      </c>
      <c r="D78" s="31">
        <v>121802299.40000001</v>
      </c>
      <c r="E78" s="32">
        <f t="shared" si="34"/>
        <v>6.1031468699602011E-4</v>
      </c>
      <c r="F78" s="63">
        <v>131.16759999999999</v>
      </c>
      <c r="G78" s="63">
        <v>131.16759999999999</v>
      </c>
      <c r="H78" s="34">
        <v>161</v>
      </c>
      <c r="I78" s="53">
        <v>3.4600000000000001E-4</v>
      </c>
      <c r="J78" s="53">
        <v>3.2000000000000002E-3</v>
      </c>
      <c r="K78" s="31">
        <v>123835253.09999999</v>
      </c>
      <c r="L78" s="32">
        <f t="shared" si="28"/>
        <v>6.4065380950534842E-4</v>
      </c>
      <c r="M78" s="63">
        <v>131.79730000000001</v>
      </c>
      <c r="N78" s="63">
        <v>131.79730000000001</v>
      </c>
      <c r="O78" s="34">
        <v>169</v>
      </c>
      <c r="P78" s="53">
        <v>3.4099999999999999E-4</v>
      </c>
      <c r="Q78" s="53">
        <v>8.0000000000000002E-3</v>
      </c>
      <c r="R78" s="59">
        <f t="shared" si="29"/>
        <v>1.6690601983824192E-2</v>
      </c>
      <c r="S78" s="59">
        <f t="shared" si="30"/>
        <v>4.8007282286175396E-3</v>
      </c>
      <c r="T78" s="59">
        <f t="shared" si="31"/>
        <v>4.9689440993788817E-2</v>
      </c>
      <c r="U78" s="60">
        <f t="shared" si="32"/>
        <v>-5.0000000000000131E-6</v>
      </c>
      <c r="V78" s="61">
        <f t="shared" si="33"/>
        <v>4.8000000000000004E-3</v>
      </c>
    </row>
    <row r="79" spans="1:22">
      <c r="A79" s="166">
        <v>68</v>
      </c>
      <c r="B79" s="167" t="s">
        <v>129</v>
      </c>
      <c r="C79" s="168" t="s">
        <v>99</v>
      </c>
      <c r="D79" s="31">
        <v>1576277911.8700004</v>
      </c>
      <c r="E79" s="32">
        <f t="shared" si="34"/>
        <v>7.8982545086638944E-3</v>
      </c>
      <c r="F79" s="37">
        <v>1000</v>
      </c>
      <c r="G79" s="37">
        <v>1000</v>
      </c>
      <c r="H79" s="34">
        <v>334</v>
      </c>
      <c r="I79" s="53">
        <v>1.0800000000000001E-2</v>
      </c>
      <c r="J79" s="53">
        <v>0.21290000000000001</v>
      </c>
      <c r="K79" s="31">
        <v>1580783209.9900002</v>
      </c>
      <c r="L79" s="32">
        <f t="shared" si="28"/>
        <v>8.178081443935668E-3</v>
      </c>
      <c r="M79" s="37">
        <v>1000</v>
      </c>
      <c r="N79" s="37">
        <v>1000</v>
      </c>
      <c r="O79" s="34">
        <v>335</v>
      </c>
      <c r="P79" s="53">
        <v>1.12E-2</v>
      </c>
      <c r="Q79" s="53">
        <v>0.21510000000000001</v>
      </c>
      <c r="R79" s="59">
        <f t="shared" si="29"/>
        <v>2.8581876876362959E-3</v>
      </c>
      <c r="S79" s="59">
        <f t="shared" si="30"/>
        <v>0</v>
      </c>
      <c r="T79" s="59">
        <f t="shared" si="31"/>
        <v>2.9940119760479044E-3</v>
      </c>
      <c r="U79" s="60">
        <f t="shared" si="32"/>
        <v>3.9999999999999931E-4</v>
      </c>
      <c r="V79" s="61">
        <f t="shared" si="33"/>
        <v>2.2000000000000075E-3</v>
      </c>
    </row>
    <row r="80" spans="1:22">
      <c r="A80" s="166">
        <v>69</v>
      </c>
      <c r="B80" s="167" t="s">
        <v>130</v>
      </c>
      <c r="C80" s="168" t="s">
        <v>73</v>
      </c>
      <c r="D80" s="31">
        <v>186017139.88999999</v>
      </c>
      <c r="E80" s="32">
        <f t="shared" si="34"/>
        <v>9.3207593836163848E-4</v>
      </c>
      <c r="F80" s="37">
        <v>1011.32</v>
      </c>
      <c r="G80" s="37">
        <v>1011.6</v>
      </c>
      <c r="H80" s="34">
        <v>73</v>
      </c>
      <c r="I80" s="53">
        <v>-1.1000000000000001E-3</v>
      </c>
      <c r="J80" s="53">
        <v>-2.9999999999999997E-4</v>
      </c>
      <c r="K80" s="31">
        <v>186037862.78999999</v>
      </c>
      <c r="L80" s="32">
        <f t="shared" si="28"/>
        <v>9.624550564159731E-4</v>
      </c>
      <c r="M80" s="37">
        <v>1011.44</v>
      </c>
      <c r="N80" s="37">
        <v>1011.62</v>
      </c>
      <c r="O80" s="34">
        <v>73</v>
      </c>
      <c r="P80" s="53">
        <v>5.9999999999999995E-4</v>
      </c>
      <c r="Q80" s="53">
        <v>4.0000000000000002E-4</v>
      </c>
      <c r="R80" s="59">
        <f t="shared" si="29"/>
        <v>1.1140317506365441E-4</v>
      </c>
      <c r="S80" s="59">
        <f t="shared" si="30"/>
        <v>1.9770660340037376E-5</v>
      </c>
      <c r="T80" s="59">
        <f t="shared" si="31"/>
        <v>0</v>
      </c>
      <c r="U80" s="60">
        <f t="shared" si="32"/>
        <v>1.7000000000000001E-3</v>
      </c>
      <c r="V80" s="61">
        <f t="shared" si="33"/>
        <v>6.9999999999999999E-4</v>
      </c>
    </row>
    <row r="81" spans="1:22">
      <c r="A81" s="166">
        <v>70</v>
      </c>
      <c r="B81" s="167" t="s">
        <v>131</v>
      </c>
      <c r="C81" s="168" t="s">
        <v>76</v>
      </c>
      <c r="D81" s="31">
        <v>621481881.25999999</v>
      </c>
      <c r="E81" s="32">
        <f t="shared" si="34"/>
        <v>3.1140587797055547E-3</v>
      </c>
      <c r="F81" s="64">
        <v>1.1351</v>
      </c>
      <c r="G81" s="64">
        <v>1.1351</v>
      </c>
      <c r="H81" s="34">
        <v>46</v>
      </c>
      <c r="I81" s="53">
        <v>-1.3100000000000001E-2</v>
      </c>
      <c r="J81" s="53">
        <v>-8.8000000000000005E-3</v>
      </c>
      <c r="K81" s="31">
        <v>621468533.03999996</v>
      </c>
      <c r="L81" s="32">
        <f t="shared" si="28"/>
        <v>3.215127947921774E-3</v>
      </c>
      <c r="M81" s="64">
        <v>1.1377999999999999</v>
      </c>
      <c r="N81" s="64">
        <v>1.1377999999999999</v>
      </c>
      <c r="O81" s="34">
        <v>46</v>
      </c>
      <c r="P81" s="53">
        <v>1.6999999999999999E-3</v>
      </c>
      <c r="Q81" s="53">
        <v>-8.9099999999999999E-2</v>
      </c>
      <c r="R81" s="59">
        <f t="shared" si="29"/>
        <v>-2.1478051738155687E-5</v>
      </c>
      <c r="S81" s="59">
        <f t="shared" si="30"/>
        <v>2.3786450532992023E-3</v>
      </c>
      <c r="T81" s="59">
        <f t="shared" si="31"/>
        <v>0</v>
      </c>
      <c r="U81" s="60">
        <f t="shared" si="32"/>
        <v>1.4800000000000001E-2</v>
      </c>
      <c r="V81" s="61">
        <f t="shared" si="33"/>
        <v>-8.0299999999999996E-2</v>
      </c>
    </row>
    <row r="82" spans="1:22">
      <c r="A82" s="166">
        <v>71</v>
      </c>
      <c r="B82" s="167" t="s">
        <v>132</v>
      </c>
      <c r="C82" s="168" t="s">
        <v>31</v>
      </c>
      <c r="D82" s="31">
        <v>13453701772.370001</v>
      </c>
      <c r="E82" s="32">
        <f t="shared" si="34"/>
        <v>6.7412453020913976E-2</v>
      </c>
      <c r="F82" s="64">
        <v>1695.24</v>
      </c>
      <c r="G82" s="64">
        <v>1695.24</v>
      </c>
      <c r="H82" s="34">
        <v>2171</v>
      </c>
      <c r="I82" s="53">
        <v>2.9999999999999997E-4</v>
      </c>
      <c r="J82" s="53">
        <v>1.2999999999999999E-3</v>
      </c>
      <c r="K82" s="31">
        <v>13336191508.709999</v>
      </c>
      <c r="L82" s="32">
        <f t="shared" si="28"/>
        <v>6.8993938967028615E-2</v>
      </c>
      <c r="M82" s="64">
        <v>1695.97</v>
      </c>
      <c r="N82" s="64">
        <v>1695.97</v>
      </c>
      <c r="O82" s="34">
        <v>2163</v>
      </c>
      <c r="P82" s="53">
        <v>4.0000000000000002E-4</v>
      </c>
      <c r="Q82" s="53">
        <v>1.8E-3</v>
      </c>
      <c r="R82" s="59">
        <f t="shared" si="29"/>
        <v>-8.7344186490987737E-3</v>
      </c>
      <c r="S82" s="59">
        <f t="shared" si="30"/>
        <v>4.3061749368822008E-4</v>
      </c>
      <c r="T82" s="59">
        <f t="shared" si="31"/>
        <v>-3.6849378166743437E-3</v>
      </c>
      <c r="U82" s="60">
        <f t="shared" si="32"/>
        <v>1.0000000000000005E-4</v>
      </c>
      <c r="V82" s="61">
        <f t="shared" si="33"/>
        <v>5.0000000000000001E-4</v>
      </c>
    </row>
    <row r="83" spans="1:22">
      <c r="A83" s="166">
        <v>72</v>
      </c>
      <c r="B83" s="167" t="s">
        <v>133</v>
      </c>
      <c r="C83" s="168" t="s">
        <v>81</v>
      </c>
      <c r="D83" s="31">
        <v>23615471.399999999</v>
      </c>
      <c r="E83" s="32">
        <f t="shared" si="34"/>
        <v>1.1833002420112328E-4</v>
      </c>
      <c r="F83" s="63">
        <v>0.72019999999999995</v>
      </c>
      <c r="G83" s="63">
        <v>0.72019999999999995</v>
      </c>
      <c r="H83" s="34">
        <v>746</v>
      </c>
      <c r="I83" s="53">
        <v>2.0999999999999999E-3</v>
      </c>
      <c r="J83" s="53">
        <v>4.8999999999999998E-3</v>
      </c>
      <c r="K83" s="31">
        <v>23665809.84</v>
      </c>
      <c r="L83" s="32">
        <f t="shared" si="28"/>
        <v>1.2243356273339875E-4</v>
      </c>
      <c r="M83" s="63">
        <v>0.7218</v>
      </c>
      <c r="N83" s="63">
        <v>0.7218</v>
      </c>
      <c r="O83" s="34">
        <v>746</v>
      </c>
      <c r="P83" s="53">
        <v>2.2000000000000001E-3</v>
      </c>
      <c r="Q83" s="53">
        <v>7.1000000000000004E-3</v>
      </c>
      <c r="R83" s="59">
        <f t="shared" si="29"/>
        <v>2.1315873457432378E-3</v>
      </c>
      <c r="S83" s="59">
        <f t="shared" si="30"/>
        <v>2.2216051096918162E-3</v>
      </c>
      <c r="T83" s="59">
        <f t="shared" si="31"/>
        <v>0</v>
      </c>
      <c r="U83" s="60">
        <f t="shared" si="32"/>
        <v>1.0000000000000026E-4</v>
      </c>
      <c r="V83" s="61">
        <f t="shared" si="33"/>
        <v>2.2000000000000006E-3</v>
      </c>
    </row>
    <row r="84" spans="1:22">
      <c r="A84" s="166">
        <v>73</v>
      </c>
      <c r="B84" s="167" t="s">
        <v>134</v>
      </c>
      <c r="C84" s="168" t="s">
        <v>37</v>
      </c>
      <c r="D84" s="31">
        <v>10746680324.32</v>
      </c>
      <c r="E84" s="32">
        <f t="shared" si="34"/>
        <v>5.3848382753795936E-2</v>
      </c>
      <c r="F84" s="63">
        <v>1</v>
      </c>
      <c r="G84" s="63">
        <v>1</v>
      </c>
      <c r="H84" s="34">
        <v>5251</v>
      </c>
      <c r="I84" s="53">
        <v>0.06</v>
      </c>
      <c r="J84" s="53">
        <v>0.06</v>
      </c>
      <c r="K84" s="31">
        <v>10721408148.889999</v>
      </c>
      <c r="L84" s="32">
        <f t="shared" si="28"/>
        <v>5.546652348101079E-2</v>
      </c>
      <c r="M84" s="63">
        <v>1</v>
      </c>
      <c r="N84" s="63">
        <v>1</v>
      </c>
      <c r="O84" s="34">
        <v>5251</v>
      </c>
      <c r="P84" s="53">
        <v>0.06</v>
      </c>
      <c r="Q84" s="53">
        <v>0.06</v>
      </c>
      <c r="R84" s="59">
        <f t="shared" si="29"/>
        <v>-2.3516262387379993E-3</v>
      </c>
      <c r="S84" s="59">
        <f t="shared" si="30"/>
        <v>0</v>
      </c>
      <c r="T84" s="59">
        <f t="shared" si="31"/>
        <v>0</v>
      </c>
      <c r="U84" s="60">
        <f t="shared" si="32"/>
        <v>0</v>
      </c>
      <c r="V84" s="61">
        <f t="shared" si="33"/>
        <v>0</v>
      </c>
    </row>
    <row r="85" spans="1:22">
      <c r="A85" s="169">
        <v>74</v>
      </c>
      <c r="B85" s="167" t="s">
        <v>135</v>
      </c>
      <c r="C85" s="168" t="s">
        <v>136</v>
      </c>
      <c r="D85" s="31">
        <v>1108909483.6600001</v>
      </c>
      <c r="E85" s="32">
        <f t="shared" si="34"/>
        <v>5.556411888451354E-3</v>
      </c>
      <c r="F85" s="31">
        <v>240.7955</v>
      </c>
      <c r="G85" s="31">
        <v>244.94489999999999</v>
      </c>
      <c r="H85" s="34">
        <v>491</v>
      </c>
      <c r="I85" s="53">
        <v>0.17979999999999999</v>
      </c>
      <c r="J85" s="53">
        <v>0.17979999999999999</v>
      </c>
      <c r="K85" s="31">
        <v>1119983128.72</v>
      </c>
      <c r="L85" s="32">
        <f t="shared" si="28"/>
        <v>5.7941615172924215E-3</v>
      </c>
      <c r="M85" s="31">
        <v>240.47</v>
      </c>
      <c r="N85" s="31">
        <v>244.65</v>
      </c>
      <c r="O85" s="34">
        <v>508</v>
      </c>
      <c r="P85" s="53">
        <v>2.7000000000000001E-3</v>
      </c>
      <c r="Q85" s="53">
        <v>0.17960000000000001</v>
      </c>
      <c r="R85" s="59">
        <f t="shared" si="29"/>
        <v>9.9860675944901597E-3</v>
      </c>
      <c r="S85" s="59">
        <f t="shared" si="30"/>
        <v>-1.2039442339888855E-3</v>
      </c>
      <c r="T85" s="59">
        <f t="shared" si="31"/>
        <v>3.4623217922606926E-2</v>
      </c>
      <c r="U85" s="60">
        <f t="shared" si="32"/>
        <v>-0.17709999999999998</v>
      </c>
      <c r="V85" s="61">
        <f t="shared" si="33"/>
        <v>-1.9999999999997797E-4</v>
      </c>
    </row>
    <row r="86" spans="1:22">
      <c r="A86" s="166">
        <v>75</v>
      </c>
      <c r="B86" s="167" t="s">
        <v>137</v>
      </c>
      <c r="C86" s="168" t="s">
        <v>41</v>
      </c>
      <c r="D86" s="31">
        <v>1090498512.26</v>
      </c>
      <c r="E86" s="32">
        <f t="shared" si="34"/>
        <v>5.4641600483577371E-3</v>
      </c>
      <c r="F86" s="63">
        <v>3.64</v>
      </c>
      <c r="G86" s="63">
        <v>3.64</v>
      </c>
      <c r="H86" s="49">
        <v>770</v>
      </c>
      <c r="I86" s="56">
        <v>1.9E-3</v>
      </c>
      <c r="J86" s="56">
        <v>7.7399999999999997E-2</v>
      </c>
      <c r="K86" s="31">
        <v>1092478150.21</v>
      </c>
      <c r="L86" s="32">
        <f t="shared" si="28"/>
        <v>5.6518662595069448E-3</v>
      </c>
      <c r="M86" s="63">
        <v>3.64</v>
      </c>
      <c r="N86" s="63">
        <v>3.64</v>
      </c>
      <c r="O86" s="49">
        <v>770</v>
      </c>
      <c r="P86" s="56">
        <v>3.8E-3</v>
      </c>
      <c r="Q86" s="56">
        <v>8.3799999999999999E-2</v>
      </c>
      <c r="R86" s="59">
        <f t="shared" si="29"/>
        <v>1.8153513532974507E-3</v>
      </c>
      <c r="S86" s="59">
        <f t="shared" si="30"/>
        <v>0</v>
      </c>
      <c r="T86" s="59">
        <f t="shared" si="31"/>
        <v>0</v>
      </c>
      <c r="U86" s="60">
        <f t="shared" si="32"/>
        <v>1.9E-3</v>
      </c>
      <c r="V86" s="61">
        <f t="shared" si="33"/>
        <v>6.4000000000000029E-3</v>
      </c>
    </row>
    <row r="87" spans="1:22">
      <c r="A87" s="166">
        <v>76</v>
      </c>
      <c r="B87" s="167" t="s">
        <v>138</v>
      </c>
      <c r="C87" s="168" t="s">
        <v>43</v>
      </c>
      <c r="D87" s="31">
        <v>555788692.20000005</v>
      </c>
      <c r="E87" s="32">
        <f t="shared" si="34"/>
        <v>2.7848899683085163E-3</v>
      </c>
      <c r="F87" s="63">
        <v>112.28</v>
      </c>
      <c r="G87" s="63">
        <v>112.28</v>
      </c>
      <c r="H87" s="49">
        <v>59</v>
      </c>
      <c r="I87" s="56">
        <v>0.1454</v>
      </c>
      <c r="J87" s="56">
        <v>0.1691</v>
      </c>
      <c r="K87" s="31">
        <v>557157654.76999998</v>
      </c>
      <c r="L87" s="32">
        <f t="shared" si="28"/>
        <v>2.8824197075385657E-3</v>
      </c>
      <c r="M87" s="63">
        <v>105.38202</v>
      </c>
      <c r="N87" s="63">
        <v>105.38202</v>
      </c>
      <c r="O87" s="49">
        <v>59</v>
      </c>
      <c r="P87" s="56">
        <v>0.14729999999999999</v>
      </c>
      <c r="Q87" s="56">
        <v>0.17100000000000001</v>
      </c>
      <c r="R87" s="59">
        <f t="shared" si="29"/>
        <v>2.4630989964569364E-3</v>
      </c>
      <c r="S87" s="59">
        <f t="shared" si="30"/>
        <v>-6.1435518346989702E-2</v>
      </c>
      <c r="T87" s="59">
        <f t="shared" si="31"/>
        <v>0</v>
      </c>
      <c r="U87" s="60">
        <f t="shared" si="32"/>
        <v>1.899999999999985E-3</v>
      </c>
      <c r="V87" s="61">
        <f t="shared" si="33"/>
        <v>1.9000000000000128E-3</v>
      </c>
    </row>
    <row r="88" spans="1:22">
      <c r="A88" s="166">
        <v>77</v>
      </c>
      <c r="B88" s="168" t="s">
        <v>139</v>
      </c>
      <c r="C88" s="172" t="s">
        <v>47</v>
      </c>
      <c r="D88" s="31">
        <v>1393911856.54</v>
      </c>
      <c r="E88" s="32">
        <f t="shared" si="34"/>
        <v>6.9844730568711369E-3</v>
      </c>
      <c r="F88" s="63">
        <v>97.61</v>
      </c>
      <c r="G88" s="63">
        <v>97.61</v>
      </c>
      <c r="H88" s="34">
        <v>289</v>
      </c>
      <c r="I88" s="53">
        <v>2E-3</v>
      </c>
      <c r="J88" s="53">
        <v>3.8999999999999998E-3</v>
      </c>
      <c r="K88" s="31">
        <v>1398665829.72</v>
      </c>
      <c r="L88" s="32">
        <f t="shared" si="28"/>
        <v>7.2359087546054928E-3</v>
      </c>
      <c r="M88" s="63">
        <v>97.76</v>
      </c>
      <c r="N88" s="63">
        <v>97.76</v>
      </c>
      <c r="O88" s="34">
        <v>289</v>
      </c>
      <c r="P88" s="53">
        <v>1.6000000000000001E-3</v>
      </c>
      <c r="Q88" s="53">
        <v>5.8999999999999999E-3</v>
      </c>
      <c r="R88" s="59">
        <f t="shared" si="29"/>
        <v>3.4105263956936906E-3</v>
      </c>
      <c r="S88" s="59">
        <f t="shared" si="30"/>
        <v>1.5367277942834308E-3</v>
      </c>
      <c r="T88" s="59">
        <f t="shared" si="31"/>
        <v>0</v>
      </c>
      <c r="U88" s="60">
        <f t="shared" si="32"/>
        <v>-3.9999999999999996E-4</v>
      </c>
      <c r="V88" s="61">
        <f t="shared" si="33"/>
        <v>2E-3</v>
      </c>
    </row>
    <row r="89" spans="1:22">
      <c r="A89" s="166">
        <v>78</v>
      </c>
      <c r="B89" s="167" t="s">
        <v>140</v>
      </c>
      <c r="C89" s="168" t="s">
        <v>19</v>
      </c>
      <c r="D89" s="31">
        <v>1317203986.3199999</v>
      </c>
      <c r="E89" s="32">
        <f t="shared" si="34"/>
        <v>6.600112991141124E-3</v>
      </c>
      <c r="F89" s="63">
        <v>344.79070000000002</v>
      </c>
      <c r="G89" s="63">
        <v>344.79070000000002</v>
      </c>
      <c r="H89" s="34">
        <v>105</v>
      </c>
      <c r="I89" s="53">
        <v>2.7000000000000001E-3</v>
      </c>
      <c r="J89" s="53">
        <v>6.1999999999999998E-3</v>
      </c>
      <c r="K89" s="31">
        <v>1366612587.48</v>
      </c>
      <c r="L89" s="32">
        <f t="shared" si="28"/>
        <v>7.0700833435533494E-3</v>
      </c>
      <c r="M89" s="63">
        <v>345.67910000000001</v>
      </c>
      <c r="N89" s="63">
        <v>345.67910000000001</v>
      </c>
      <c r="O89" s="34">
        <v>196</v>
      </c>
      <c r="P89" s="53">
        <v>2.5999999999999999E-3</v>
      </c>
      <c r="Q89" s="53">
        <v>8.6999999999999994E-3</v>
      </c>
      <c r="R89" s="59">
        <f t="shared" si="29"/>
        <v>3.7510212292962815E-2</v>
      </c>
      <c r="S89" s="59">
        <f t="shared" si="30"/>
        <v>2.5766356227125329E-3</v>
      </c>
      <c r="T89" s="59">
        <f t="shared" si="31"/>
        <v>0.8666666666666667</v>
      </c>
      <c r="U89" s="60">
        <f t="shared" si="32"/>
        <v>-1.0000000000000026E-4</v>
      </c>
      <c r="V89" s="61">
        <f t="shared" si="33"/>
        <v>2.4999999999999996E-3</v>
      </c>
    </row>
    <row r="90" spans="1:22">
      <c r="A90" s="166">
        <v>79</v>
      </c>
      <c r="B90" s="167" t="s">
        <v>141</v>
      </c>
      <c r="C90" s="168" t="s">
        <v>90</v>
      </c>
      <c r="D90" s="47">
        <v>1415289189</v>
      </c>
      <c r="E90" s="32">
        <f>(D90/$K$65)</f>
        <v>7.4991240207244883E-4</v>
      </c>
      <c r="F90" s="63">
        <v>101.43</v>
      </c>
      <c r="G90" s="63">
        <v>101.43</v>
      </c>
      <c r="H90" s="34">
        <v>383</v>
      </c>
      <c r="I90" s="53">
        <v>2.8E-3</v>
      </c>
      <c r="J90" s="53">
        <v>0.14630000000000001</v>
      </c>
      <c r="K90" s="47">
        <v>1378456073</v>
      </c>
      <c r="L90" s="32">
        <f>(K90/$K$65)</f>
        <v>7.3039581796366349E-4</v>
      </c>
      <c r="M90" s="63">
        <v>101.7</v>
      </c>
      <c r="N90" s="63">
        <v>101.7</v>
      </c>
      <c r="O90" s="34">
        <v>384</v>
      </c>
      <c r="P90" s="53">
        <v>2.7000000000000001E-3</v>
      </c>
      <c r="Q90" s="53">
        <v>0.14410000000000001</v>
      </c>
      <c r="R90" s="59">
        <f t="shared" si="29"/>
        <v>-2.6025151810864289E-2</v>
      </c>
      <c r="S90" s="59">
        <f t="shared" si="30"/>
        <v>2.6619343389529329E-3</v>
      </c>
      <c r="T90" s="59">
        <f t="shared" si="31"/>
        <v>2.6109660574412533E-3</v>
      </c>
      <c r="U90" s="60">
        <f t="shared" si="32"/>
        <v>-9.9999999999999829E-5</v>
      </c>
      <c r="V90" s="61">
        <f t="shared" si="33"/>
        <v>-2.2000000000000075E-3</v>
      </c>
    </row>
    <row r="91" spans="1:22">
      <c r="A91" s="166">
        <v>80</v>
      </c>
      <c r="B91" s="167" t="s">
        <v>142</v>
      </c>
      <c r="C91" s="168" t="s">
        <v>45</v>
      </c>
      <c r="D91" s="31">
        <v>58759516.859999999</v>
      </c>
      <c r="E91" s="32">
        <f t="shared" ref="E91:E103" si="35">(D91/$D$104)</f>
        <v>2.9442626549009359E-4</v>
      </c>
      <c r="F91" s="31">
        <v>12.213315</v>
      </c>
      <c r="G91" s="31">
        <v>12.527165999999999</v>
      </c>
      <c r="H91" s="34">
        <v>56</v>
      </c>
      <c r="I91" s="53">
        <v>0</v>
      </c>
      <c r="J91" s="53">
        <v>4.4000000000000003E-3</v>
      </c>
      <c r="K91" s="31">
        <v>58881107.840000004</v>
      </c>
      <c r="L91" s="32">
        <f t="shared" ref="L91:L103" si="36">(K91/$K$104)</f>
        <v>3.0461766824289909E-4</v>
      </c>
      <c r="M91" s="31">
        <v>12.238588</v>
      </c>
      <c r="N91" s="31">
        <v>12.553825</v>
      </c>
      <c r="O91" s="34">
        <v>56</v>
      </c>
      <c r="P91" s="53">
        <v>0</v>
      </c>
      <c r="Q91" s="53">
        <v>4.4000000000000003E-3</v>
      </c>
      <c r="R91" s="59">
        <f t="shared" si="29"/>
        <v>2.0692984983131492E-3</v>
      </c>
      <c r="S91" s="59">
        <f t="shared" si="30"/>
        <v>2.1280950535819861E-3</v>
      </c>
      <c r="T91" s="59">
        <f t="shared" si="31"/>
        <v>0</v>
      </c>
      <c r="U91" s="60">
        <f t="shared" si="32"/>
        <v>0</v>
      </c>
      <c r="V91" s="61">
        <f t="shared" si="33"/>
        <v>0</v>
      </c>
    </row>
    <row r="92" spans="1:22">
      <c r="A92" s="166">
        <v>81</v>
      </c>
      <c r="B92" s="167" t="s">
        <v>143</v>
      </c>
      <c r="C92" s="168" t="s">
        <v>144</v>
      </c>
      <c r="D92" s="31">
        <v>516643719.38</v>
      </c>
      <c r="E92" s="32">
        <f t="shared" si="35"/>
        <v>2.588746283404436E-3</v>
      </c>
      <c r="F92" s="31">
        <v>132.13</v>
      </c>
      <c r="G92" s="31">
        <v>132.13</v>
      </c>
      <c r="H92" s="34">
        <v>113</v>
      </c>
      <c r="I92" s="53">
        <v>0.1875</v>
      </c>
      <c r="J92" s="53">
        <v>0.18729999999999999</v>
      </c>
      <c r="K92" s="31">
        <v>435025194.45999998</v>
      </c>
      <c r="L92" s="32">
        <f t="shared" si="36"/>
        <v>2.250575188282988E-3</v>
      </c>
      <c r="M92" s="31">
        <v>132.62</v>
      </c>
      <c r="N92" s="31">
        <v>132.62</v>
      </c>
      <c r="O92" s="34">
        <v>113</v>
      </c>
      <c r="P92" s="53">
        <v>0.2208</v>
      </c>
      <c r="Q92" s="53">
        <v>0.19420000000000001</v>
      </c>
      <c r="R92" s="59">
        <f t="shared" si="29"/>
        <v>-0.15797835502180613</v>
      </c>
      <c r="S92" s="59">
        <f t="shared" si="30"/>
        <v>3.7084689321123824E-3</v>
      </c>
      <c r="T92" s="59">
        <f t="shared" si="31"/>
        <v>0</v>
      </c>
      <c r="U92" s="60">
        <f t="shared" si="32"/>
        <v>3.3299999999999996E-2</v>
      </c>
      <c r="V92" s="61">
        <f t="shared" si="33"/>
        <v>6.9000000000000172E-3</v>
      </c>
    </row>
    <row r="93" spans="1:22">
      <c r="A93" s="166">
        <v>82</v>
      </c>
      <c r="B93" s="167" t="s">
        <v>145</v>
      </c>
      <c r="C93" s="168" t="s">
        <v>146</v>
      </c>
      <c r="D93" s="31">
        <v>7669417560.9582682</v>
      </c>
      <c r="E93" s="32">
        <f t="shared" si="35"/>
        <v>3.842914461562312E-2</v>
      </c>
      <c r="F93" s="31">
        <v>1.0083692255054701</v>
      </c>
      <c r="G93" s="31">
        <v>1.0083692255054701</v>
      </c>
      <c r="H93" s="34">
        <v>4498</v>
      </c>
      <c r="I93" s="53">
        <v>0.19020000000000001</v>
      </c>
      <c r="J93" s="53">
        <v>0.19020000000000001</v>
      </c>
      <c r="K93" s="31">
        <v>7854806572.6099997</v>
      </c>
      <c r="L93" s="32">
        <f t="shared" si="36"/>
        <v>4.0636342460628812E-2</v>
      </c>
      <c r="M93" s="31">
        <v>1.01254</v>
      </c>
      <c r="N93" s="31">
        <v>1.01254</v>
      </c>
      <c r="O93" s="34">
        <v>4506</v>
      </c>
      <c r="P93" s="53">
        <v>0.1903</v>
      </c>
      <c r="Q93" s="53">
        <v>0.1903</v>
      </c>
      <c r="R93" s="59">
        <f t="shared" si="29"/>
        <v>2.4172502041806647E-2</v>
      </c>
      <c r="S93" s="59">
        <f t="shared" si="30"/>
        <v>4.1361580550409449E-3</v>
      </c>
      <c r="T93" s="59">
        <f t="shared" si="31"/>
        <v>1.7785682525566918E-3</v>
      </c>
      <c r="U93" s="60">
        <f t="shared" si="32"/>
        <v>9.9999999999988987E-5</v>
      </c>
      <c r="V93" s="61">
        <f t="shared" si="33"/>
        <v>9.9999999999988987E-5</v>
      </c>
    </row>
    <row r="94" spans="1:22" ht="14.25" customHeight="1">
      <c r="A94" s="166">
        <v>83</v>
      </c>
      <c r="B94" s="167" t="s">
        <v>147</v>
      </c>
      <c r="C94" s="168" t="s">
        <v>49</v>
      </c>
      <c r="D94" s="31">
        <v>11461448716.129999</v>
      </c>
      <c r="E94" s="32">
        <f t="shared" si="35"/>
        <v>5.7429872179455894E-2</v>
      </c>
      <c r="F94" s="31">
        <v>5167.8599999999997</v>
      </c>
      <c r="G94" s="31">
        <v>5167.8599999999997</v>
      </c>
      <c r="H94" s="34">
        <v>287</v>
      </c>
      <c r="I94" s="53">
        <v>0</v>
      </c>
      <c r="J94" s="53">
        <v>1E-4</v>
      </c>
      <c r="K94" s="31">
        <v>5601483646.9499998</v>
      </c>
      <c r="L94" s="32">
        <f t="shared" si="36"/>
        <v>2.897891955211282E-2</v>
      </c>
      <c r="M94" s="31">
        <v>5168.08</v>
      </c>
      <c r="N94" s="31">
        <v>5168.08</v>
      </c>
      <c r="O94" s="34">
        <v>274</v>
      </c>
      <c r="P94" s="53">
        <v>0</v>
      </c>
      <c r="Q94" s="53">
        <v>1E-4</v>
      </c>
      <c r="R94" s="59">
        <f t="shared" si="29"/>
        <v>-0.51127612349153695</v>
      </c>
      <c r="S94" s="59">
        <f t="shared" si="30"/>
        <v>4.2570812676863278E-5</v>
      </c>
      <c r="T94" s="59">
        <f t="shared" si="31"/>
        <v>-4.5296167247386762E-2</v>
      </c>
      <c r="U94" s="60">
        <f t="shared" si="32"/>
        <v>0</v>
      </c>
      <c r="V94" s="61">
        <f t="shared" si="33"/>
        <v>0</v>
      </c>
    </row>
    <row r="95" spans="1:22" ht="13.5" customHeight="1">
      <c r="A95" s="166">
        <v>84</v>
      </c>
      <c r="B95" s="167" t="s">
        <v>148</v>
      </c>
      <c r="C95" s="168" t="s">
        <v>49</v>
      </c>
      <c r="D95" s="31">
        <v>21255936056.93</v>
      </c>
      <c r="E95" s="32">
        <f t="shared" si="35"/>
        <v>0.10650710229032549</v>
      </c>
      <c r="F95" s="63">
        <v>258.95999999999998</v>
      </c>
      <c r="G95" s="63">
        <v>258.95999999999998</v>
      </c>
      <c r="H95" s="34">
        <v>6336</v>
      </c>
      <c r="I95" s="53">
        <v>0</v>
      </c>
      <c r="J95" s="53">
        <v>4.0000000000000002E-4</v>
      </c>
      <c r="K95" s="31">
        <v>21178605593.380001</v>
      </c>
      <c r="L95" s="32">
        <f t="shared" si="36"/>
        <v>0.10956616967911037</v>
      </c>
      <c r="M95" s="63">
        <v>258.95999999999998</v>
      </c>
      <c r="N95" s="63">
        <v>258.95999999999998</v>
      </c>
      <c r="O95" s="34">
        <v>6329</v>
      </c>
      <c r="P95" s="53">
        <v>0</v>
      </c>
      <c r="Q95" s="53">
        <v>4.0000000000000002E-4</v>
      </c>
      <c r="R95" s="59">
        <f t="shared" si="29"/>
        <v>-3.6380643667201589E-3</v>
      </c>
      <c r="S95" s="59">
        <f t="shared" si="30"/>
        <v>0</v>
      </c>
      <c r="T95" s="59">
        <f t="shared" si="31"/>
        <v>-1.1047979797979798E-3</v>
      </c>
      <c r="U95" s="60">
        <f t="shared" si="32"/>
        <v>0</v>
      </c>
      <c r="V95" s="61">
        <f t="shared" si="33"/>
        <v>0</v>
      </c>
    </row>
    <row r="96" spans="1:22" ht="13.5" customHeight="1">
      <c r="A96" s="166">
        <v>85</v>
      </c>
      <c r="B96" s="167" t="s">
        <v>149</v>
      </c>
      <c r="C96" s="168" t="s">
        <v>49</v>
      </c>
      <c r="D96" s="31">
        <v>399956144.89999998</v>
      </c>
      <c r="E96" s="32">
        <f t="shared" si="35"/>
        <v>2.0040599445922971E-3</v>
      </c>
      <c r="F96" s="37">
        <v>6918.85</v>
      </c>
      <c r="G96" s="37">
        <v>6948.26</v>
      </c>
      <c r="H96" s="34">
        <v>15</v>
      </c>
      <c r="I96" s="53">
        <v>4.8999999999999998E-3</v>
      </c>
      <c r="J96" s="53">
        <v>1.83E-2</v>
      </c>
      <c r="K96" s="31">
        <v>400958373.36000001</v>
      </c>
      <c r="L96" s="32">
        <f t="shared" si="36"/>
        <v>2.0743326550051022E-3</v>
      </c>
      <c r="M96" s="37">
        <v>6935.34</v>
      </c>
      <c r="N96" s="37">
        <v>6966.26</v>
      </c>
      <c r="O96" s="34">
        <v>15</v>
      </c>
      <c r="P96" s="53">
        <v>2.5999999999999999E-3</v>
      </c>
      <c r="Q96" s="53">
        <v>2.1000000000000001E-2</v>
      </c>
      <c r="R96" s="59">
        <f t="shared" si="29"/>
        <v>2.5058458853048069E-3</v>
      </c>
      <c r="S96" s="59">
        <f t="shared" si="30"/>
        <v>2.5905766335744488E-3</v>
      </c>
      <c r="T96" s="59">
        <f t="shared" si="31"/>
        <v>0</v>
      </c>
      <c r="U96" s="60">
        <f t="shared" si="32"/>
        <v>-2.3E-3</v>
      </c>
      <c r="V96" s="61">
        <f t="shared" si="33"/>
        <v>2.700000000000001E-3</v>
      </c>
    </row>
    <row r="97" spans="1:28" ht="15" customHeight="1">
      <c r="A97" s="166">
        <v>86</v>
      </c>
      <c r="B97" s="167" t="s">
        <v>150</v>
      </c>
      <c r="C97" s="168" t="s">
        <v>49</v>
      </c>
      <c r="D97" s="31">
        <v>7796764988.5600004</v>
      </c>
      <c r="E97" s="32">
        <f t="shared" si="35"/>
        <v>3.9067244272192492E-2</v>
      </c>
      <c r="F97" s="63">
        <v>138.93</v>
      </c>
      <c r="G97" s="63">
        <v>138.93</v>
      </c>
      <c r="H97" s="34">
        <v>4469</v>
      </c>
      <c r="I97" s="53">
        <v>3.2000000000000002E-3</v>
      </c>
      <c r="J97" s="53">
        <v>7.6E-3</v>
      </c>
      <c r="K97" s="31">
        <v>7786735837.0699997</v>
      </c>
      <c r="L97" s="32">
        <f t="shared" si="36"/>
        <v>4.0284182837679469E-2</v>
      </c>
      <c r="M97" s="63">
        <v>139.38</v>
      </c>
      <c r="N97" s="63">
        <v>139.38</v>
      </c>
      <c r="O97" s="34">
        <v>4468</v>
      </c>
      <c r="P97" s="53">
        <v>3.2000000000000002E-3</v>
      </c>
      <c r="Q97" s="53">
        <v>1.09E-2</v>
      </c>
      <c r="R97" s="59">
        <f t="shared" si="29"/>
        <v>-1.2863221483161605E-3</v>
      </c>
      <c r="S97" s="59">
        <f t="shared" si="30"/>
        <v>3.2390412437917557E-3</v>
      </c>
      <c r="T97" s="59">
        <f t="shared" si="31"/>
        <v>-2.2376370552696352E-4</v>
      </c>
      <c r="U97" s="60">
        <f t="shared" si="32"/>
        <v>0</v>
      </c>
      <c r="V97" s="61">
        <f t="shared" si="33"/>
        <v>3.3E-3</v>
      </c>
    </row>
    <row r="98" spans="1:28" ht="15" customHeight="1">
      <c r="A98" s="166">
        <v>87</v>
      </c>
      <c r="B98" s="167" t="s">
        <v>151</v>
      </c>
      <c r="C98" s="168" t="s">
        <v>49</v>
      </c>
      <c r="D98" s="31">
        <v>7716260634.71</v>
      </c>
      <c r="E98" s="32">
        <f t="shared" si="35"/>
        <v>3.8663861168886482E-2</v>
      </c>
      <c r="F98" s="63">
        <v>356.03</v>
      </c>
      <c r="G98" s="63">
        <v>356.63</v>
      </c>
      <c r="H98" s="34">
        <v>10160</v>
      </c>
      <c r="I98" s="53">
        <v>2.5000000000000001E-3</v>
      </c>
      <c r="J98" s="53">
        <v>6.7000000000000002E-3</v>
      </c>
      <c r="K98" s="31">
        <v>7733726361.8599997</v>
      </c>
      <c r="L98" s="32">
        <f t="shared" si="36"/>
        <v>4.0009941687578689E-2</v>
      </c>
      <c r="M98" s="63">
        <v>358.62</v>
      </c>
      <c r="N98" s="63">
        <v>359.25</v>
      </c>
      <c r="O98" s="34">
        <v>10159</v>
      </c>
      <c r="P98" s="53">
        <v>7.3000000000000001E-3</v>
      </c>
      <c r="Q98" s="53">
        <v>1.41E-2</v>
      </c>
      <c r="R98" s="59">
        <f t="shared" si="29"/>
        <v>2.2634962680542002E-3</v>
      </c>
      <c r="S98" s="59">
        <f t="shared" si="30"/>
        <v>7.3465496452906499E-3</v>
      </c>
      <c r="T98" s="59">
        <f t="shared" si="31"/>
        <v>-9.8425196850393699E-5</v>
      </c>
      <c r="U98" s="60">
        <f t="shared" si="32"/>
        <v>4.8000000000000004E-3</v>
      </c>
      <c r="V98" s="61">
        <f t="shared" si="33"/>
        <v>7.3999999999999995E-3</v>
      </c>
    </row>
    <row r="99" spans="1:28">
      <c r="A99" s="166">
        <v>88</v>
      </c>
      <c r="B99" s="167" t="s">
        <v>152</v>
      </c>
      <c r="C99" s="168" t="s">
        <v>52</v>
      </c>
      <c r="D99" s="31">
        <v>88303446012.990005</v>
      </c>
      <c r="E99" s="32">
        <f t="shared" si="35"/>
        <v>0.44246200834930999</v>
      </c>
      <c r="F99" s="31">
        <v>1.9703999999999999</v>
      </c>
      <c r="G99" s="31">
        <v>1.9703999999999999</v>
      </c>
      <c r="H99" s="34">
        <v>6380</v>
      </c>
      <c r="I99" s="53">
        <v>8.2299999999999998E-2</v>
      </c>
      <c r="J99" s="53">
        <v>7.8200000000000006E-2</v>
      </c>
      <c r="K99" s="31">
        <v>87940177178.229996</v>
      </c>
      <c r="L99" s="32">
        <f t="shared" si="36"/>
        <v>0.45495291613215388</v>
      </c>
      <c r="M99" s="31">
        <v>1.9733000000000001</v>
      </c>
      <c r="N99" s="31">
        <v>1.9733000000000001</v>
      </c>
      <c r="O99" s="34">
        <v>6391</v>
      </c>
      <c r="P99" s="53">
        <v>7.9699999999999993E-2</v>
      </c>
      <c r="Q99" s="53">
        <v>7.8600000000000003E-2</v>
      </c>
      <c r="R99" s="59">
        <f t="shared" si="29"/>
        <v>-4.1138692900679159E-3</v>
      </c>
      <c r="S99" s="59">
        <f t="shared" si="30"/>
        <v>1.4717823792124061E-3</v>
      </c>
      <c r="T99" s="59">
        <f t="shared" si="31"/>
        <v>1.7241379310344827E-3</v>
      </c>
      <c r="U99" s="60">
        <f t="shared" si="32"/>
        <v>-2.6000000000000051E-3</v>
      </c>
      <c r="V99" s="61">
        <f t="shared" si="33"/>
        <v>3.9999999999999758E-4</v>
      </c>
    </row>
    <row r="100" spans="1:28">
      <c r="A100" s="166">
        <v>89</v>
      </c>
      <c r="B100" s="167" t="s">
        <v>153</v>
      </c>
      <c r="C100" s="168" t="s">
        <v>52</v>
      </c>
      <c r="D100" s="31">
        <v>10500818264.5</v>
      </c>
      <c r="E100" s="32">
        <f t="shared" si="35"/>
        <v>5.2616441921624423E-2</v>
      </c>
      <c r="F100" s="31">
        <v>109.80840000000001</v>
      </c>
      <c r="G100" s="31">
        <v>109.80840000000001</v>
      </c>
      <c r="H100" s="34">
        <v>184</v>
      </c>
      <c r="I100" s="53">
        <v>0.21290000000000001</v>
      </c>
      <c r="J100" s="53">
        <v>0.24349999999999999</v>
      </c>
      <c r="K100" s="31">
        <v>10602801285.450001</v>
      </c>
      <c r="L100" s="32">
        <f t="shared" si="36"/>
        <v>5.4852918413034267E-2</v>
      </c>
      <c r="M100" s="31">
        <v>110.23439999999999</v>
      </c>
      <c r="N100" s="31">
        <v>110.23439999999999</v>
      </c>
      <c r="O100" s="34">
        <v>268</v>
      </c>
      <c r="P100" s="53">
        <v>0.22370000000000001</v>
      </c>
      <c r="Q100" s="53">
        <v>0.23769999999999999</v>
      </c>
      <c r="R100" s="59">
        <f t="shared" ref="R100:R102" si="37">((K100-D100)/D100)</f>
        <v>9.7119118130797131E-3</v>
      </c>
      <c r="S100" s="59">
        <f t="shared" ref="S100:S102" si="38">((N100-G100)/G100)</f>
        <v>3.8794846295910667E-3</v>
      </c>
      <c r="T100" s="59">
        <f t="shared" ref="T100:T102" si="39">((O100-H100)/H100)</f>
        <v>0.45652173913043476</v>
      </c>
      <c r="U100" s="60">
        <f t="shared" ref="U100:U102" si="40">P100-I100</f>
        <v>1.0800000000000004E-2</v>
      </c>
      <c r="V100" s="61">
        <f t="shared" ref="V100:V102" si="41">Q100-J100</f>
        <v>-5.7999999999999996E-3</v>
      </c>
    </row>
    <row r="101" spans="1:28">
      <c r="A101" s="166">
        <v>90</v>
      </c>
      <c r="B101" s="167" t="s">
        <v>154</v>
      </c>
      <c r="C101" s="167" t="s">
        <v>155</v>
      </c>
      <c r="D101" s="31">
        <v>92961955.909999996</v>
      </c>
      <c r="E101" s="32">
        <f t="shared" si="35"/>
        <v>4.6580440027185131E-4</v>
      </c>
      <c r="F101" s="31">
        <v>110.9157073154994</v>
      </c>
      <c r="G101" s="31">
        <v>110.9157073154994</v>
      </c>
      <c r="H101" s="65">
        <v>54</v>
      </c>
      <c r="I101" s="66">
        <v>2.0288993511822571E-3</v>
      </c>
      <c r="J101" s="66">
        <v>4.6403219058417378E-3</v>
      </c>
      <c r="K101" s="31">
        <v>95153505.819999993</v>
      </c>
      <c r="L101" s="67">
        <f t="shared" si="36"/>
        <v>4.9227061329737247E-4</v>
      </c>
      <c r="M101" s="31">
        <v>111.14029610958937</v>
      </c>
      <c r="N101" s="31">
        <v>111.14029610958937</v>
      </c>
      <c r="O101" s="65">
        <v>55</v>
      </c>
      <c r="P101" s="66">
        <v>2.0248601350133901E-3</v>
      </c>
      <c r="Q101" s="66">
        <v>6.6745780436958668E-3</v>
      </c>
      <c r="R101" s="59">
        <f t="shared" si="37"/>
        <v>2.357469664387999E-2</v>
      </c>
      <c r="S101" s="59">
        <f t="shared" si="38"/>
        <v>2.0248601350133901E-3</v>
      </c>
      <c r="T101" s="59">
        <f t="shared" si="39"/>
        <v>1.8518518518518517E-2</v>
      </c>
      <c r="U101" s="60">
        <f t="shared" si="40"/>
        <v>-4.0392161688670471E-6</v>
      </c>
      <c r="V101" s="61">
        <f t="shared" si="41"/>
        <v>2.0342561378541291E-3</v>
      </c>
    </row>
    <row r="102" spans="1:28">
      <c r="A102" s="166">
        <v>91</v>
      </c>
      <c r="B102" s="167" t="s">
        <v>156</v>
      </c>
      <c r="C102" s="168" t="s">
        <v>111</v>
      </c>
      <c r="D102" s="31">
        <v>253975318.19999999</v>
      </c>
      <c r="E102" s="32">
        <f t="shared" si="35"/>
        <v>1.2725939296343663E-3</v>
      </c>
      <c r="F102" s="31">
        <v>1.0696000000000001</v>
      </c>
      <c r="G102" s="31">
        <v>1.0696000000000001</v>
      </c>
      <c r="H102" s="34">
        <v>388</v>
      </c>
      <c r="I102" s="53">
        <v>-1.176E-2</v>
      </c>
      <c r="J102" s="53">
        <v>-6.4310000000000001E-3</v>
      </c>
      <c r="K102" s="31">
        <v>255492929.05000001</v>
      </c>
      <c r="L102" s="32">
        <f t="shared" si="36"/>
        <v>1.3217764263410885E-3</v>
      </c>
      <c r="M102" s="31">
        <v>1.0754999999999999</v>
      </c>
      <c r="N102" s="31">
        <v>1.0754999999999999</v>
      </c>
      <c r="O102" s="34">
        <v>395</v>
      </c>
      <c r="P102" s="53">
        <v>-6.1999999999999998E-3</v>
      </c>
      <c r="Q102" s="53">
        <v>-9.8900000000000008E-4</v>
      </c>
      <c r="R102" s="59">
        <f t="shared" si="37"/>
        <v>5.9754265129217735E-3</v>
      </c>
      <c r="S102" s="59">
        <f t="shared" si="38"/>
        <v>5.5160807778606895E-3</v>
      </c>
      <c r="T102" s="59">
        <f t="shared" si="39"/>
        <v>1.804123711340206E-2</v>
      </c>
      <c r="U102" s="60">
        <f t="shared" si="40"/>
        <v>5.5599999999999998E-3</v>
      </c>
      <c r="V102" s="61">
        <f t="shared" si="41"/>
        <v>5.4419999999999998E-3</v>
      </c>
    </row>
    <row r="103" spans="1:28">
      <c r="A103" s="166">
        <v>92</v>
      </c>
      <c r="B103" s="167" t="s">
        <v>157</v>
      </c>
      <c r="C103" s="168" t="s">
        <v>113</v>
      </c>
      <c r="D103" s="31">
        <v>2111488438.29</v>
      </c>
      <c r="E103" s="32">
        <f t="shared" si="35"/>
        <v>1.058003347768225E-2</v>
      </c>
      <c r="F103" s="63">
        <v>28.229900000000001</v>
      </c>
      <c r="G103" s="63">
        <v>28.229900000000001</v>
      </c>
      <c r="H103" s="34">
        <v>1299</v>
      </c>
      <c r="I103" s="53">
        <v>0.1265</v>
      </c>
      <c r="J103" s="53">
        <v>0.1265</v>
      </c>
      <c r="K103" s="31">
        <v>2116313652.05</v>
      </c>
      <c r="L103" s="32">
        <f t="shared" si="36"/>
        <v>1.0948614141395968E-2</v>
      </c>
      <c r="M103" s="63">
        <v>28.279299999999999</v>
      </c>
      <c r="N103" s="63">
        <v>28.279299999999999</v>
      </c>
      <c r="O103" s="34">
        <v>1300</v>
      </c>
      <c r="P103" s="53">
        <v>0.1273</v>
      </c>
      <c r="Q103" s="53">
        <v>0.1273</v>
      </c>
      <c r="R103" s="59">
        <f t="shared" si="29"/>
        <v>2.2852191243385236E-3</v>
      </c>
      <c r="S103" s="59">
        <f t="shared" si="30"/>
        <v>1.7499176405158558E-3</v>
      </c>
      <c r="T103" s="59">
        <f t="shared" si="31"/>
        <v>7.6982294072363352E-4</v>
      </c>
      <c r="U103" s="60">
        <f t="shared" si="32"/>
        <v>7.9999999999999516E-4</v>
      </c>
      <c r="V103" s="61">
        <f t="shared" si="33"/>
        <v>7.9999999999999516E-4</v>
      </c>
    </row>
    <row r="104" spans="1:28">
      <c r="A104" s="38"/>
      <c r="B104" s="39"/>
      <c r="C104" s="40" t="s">
        <v>53</v>
      </c>
      <c r="D104" s="51">
        <f>SUM(D68:D103)</f>
        <v>199572944900.79062</v>
      </c>
      <c r="E104" s="42">
        <f>(D104/$D$210)</f>
        <v>4.9648646761486628E-2</v>
      </c>
      <c r="F104" s="43"/>
      <c r="G104" s="48"/>
      <c r="H104" s="45">
        <f>SUM(H68:H103)</f>
        <v>50600</v>
      </c>
      <c r="I104" s="56"/>
      <c r="J104" s="56"/>
      <c r="K104" s="51">
        <f>SUM(K68:K103)</f>
        <v>193295117054.89386</v>
      </c>
      <c r="L104" s="42">
        <f>(K104/$K$210)</f>
        <v>4.6923240618529753E-2</v>
      </c>
      <c r="M104" s="43"/>
      <c r="N104" s="48"/>
      <c r="O104" s="45">
        <f>SUM(O68:O103)</f>
        <v>50809</v>
      </c>
      <c r="P104" s="56"/>
      <c r="Q104" s="56"/>
      <c r="R104" s="59">
        <f t="shared" si="29"/>
        <v>-3.1456307111254585E-2</v>
      </c>
      <c r="S104" s="59" t="e">
        <f t="shared" si="30"/>
        <v>#DIV/0!</v>
      </c>
      <c r="T104" s="59">
        <f t="shared" si="31"/>
        <v>4.1304347826086954E-3</v>
      </c>
      <c r="U104" s="60">
        <f t="shared" si="32"/>
        <v>0</v>
      </c>
      <c r="V104" s="61">
        <f t="shared" si="33"/>
        <v>0</v>
      </c>
    </row>
    <row r="105" spans="1:28" ht="3.75" customHeight="1">
      <c r="A105" s="38"/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</row>
    <row r="106" spans="1:28" ht="15" customHeight="1">
      <c r="A106" s="179" t="s">
        <v>158</v>
      </c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</row>
    <row r="107" spans="1:28">
      <c r="A107" s="181" t="s">
        <v>159</v>
      </c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Z107" s="68"/>
      <c r="AB107" s="71"/>
    </row>
    <row r="108" spans="1:28" ht="16.5" customHeight="1">
      <c r="A108" s="166">
        <v>93</v>
      </c>
      <c r="B108" s="167" t="s">
        <v>160</v>
      </c>
      <c r="C108" s="168" t="s">
        <v>19</v>
      </c>
      <c r="D108" s="31">
        <f>1895161.79*1546.7212</f>
        <v>2931286918.0229478</v>
      </c>
      <c r="E108" s="32">
        <f t="shared" ref="E108:E113" si="42">(D108/$D$140)</f>
        <v>1.6861402152141549E-3</v>
      </c>
      <c r="F108" s="31">
        <f>110.3722*1546.7212</f>
        <v>170715.02163064</v>
      </c>
      <c r="G108" s="31">
        <f>110.3722*1546.7212</f>
        <v>170715.02163064</v>
      </c>
      <c r="H108" s="34">
        <v>251</v>
      </c>
      <c r="I108" s="53">
        <v>4.7999999999999996E-3</v>
      </c>
      <c r="J108" s="53">
        <v>2.8E-3</v>
      </c>
      <c r="K108" s="31">
        <f>1901698.63*1533.263</f>
        <v>2915804146.5296898</v>
      </c>
      <c r="L108" s="32">
        <f t="shared" ref="L108:L123" si="43">(K108/$K$140)</f>
        <v>1.6307397394376211E-3</v>
      </c>
      <c r="M108" s="31">
        <f>110.4948*1533.263</f>
        <v>169417.5885324</v>
      </c>
      <c r="N108" s="31">
        <f>110.4948*1533.263</f>
        <v>169417.5885324</v>
      </c>
      <c r="O108" s="34">
        <v>298</v>
      </c>
      <c r="P108" s="53">
        <v>1.1000000000000001E-3</v>
      </c>
      <c r="Q108" s="53">
        <v>3.8999999999999998E-3</v>
      </c>
      <c r="R108" s="60">
        <f>((K108-D108)/D108)</f>
        <v>-5.28190242929225E-3</v>
      </c>
      <c r="S108" s="60">
        <f>((N108-G108)/G108)</f>
        <v>-7.599993754780013E-3</v>
      </c>
      <c r="T108" s="60">
        <f>((O108-H108)/H108)</f>
        <v>0.18725099601593626</v>
      </c>
      <c r="U108" s="60">
        <f>P108-I108</f>
        <v>-3.6999999999999993E-3</v>
      </c>
      <c r="V108" s="61">
        <f>Q108-J108</f>
        <v>1.0999999999999998E-3</v>
      </c>
      <c r="X108" s="68"/>
      <c r="Y108" s="72"/>
      <c r="Z108" s="68"/>
      <c r="AA108" s="73"/>
    </row>
    <row r="109" spans="1:28" ht="16.5" customHeight="1">
      <c r="A109" s="166">
        <v>94</v>
      </c>
      <c r="B109" s="167" t="s">
        <v>161</v>
      </c>
      <c r="C109" s="168" t="s">
        <v>57</v>
      </c>
      <c r="D109" s="31">
        <f>1526324.36*1546.7212</f>
        <v>2360798245.6884322</v>
      </c>
      <c r="E109" s="32">
        <f t="shared" si="42"/>
        <v>1.3579826790709028E-3</v>
      </c>
      <c r="F109" s="31">
        <f>100*1546.7212</f>
        <v>154672.12</v>
      </c>
      <c r="G109" s="31">
        <f>100*1546.7212</f>
        <v>154672.12</v>
      </c>
      <c r="H109" s="34">
        <v>36</v>
      </c>
      <c r="I109" s="53">
        <v>-3.4780000000000002E-3</v>
      </c>
      <c r="J109" s="53">
        <v>6.6143999999999994E-2</v>
      </c>
      <c r="K109" s="31">
        <f>1541380.13*1533.263</f>
        <v>2363341122.2641897</v>
      </c>
      <c r="L109" s="32">
        <f t="shared" si="43"/>
        <v>1.3217603420004182E-3</v>
      </c>
      <c r="M109" s="31">
        <f>100*1533.263</f>
        <v>153326.29999999999</v>
      </c>
      <c r="N109" s="31">
        <f>100*1533.263</f>
        <v>153326.29999999999</v>
      </c>
      <c r="O109" s="34">
        <v>37</v>
      </c>
      <c r="P109" s="53">
        <v>3.774E-3</v>
      </c>
      <c r="Q109" s="53">
        <v>6.9917999999999994E-2</v>
      </c>
      <c r="R109" s="60">
        <f>((K109-D109)/D109)</f>
        <v>1.0771257477853536E-3</v>
      </c>
      <c r="S109" s="60">
        <f>((N109-G109)/G109)</f>
        <v>-8.7011156244577691E-3</v>
      </c>
      <c r="T109" s="60">
        <f>((O109-H109)/H109)</f>
        <v>2.7777777777777776E-2</v>
      </c>
      <c r="U109" s="60">
        <f>P109-I109</f>
        <v>7.2519999999999998E-3</v>
      </c>
      <c r="V109" s="61">
        <f>Q109-J109</f>
        <v>3.7739999999999996E-3</v>
      </c>
      <c r="X109" s="68"/>
      <c r="Y109" s="72"/>
      <c r="Z109" s="68"/>
      <c r="AA109" s="73"/>
    </row>
    <row r="110" spans="1:28">
      <c r="A110" s="166">
        <v>95</v>
      </c>
      <c r="B110" s="167" t="s">
        <v>162</v>
      </c>
      <c r="C110" s="168" t="s">
        <v>23</v>
      </c>
      <c r="D110" s="31">
        <f>10242835.33*1553.35</f>
        <v>15910708259.855499</v>
      </c>
      <c r="E110" s="32">
        <f t="shared" si="42"/>
        <v>9.152186667409799E-3</v>
      </c>
      <c r="F110" s="31">
        <f>1.1396*1553.35</f>
        <v>1770.1976599999998</v>
      </c>
      <c r="G110" s="31">
        <f>1.1396*1553.35</f>
        <v>1770.1976599999998</v>
      </c>
      <c r="H110" s="34">
        <v>313</v>
      </c>
      <c r="I110" s="53">
        <v>5.9499999999999997E-2</v>
      </c>
      <c r="J110" s="53">
        <v>6.9900000000000004E-2</v>
      </c>
      <c r="K110" s="31">
        <f>10316622.64*1558</f>
        <v>16073298073.120001</v>
      </c>
      <c r="L110" s="32">
        <f t="shared" si="43"/>
        <v>8.9894123865826101E-3</v>
      </c>
      <c r="M110" s="31">
        <f>1.141*1558</f>
        <v>1777.6780000000001</v>
      </c>
      <c r="N110" s="31">
        <f>1.141*1558</f>
        <v>1777.6780000000001</v>
      </c>
      <c r="O110" s="34">
        <v>312</v>
      </c>
      <c r="P110" s="53">
        <v>6.4100000000000004E-2</v>
      </c>
      <c r="Q110" s="53">
        <v>6.83E-2</v>
      </c>
      <c r="R110" s="60">
        <f t="shared" ref="R110:R121" si="44">((K110-D110)/D110)</f>
        <v>1.0218892245968328E-2</v>
      </c>
      <c r="S110" s="60">
        <f t="shared" ref="S110:S121" si="45">((N110-G110)/G110)</f>
        <v>4.2257088962598093E-3</v>
      </c>
      <c r="T110" s="60">
        <f t="shared" ref="T110:T121" si="46">((O110-H110)/H110)</f>
        <v>-3.1948881789137379E-3</v>
      </c>
      <c r="U110" s="60">
        <f t="shared" ref="U110:U121" si="47">P110-I110</f>
        <v>4.6000000000000069E-3</v>
      </c>
      <c r="V110" s="61">
        <f t="shared" ref="V110:V121" si="48">Q110-J110</f>
        <v>-1.6000000000000042E-3</v>
      </c>
    </row>
    <row r="111" spans="1:28">
      <c r="A111" s="166">
        <v>96</v>
      </c>
      <c r="B111" s="167" t="s">
        <v>295</v>
      </c>
      <c r="C111" s="168" t="s">
        <v>23</v>
      </c>
      <c r="D111" s="31">
        <f>612380.45*1553.35</f>
        <v>951241172.00749981</v>
      </c>
      <c r="E111" s="32">
        <f t="shared" si="42"/>
        <v>5.4717468447990883E-4</v>
      </c>
      <c r="F111" s="31">
        <f>1.0007*1553.35</f>
        <v>1554.4373449999998</v>
      </c>
      <c r="G111" s="31">
        <f>1.0007*1553.35</f>
        <v>1554.4373449999998</v>
      </c>
      <c r="H111" s="34">
        <v>6</v>
      </c>
      <c r="I111" s="53">
        <v>2.6100000000000002E-2</v>
      </c>
      <c r="J111" s="53">
        <v>1.4999999999999999E-2</v>
      </c>
      <c r="K111" s="31">
        <f>653987.04*1558</f>
        <v>1018911808.3200001</v>
      </c>
      <c r="L111" s="32">
        <f t="shared" si="43"/>
        <v>5.6985308110877036E-4</v>
      </c>
      <c r="M111" s="31">
        <f>1.0016*1558</f>
        <v>1560.4928</v>
      </c>
      <c r="N111" s="31">
        <f>1.0016*1558</f>
        <v>1560.4928</v>
      </c>
      <c r="O111" s="34">
        <v>8</v>
      </c>
      <c r="P111" s="53">
        <v>4.6899999999999997E-2</v>
      </c>
      <c r="Q111" s="53">
        <v>2.4299999999999999E-2</v>
      </c>
      <c r="R111" s="60">
        <f t="shared" si="44"/>
        <v>7.1139305471490569E-2</v>
      </c>
      <c r="S111" s="60">
        <f t="shared" ref="S111" si="49">((N111-G111)/G111)</f>
        <v>3.8955928455258297E-3</v>
      </c>
      <c r="T111" s="60">
        <f t="shared" ref="T111" si="50">((O111-H111)/H111)</f>
        <v>0.33333333333333331</v>
      </c>
      <c r="U111" s="60">
        <f t="shared" ref="U111" si="51">P111-I111</f>
        <v>2.0799999999999996E-2</v>
      </c>
      <c r="V111" s="61">
        <f t="shared" ref="V111" si="52">Q111-J111</f>
        <v>9.2999999999999992E-3</v>
      </c>
    </row>
    <row r="112" spans="1:28">
      <c r="A112" s="166">
        <v>97</v>
      </c>
      <c r="B112" s="167" t="s">
        <v>163</v>
      </c>
      <c r="C112" s="168" t="s">
        <v>27</v>
      </c>
      <c r="D112" s="31">
        <f>3394843.86*1546.7212</f>
        <v>5250876968.9518318</v>
      </c>
      <c r="E112" s="32">
        <f t="shared" si="42"/>
        <v>3.020419041225421E-3</v>
      </c>
      <c r="F112" s="31">
        <f>1.0792*1546.7212</f>
        <v>1669.2215190399997</v>
      </c>
      <c r="G112" s="31">
        <f>1.0792*1546.7212</f>
        <v>1669.2215190399997</v>
      </c>
      <c r="H112" s="34">
        <v>291</v>
      </c>
      <c r="I112" s="53">
        <v>1.6000000000000001E-3</v>
      </c>
      <c r="J112" s="53">
        <v>8.0999999999999996E-3</v>
      </c>
      <c r="K112" s="31">
        <f>3529248.97*1533.263</f>
        <v>5411266863.48911</v>
      </c>
      <c r="L112" s="32">
        <f t="shared" si="43"/>
        <v>3.0263925392575446E-3</v>
      </c>
      <c r="M112" s="31">
        <f>1.081*1533.263</f>
        <v>1657.4573029999999</v>
      </c>
      <c r="N112" s="31">
        <f>1.081*1533.263</f>
        <v>1657.4573029999999</v>
      </c>
      <c r="O112" s="34">
        <v>305</v>
      </c>
      <c r="P112" s="53">
        <v>1.6999999999999999E-3</v>
      </c>
      <c r="Q112" s="53">
        <v>5.4999999999999997E-3</v>
      </c>
      <c r="R112" s="60">
        <f t="shared" si="44"/>
        <v>3.0545353754364356E-2</v>
      </c>
      <c r="S112" s="60">
        <f t="shared" ref="S112:T115" si="53">((N112-G112)/G112)</f>
        <v>-7.0477260841722532E-3</v>
      </c>
      <c r="T112" s="60">
        <f t="shared" si="53"/>
        <v>4.8109965635738834E-2</v>
      </c>
      <c r="U112" s="60">
        <f t="shared" si="47"/>
        <v>9.9999999999999829E-5</v>
      </c>
      <c r="V112" s="61">
        <f t="shared" si="48"/>
        <v>-2.5999999999999999E-3</v>
      </c>
    </row>
    <row r="113" spans="1:24">
      <c r="A113" s="166">
        <v>98</v>
      </c>
      <c r="B113" s="167" t="s">
        <v>164</v>
      </c>
      <c r="C113" s="168" t="s">
        <v>63</v>
      </c>
      <c r="D113" s="31">
        <f>421586.48*1546.7212</f>
        <v>652076746.24937594</v>
      </c>
      <c r="E113" s="32">
        <f t="shared" si="42"/>
        <v>3.7508877704767256E-4</v>
      </c>
      <c r="F113" s="31">
        <f>1.06*1546.7212</f>
        <v>1639.5244720000001</v>
      </c>
      <c r="G113" s="31">
        <f>1.06*1546.7212</f>
        <v>1639.5244720000001</v>
      </c>
      <c r="H113" s="34">
        <v>18</v>
      </c>
      <c r="I113" s="53">
        <v>0.129</v>
      </c>
      <c r="J113" s="53">
        <v>0.16</v>
      </c>
      <c r="K113" s="31">
        <f>419907.84*1533.263</f>
        <v>643829154.48192</v>
      </c>
      <c r="L113" s="32">
        <f t="shared" si="43"/>
        <v>3.6007829568106406E-4</v>
      </c>
      <c r="M113" s="31">
        <f>1.05*1533.263</f>
        <v>1609.92615</v>
      </c>
      <c r="N113" s="31">
        <f>1.06*1533.263</f>
        <v>1625.2587799999999</v>
      </c>
      <c r="O113" s="34">
        <v>18</v>
      </c>
      <c r="P113" s="53">
        <v>0.129</v>
      </c>
      <c r="Q113" s="53">
        <v>0.16020000000000001</v>
      </c>
      <c r="R113" s="60">
        <f t="shared" si="44"/>
        <v>-1.2648191819282849E-2</v>
      </c>
      <c r="S113" s="60">
        <f t="shared" si="53"/>
        <v>-8.701115624457828E-3</v>
      </c>
      <c r="T113" s="60">
        <f t="shared" si="53"/>
        <v>0</v>
      </c>
      <c r="U113" s="60">
        <f t="shared" si="47"/>
        <v>0</v>
      </c>
      <c r="V113" s="61">
        <f t="shared" si="48"/>
        <v>2.0000000000000573E-4</v>
      </c>
    </row>
    <row r="114" spans="1:24">
      <c r="A114" s="166">
        <v>99</v>
      </c>
      <c r="B114" s="167" t="s">
        <v>165</v>
      </c>
      <c r="C114" s="168" t="s">
        <v>29</v>
      </c>
      <c r="D114" s="31">
        <f>226215.93*1542.0256</f>
        <v>348830755.18780798</v>
      </c>
      <c r="E114" s="32">
        <v>0</v>
      </c>
      <c r="F114" s="31">
        <f>1.2058*1542.0256</f>
        <v>1859.3744684799999</v>
      </c>
      <c r="G114" s="31">
        <f>1.2058*1542.0256</f>
        <v>1859.3744684799999</v>
      </c>
      <c r="H114" s="34">
        <v>38</v>
      </c>
      <c r="I114" s="53">
        <v>4.15E-4</v>
      </c>
      <c r="J114" s="53">
        <v>3.8E-3</v>
      </c>
      <c r="K114" s="31">
        <f>227569.8*1533.263</f>
        <v>348924354.25739998</v>
      </c>
      <c r="L114" s="32">
        <f t="shared" si="43"/>
        <v>1.9514507214840428E-4</v>
      </c>
      <c r="M114" s="31">
        <f>1.213*1533.263</f>
        <v>1859.848019</v>
      </c>
      <c r="N114" s="31">
        <f>1.213*1533.263</f>
        <v>1859.848019</v>
      </c>
      <c r="O114" s="34">
        <v>38</v>
      </c>
      <c r="P114" s="53">
        <v>4.1199999999999999E-4</v>
      </c>
      <c r="Q114" s="53">
        <v>9.7999999999999997E-3</v>
      </c>
      <c r="R114" s="60">
        <f t="shared" si="44"/>
        <v>2.6832229727452209E-4</v>
      </c>
      <c r="S114" s="60">
        <f t="shared" si="53"/>
        <v>2.5468270540857476E-4</v>
      </c>
      <c r="T114" s="60">
        <f t="shared" si="53"/>
        <v>0</v>
      </c>
      <c r="U114" s="60">
        <f t="shared" si="47"/>
        <v>-3.0000000000000187E-6</v>
      </c>
      <c r="V114" s="61">
        <f t="shared" si="48"/>
        <v>6.0000000000000001E-3</v>
      </c>
    </row>
    <row r="115" spans="1:24">
      <c r="A115" s="166">
        <v>100</v>
      </c>
      <c r="B115" s="167" t="s">
        <v>166</v>
      </c>
      <c r="C115" s="168" t="s">
        <v>73</v>
      </c>
      <c r="D115" s="31">
        <f>415879.86*1546.7212</f>
        <v>643250196.11503196</v>
      </c>
      <c r="E115" s="32">
        <f t="shared" ref="E115:E123" si="54">(D115/$D$140)</f>
        <v>3.7001155275699849E-4</v>
      </c>
      <c r="F115" s="31">
        <f>105.25*1546.7212</f>
        <v>162792.4063</v>
      </c>
      <c r="G115" s="31">
        <f>105.28*1546.7212</f>
        <v>162838.807936</v>
      </c>
      <c r="H115" s="34">
        <v>44</v>
      </c>
      <c r="I115" s="53">
        <v>-9.4000000000000004E-3</v>
      </c>
      <c r="J115" s="53">
        <v>-2.9999999999999997E-4</v>
      </c>
      <c r="K115" s="31">
        <f>417249.77*1601.528</f>
        <v>668237189.64856005</v>
      </c>
      <c r="L115" s="32">
        <f t="shared" si="43"/>
        <v>3.7372912780406637E-4</v>
      </c>
      <c r="M115" s="31">
        <f>105.36*1601.528</f>
        <v>168736.99007999999</v>
      </c>
      <c r="N115" s="31">
        <f>105.5*1601.528</f>
        <v>168961.204</v>
      </c>
      <c r="O115" s="34">
        <v>45</v>
      </c>
      <c r="P115" s="53">
        <v>2.2000000000000001E-3</v>
      </c>
      <c r="Q115" s="53">
        <v>1.9E-3</v>
      </c>
      <c r="R115" s="60">
        <f t="shared" si="44"/>
        <v>3.8844906203588138E-2</v>
      </c>
      <c r="S115" s="60">
        <f t="shared" si="53"/>
        <v>3.7597892920011214E-2</v>
      </c>
      <c r="T115" s="60">
        <f t="shared" si="53"/>
        <v>2.2727272727272728E-2</v>
      </c>
      <c r="U115" s="60">
        <f t="shared" si="47"/>
        <v>1.1600000000000001E-2</v>
      </c>
      <c r="V115" s="61">
        <f t="shared" si="48"/>
        <v>2.2000000000000001E-3</v>
      </c>
    </row>
    <row r="116" spans="1:24">
      <c r="A116" s="166">
        <v>101</v>
      </c>
      <c r="B116" s="167" t="s">
        <v>167</v>
      </c>
      <c r="C116" s="168" t="s">
        <v>76</v>
      </c>
      <c r="D116" s="31">
        <v>5045236053.5248003</v>
      </c>
      <c r="E116" s="32">
        <f t="shared" si="54"/>
        <v>2.9021298982339753E-3</v>
      </c>
      <c r="F116" s="31">
        <v>172548.52574399998</v>
      </c>
      <c r="G116" s="31">
        <v>172548.52574399998</v>
      </c>
      <c r="H116" s="34">
        <v>57</v>
      </c>
      <c r="I116" s="53" t="s">
        <v>298</v>
      </c>
      <c r="J116" s="53">
        <v>7.2400000000000006E-2</v>
      </c>
      <c r="K116" s="31">
        <v>5083660634.1091995</v>
      </c>
      <c r="L116" s="32">
        <f t="shared" si="43"/>
        <v>2.8431701860782421E-3</v>
      </c>
      <c r="M116" s="31">
        <v>171245.66959799998</v>
      </c>
      <c r="N116" s="31">
        <v>171245.66959799998</v>
      </c>
      <c r="O116" s="34">
        <v>58</v>
      </c>
      <c r="P116" s="53" t="s">
        <v>303</v>
      </c>
      <c r="Q116" s="53">
        <v>6.9199999999999998E-2</v>
      </c>
      <c r="R116" s="60">
        <f t="shared" si="44"/>
        <v>7.6160124475353934E-3</v>
      </c>
      <c r="S116" s="60">
        <f t="shared" si="45"/>
        <v>-7.5506651846621742E-3</v>
      </c>
      <c r="T116" s="60">
        <f t="shared" si="46"/>
        <v>1.7543859649122806E-2</v>
      </c>
      <c r="U116" s="60">
        <f t="shared" si="47"/>
        <v>3.7000000000000002E-3</v>
      </c>
      <c r="V116" s="61">
        <f t="shared" si="48"/>
        <v>-3.2000000000000084E-3</v>
      </c>
      <c r="X116" s="69"/>
    </row>
    <row r="117" spans="1:24">
      <c r="A117" s="166">
        <v>102</v>
      </c>
      <c r="B117" s="167" t="s">
        <v>168</v>
      </c>
      <c r="C117" s="168" t="s">
        <v>31</v>
      </c>
      <c r="D117" s="31">
        <v>51459245129.949997</v>
      </c>
      <c r="E117" s="32">
        <f t="shared" si="54"/>
        <v>2.9600480978059132E-2</v>
      </c>
      <c r="F117" s="31">
        <v>196279.57</v>
      </c>
      <c r="G117" s="31">
        <v>196279.57</v>
      </c>
      <c r="H117" s="34">
        <v>2296</v>
      </c>
      <c r="I117" s="53">
        <v>1.5E-3</v>
      </c>
      <c r="J117" s="53">
        <v>3.5000000000000001E-3</v>
      </c>
      <c r="K117" s="31">
        <v>50680353438.75</v>
      </c>
      <c r="L117" s="32">
        <f t="shared" si="43"/>
        <v>2.8344313337943936E-2</v>
      </c>
      <c r="M117" s="31">
        <v>194523.65</v>
      </c>
      <c r="N117" s="31">
        <v>194523.65</v>
      </c>
      <c r="O117" s="34">
        <v>2303</v>
      </c>
      <c r="P117" s="53">
        <v>1.6999999999999999E-3</v>
      </c>
      <c r="Q117" s="53">
        <v>5.1000000000000004E-3</v>
      </c>
      <c r="R117" s="60">
        <f t="shared" si="44"/>
        <v>-1.5136088553826669E-2</v>
      </c>
      <c r="S117" s="60">
        <f t="shared" si="45"/>
        <v>-8.9460151150729181E-3</v>
      </c>
      <c r="T117" s="60">
        <f t="shared" si="46"/>
        <v>3.0487804878048782E-3</v>
      </c>
      <c r="U117" s="60">
        <f t="shared" si="47"/>
        <v>1.9999999999999987E-4</v>
      </c>
      <c r="V117" s="61">
        <f t="shared" si="48"/>
        <v>1.6000000000000003E-3</v>
      </c>
    </row>
    <row r="118" spans="1:24">
      <c r="A118" s="166">
        <v>103</v>
      </c>
      <c r="B118" s="173" t="s">
        <v>169</v>
      </c>
      <c r="C118" s="173" t="s">
        <v>31</v>
      </c>
      <c r="D118" s="31">
        <v>110316674151.99001</v>
      </c>
      <c r="E118" s="32">
        <f t="shared" si="54"/>
        <v>6.3456558807898328E-2</v>
      </c>
      <c r="F118" s="31">
        <v>184456.06</v>
      </c>
      <c r="G118" s="31">
        <v>184456.06</v>
      </c>
      <c r="H118" s="34">
        <v>660</v>
      </c>
      <c r="I118" s="53">
        <v>1.6999999999999999E-3</v>
      </c>
      <c r="J118" s="53">
        <v>3.8999999999999998E-3</v>
      </c>
      <c r="K118" s="31">
        <v>112491412121.47</v>
      </c>
      <c r="L118" s="32">
        <f t="shared" si="43"/>
        <v>6.2913764736313424E-2</v>
      </c>
      <c r="M118" s="31">
        <v>182809.97</v>
      </c>
      <c r="N118" s="31">
        <v>182809.97</v>
      </c>
      <c r="O118" s="34">
        <v>676</v>
      </c>
      <c r="P118" s="53">
        <v>1.6999999999999999E-3</v>
      </c>
      <c r="Q118" s="53">
        <v>5.5999999999999999E-3</v>
      </c>
      <c r="R118" s="60">
        <f t="shared" si="44"/>
        <v>1.9713592584233702E-2</v>
      </c>
      <c r="S118" s="60">
        <f t="shared" si="45"/>
        <v>-8.9240223389787064E-3</v>
      </c>
      <c r="T118" s="60">
        <f t="shared" si="46"/>
        <v>2.4242424242424242E-2</v>
      </c>
      <c r="U118" s="60">
        <f t="shared" si="47"/>
        <v>0</v>
      </c>
      <c r="V118" s="61">
        <f t="shared" si="48"/>
        <v>1.7000000000000001E-3</v>
      </c>
    </row>
    <row r="119" spans="1:24">
      <c r="A119" s="166">
        <v>104</v>
      </c>
      <c r="B119" s="167" t="s">
        <v>170</v>
      </c>
      <c r="C119" s="168" t="s">
        <v>35</v>
      </c>
      <c r="D119" s="31">
        <f>137964.6*1546.7212</f>
        <v>213392771.66951999</v>
      </c>
      <c r="E119" s="32">
        <f t="shared" si="54"/>
        <v>1.2274817989863272E-4</v>
      </c>
      <c r="F119" s="31">
        <f>114*1546.7212</f>
        <v>176326.21679999999</v>
      </c>
      <c r="G119" s="31">
        <f>114*1546.7212</f>
        <v>176326.21679999999</v>
      </c>
      <c r="H119" s="34">
        <v>7</v>
      </c>
      <c r="I119" s="53">
        <v>-1E-4</v>
      </c>
      <c r="J119" s="53">
        <v>4.4000000000000003E-3</v>
      </c>
      <c r="K119" s="31">
        <f>138287.95*1533.263</f>
        <v>212031797.08085001</v>
      </c>
      <c r="L119" s="32">
        <f t="shared" si="43"/>
        <v>1.185843287642074E-4</v>
      </c>
      <c r="M119" s="31">
        <f>114.27*1533.263</f>
        <v>175205.96300999998</v>
      </c>
      <c r="N119" s="31">
        <f>114.27*1533.263</f>
        <v>175205.96300999998</v>
      </c>
      <c r="O119" s="34">
        <v>7</v>
      </c>
      <c r="P119" s="53">
        <v>2.3E-3</v>
      </c>
      <c r="Q119" s="53">
        <v>6.7000000000000002E-3</v>
      </c>
      <c r="R119" s="60">
        <f t="shared" si="44"/>
        <v>-6.3777914219967959E-3</v>
      </c>
      <c r="S119" s="60">
        <f t="shared" si="45"/>
        <v>-6.3533024772525889E-3</v>
      </c>
      <c r="T119" s="60">
        <f t="shared" si="46"/>
        <v>0</v>
      </c>
      <c r="U119" s="60">
        <f t="shared" si="47"/>
        <v>2.3999999999999998E-3</v>
      </c>
      <c r="V119" s="61">
        <f t="shared" si="48"/>
        <v>2.3E-3</v>
      </c>
    </row>
    <row r="120" spans="1:24">
      <c r="A120" s="166">
        <v>105</v>
      </c>
      <c r="B120" s="167" t="s">
        <v>171</v>
      </c>
      <c r="C120" s="168" t="s">
        <v>41</v>
      </c>
      <c r="D120" s="31">
        <f>10189248.87*1546.7212</f>
        <v>15759927239.305042</v>
      </c>
      <c r="E120" s="32">
        <f t="shared" si="54"/>
        <v>9.0654541333552233E-3</v>
      </c>
      <c r="F120" s="31">
        <f>1.39*1546.7212</f>
        <v>2149.9424679999997</v>
      </c>
      <c r="G120" s="31">
        <f>1.39*1546.7212</f>
        <v>2149.9424679999997</v>
      </c>
      <c r="H120" s="49">
        <v>112</v>
      </c>
      <c r="I120" s="56">
        <v>8.9999999999999998E-4</v>
      </c>
      <c r="J120" s="56">
        <v>4.9200000000000001E-2</v>
      </c>
      <c r="K120" s="31">
        <f>10198154.81*1533.263</f>
        <v>15636453438.44503</v>
      </c>
      <c r="L120" s="32">
        <f t="shared" si="43"/>
        <v>8.7450955978255734E-3</v>
      </c>
      <c r="M120" s="31">
        <f>1.39*1533.263</f>
        <v>2131.2355699999998</v>
      </c>
      <c r="N120" s="31">
        <f>1.39*1533.263</f>
        <v>2131.2355699999998</v>
      </c>
      <c r="O120" s="49">
        <v>112</v>
      </c>
      <c r="P120" s="56">
        <v>8.9999999999999998E-4</v>
      </c>
      <c r="Q120" s="56">
        <v>4.9299999999999997E-2</v>
      </c>
      <c r="R120" s="60">
        <f t="shared" si="44"/>
        <v>-7.8346682053245832E-3</v>
      </c>
      <c r="S120" s="60">
        <f t="shared" si="45"/>
        <v>-8.7011156244576823E-3</v>
      </c>
      <c r="T120" s="60">
        <f t="shared" si="46"/>
        <v>0</v>
      </c>
      <c r="U120" s="60">
        <f t="shared" si="47"/>
        <v>0</v>
      </c>
      <c r="V120" s="61">
        <f t="shared" si="48"/>
        <v>9.9999999999995925E-5</v>
      </c>
    </row>
    <row r="121" spans="1:24">
      <c r="A121" s="166">
        <v>106</v>
      </c>
      <c r="B121" s="167" t="s">
        <v>172</v>
      </c>
      <c r="C121" s="168" t="s">
        <v>90</v>
      </c>
      <c r="D121" s="31">
        <f>20018916*1546.7212</f>
        <v>30963681778.2192</v>
      </c>
      <c r="E121" s="32">
        <f t="shared" si="54"/>
        <v>1.7810985590097875E-2</v>
      </c>
      <c r="F121" s="31">
        <f>103.61*1546.7212</f>
        <v>160255.783532</v>
      </c>
      <c r="G121" s="31">
        <f>103.61*1546.7212</f>
        <v>160255.783532</v>
      </c>
      <c r="H121" s="34">
        <v>501</v>
      </c>
      <c r="I121" s="56">
        <v>2E-3</v>
      </c>
      <c r="J121" s="53">
        <v>9.9099999999999994E-2</v>
      </c>
      <c r="K121" s="31">
        <f>20268255*1533.263</f>
        <v>31076565466.064999</v>
      </c>
      <c r="L121" s="32">
        <f t="shared" si="43"/>
        <v>1.7380382125823619E-2</v>
      </c>
      <c r="M121" s="31">
        <f>103.79*1533.263</f>
        <v>159137.36676999999</v>
      </c>
      <c r="N121" s="31">
        <f>103.79*1533.263</f>
        <v>159137.36676999999</v>
      </c>
      <c r="O121" s="34">
        <v>512</v>
      </c>
      <c r="P121" s="56">
        <v>1.6999999999999999E-3</v>
      </c>
      <c r="Q121" s="53">
        <v>9.6699999999999994E-2</v>
      </c>
      <c r="R121" s="60">
        <f t="shared" si="44"/>
        <v>3.645680402425668E-3</v>
      </c>
      <c r="S121" s="60">
        <f t="shared" si="45"/>
        <v>-6.9789478878725256E-3</v>
      </c>
      <c r="T121" s="60">
        <f t="shared" si="46"/>
        <v>2.1956087824351298E-2</v>
      </c>
      <c r="U121" s="60">
        <f t="shared" si="47"/>
        <v>-3.0000000000000014E-4</v>
      </c>
      <c r="V121" s="61">
        <f t="shared" si="48"/>
        <v>-2.3999999999999994E-3</v>
      </c>
    </row>
    <row r="122" spans="1:24">
      <c r="A122" s="166">
        <v>107</v>
      </c>
      <c r="B122" s="167" t="s">
        <v>173</v>
      </c>
      <c r="C122" s="168" t="s">
        <v>45</v>
      </c>
      <c r="D122" s="31">
        <f>1714291.95*1546.7212</f>
        <v>2651531702.0543399</v>
      </c>
      <c r="E122" s="32">
        <f t="shared" si="54"/>
        <v>1.5252189088895115E-3</v>
      </c>
      <c r="F122" s="31">
        <f>137.744584*1546.7212</f>
        <v>213052.4682579808</v>
      </c>
      <c r="G122" s="31">
        <f>141.708771*1546.7212</f>
        <v>219183.96033164521</v>
      </c>
      <c r="H122" s="34">
        <v>49</v>
      </c>
      <c r="I122" s="53">
        <v>6.6E-3</v>
      </c>
      <c r="J122" s="53">
        <v>4.6399999999999997E-2</v>
      </c>
      <c r="K122" s="31">
        <f>1704422.15*1533.263</f>
        <v>2613327418.9754496</v>
      </c>
      <c r="L122" s="32">
        <f t="shared" si="43"/>
        <v>1.4615717174822332E-3</v>
      </c>
      <c r="M122" s="31">
        <f>136.885545*1533.263</f>
        <v>209881.54138333499</v>
      </c>
      <c r="N122" s="31">
        <f>140.88886*1533.263</f>
        <v>216019.67615017999</v>
      </c>
      <c r="O122" s="34">
        <v>50</v>
      </c>
      <c r="P122" s="53">
        <v>-7.6E-3</v>
      </c>
      <c r="Q122" s="53">
        <v>4.02E-2</v>
      </c>
      <c r="R122" s="60">
        <f t="shared" ref="R122:R123" si="55">((K122-D122)/D122)</f>
        <v>-1.4408382539530118E-2</v>
      </c>
      <c r="S122" s="60">
        <f t="shared" ref="S122:S123" si="56">((N122-G122)/G122)</f>
        <v>-1.443665940097702E-2</v>
      </c>
      <c r="T122" s="60">
        <f t="shared" ref="T122:T123" si="57">((O122-H122)/H122)</f>
        <v>2.0408163265306121E-2</v>
      </c>
      <c r="U122" s="60">
        <f t="shared" ref="U122:U123" si="58">P122-I122</f>
        <v>-1.4200000000000001E-2</v>
      </c>
      <c r="V122" s="61">
        <f t="shared" ref="V122:V123" si="59">Q122-J122</f>
        <v>-6.1999999999999972E-3</v>
      </c>
    </row>
    <row r="123" spans="1:24">
      <c r="A123" s="166">
        <v>108</v>
      </c>
      <c r="B123" s="167" t="s">
        <v>174</v>
      </c>
      <c r="C123" s="168" t="s">
        <v>52</v>
      </c>
      <c r="D123" s="35">
        <f>124633643.89*1547.58</f>
        <v>192880534611.28619</v>
      </c>
      <c r="E123" s="32">
        <f t="shared" si="54"/>
        <v>0.11094909343076095</v>
      </c>
      <c r="F123" s="31">
        <f>124.8847*1547.58</f>
        <v>193269.06402599998</v>
      </c>
      <c r="G123" s="31">
        <f>124.8847*1547.58</f>
        <v>193269.06402599998</v>
      </c>
      <c r="H123" s="34">
        <v>3450</v>
      </c>
      <c r="I123" s="53">
        <v>6.13E-2</v>
      </c>
      <c r="J123" s="53">
        <v>6.0499999999999998E-2</v>
      </c>
      <c r="K123" s="35">
        <f>125035472.39*1531.2</f>
        <v>191454315323.56799</v>
      </c>
      <c r="L123" s="32">
        <f t="shared" si="43"/>
        <v>0.10707583383354119</v>
      </c>
      <c r="M123" s="31">
        <f>125.0192*1531.2</f>
        <v>191429.39903999999</v>
      </c>
      <c r="N123" s="31">
        <f>125.0192*1531.2</f>
        <v>191429.39903999999</v>
      </c>
      <c r="O123" s="34">
        <v>3479</v>
      </c>
      <c r="P123" s="53">
        <v>5.7700000000000001E-2</v>
      </c>
      <c r="Q123" s="53">
        <v>5.9700000000000003E-2</v>
      </c>
      <c r="R123" s="60">
        <f t="shared" si="55"/>
        <v>-7.3943142608582707E-3</v>
      </c>
      <c r="S123" s="60">
        <f t="shared" si="56"/>
        <v>-9.5186728164239655E-3</v>
      </c>
      <c r="T123" s="60">
        <f t="shared" si="57"/>
        <v>8.4057971014492756E-3</v>
      </c>
      <c r="U123" s="60">
        <f t="shared" si="58"/>
        <v>-3.599999999999999E-3</v>
      </c>
      <c r="V123" s="61">
        <f t="shared" si="59"/>
        <v>-7.9999999999999516E-4</v>
      </c>
    </row>
    <row r="124" spans="1:24" ht="6" customHeight="1">
      <c r="A124" s="38"/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</row>
    <row r="125" spans="1:24">
      <c r="A125" s="181" t="s">
        <v>175</v>
      </c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</row>
    <row r="126" spans="1:24">
      <c r="A126" s="166">
        <v>109</v>
      </c>
      <c r="B126" s="167" t="s">
        <v>176</v>
      </c>
      <c r="C126" s="168" t="s">
        <v>119</v>
      </c>
      <c r="D126" s="35">
        <f>1184540.05*1546.7212</f>
        <v>1832153207.58406</v>
      </c>
      <c r="E126" s="32">
        <f t="shared" ref="E126:E137" si="60">(D126/$D$140)</f>
        <v>1.0538945146402439E-3</v>
      </c>
      <c r="F126" s="31">
        <f>110.3*1546.7212</f>
        <v>170603.34836</v>
      </c>
      <c r="G126" s="31">
        <f>110.3*1546.7212</f>
        <v>170603.34836</v>
      </c>
      <c r="H126" s="34">
        <v>22</v>
      </c>
      <c r="I126" s="53">
        <v>1.0999E-2</v>
      </c>
      <c r="J126" s="53">
        <v>1.54E-2</v>
      </c>
      <c r="K126" s="35">
        <f>1259582.86*1533.263</f>
        <v>1931271794.6721799</v>
      </c>
      <c r="L126" s="32">
        <f t="shared" ref="L126:L139" si="61">(K126/$K$140)</f>
        <v>1.0801142686401861E-3</v>
      </c>
      <c r="M126" s="31">
        <f>112.21*1533.263</f>
        <v>172047.44122999997</v>
      </c>
      <c r="N126" s="31">
        <f>112.21*1533.263</f>
        <v>172047.44122999997</v>
      </c>
      <c r="O126" s="34">
        <v>22</v>
      </c>
      <c r="P126" s="53">
        <v>1.704E-2</v>
      </c>
      <c r="Q126" s="53">
        <v>3.3000000000000002E-2</v>
      </c>
      <c r="R126" s="60">
        <f>((K126-D126)/D126)</f>
        <v>5.4099507987555882E-2</v>
      </c>
      <c r="S126" s="60">
        <f>((N126-G126)/G126)</f>
        <v>8.4646220832237124E-3</v>
      </c>
      <c r="T126" s="60">
        <f>((O126-H126)/H126)</f>
        <v>0</v>
      </c>
      <c r="U126" s="60">
        <f>P126-I126</f>
        <v>6.0409999999999995E-3</v>
      </c>
      <c r="V126" s="61">
        <f>Q126-J126</f>
        <v>1.7600000000000001E-2</v>
      </c>
    </row>
    <row r="127" spans="1:24">
      <c r="A127" s="166">
        <v>110</v>
      </c>
      <c r="B127" s="168" t="s">
        <v>177</v>
      </c>
      <c r="C127" s="168" t="s">
        <v>25</v>
      </c>
      <c r="D127" s="31">
        <f>11124393.13*1546.7212</f>
        <v>17206334691.305355</v>
      </c>
      <c r="E127" s="32">
        <f t="shared" si="60"/>
        <v>9.8974592698732426E-3</v>
      </c>
      <c r="F127" s="35">
        <f>134.08*1546.7212</f>
        <v>207384.37849600002</v>
      </c>
      <c r="G127" s="35">
        <f>134.08*1546.7212</f>
        <v>207384.37849600002</v>
      </c>
      <c r="H127" s="34">
        <v>513</v>
      </c>
      <c r="I127" s="53">
        <v>5.0000000000000001E-4</v>
      </c>
      <c r="J127" s="53">
        <v>2.5000000000000001E-3</v>
      </c>
      <c r="K127" s="31">
        <f>11125981.32*1533.263</f>
        <v>17059055496.64716</v>
      </c>
      <c r="L127" s="32">
        <f t="shared" si="61"/>
        <v>9.5407230107562527E-3</v>
      </c>
      <c r="M127" s="35">
        <f>134.23*1533.263</f>
        <v>205809.89248999997</v>
      </c>
      <c r="N127" s="35">
        <f>134.23*1533.263</f>
        <v>205809.89248999997</v>
      </c>
      <c r="O127" s="34">
        <v>514</v>
      </c>
      <c r="P127" s="53">
        <v>5.0000000000000001E-4</v>
      </c>
      <c r="Q127" s="53">
        <v>3.5999999999999999E-3</v>
      </c>
      <c r="R127" s="60">
        <f t="shared" ref="R127:R140" si="62">((K127-D127)/D127)</f>
        <v>-8.5595914121453249E-3</v>
      </c>
      <c r="S127" s="60">
        <f t="shared" ref="S127:S140" si="63">((N127-G127)/G127)</f>
        <v>-7.5921147842406963E-3</v>
      </c>
      <c r="T127" s="60">
        <f t="shared" ref="T127:T140" si="64">((O127-H127)/H127)</f>
        <v>1.9493177387914229E-3</v>
      </c>
      <c r="U127" s="60">
        <f t="shared" ref="U127:U140" si="65">P127-I127</f>
        <v>0</v>
      </c>
      <c r="V127" s="61">
        <f t="shared" ref="V127:V140" si="66">Q127-J127</f>
        <v>1.0999999999999998E-3</v>
      </c>
    </row>
    <row r="128" spans="1:24">
      <c r="A128" s="166">
        <v>111</v>
      </c>
      <c r="B128" s="167" t="s">
        <v>178</v>
      </c>
      <c r="C128" s="168" t="s">
        <v>67</v>
      </c>
      <c r="D128" s="35">
        <v>16083041316.629999</v>
      </c>
      <c r="E128" s="32">
        <f t="shared" si="60"/>
        <v>9.2513164031076799E-3</v>
      </c>
      <c r="F128" s="35">
        <v>181252.72</v>
      </c>
      <c r="G128" s="35">
        <v>181252.72</v>
      </c>
      <c r="H128" s="34">
        <v>654</v>
      </c>
      <c r="I128" s="53">
        <v>1.5E-3</v>
      </c>
      <c r="J128" s="53">
        <v>6.2399999999999997E-2</v>
      </c>
      <c r="K128" s="35">
        <v>16211213399.1</v>
      </c>
      <c r="L128" s="32">
        <f t="shared" si="61"/>
        <v>9.0665451401733318E-3</v>
      </c>
      <c r="M128" s="35">
        <v>181935</v>
      </c>
      <c r="N128" s="35">
        <v>181935</v>
      </c>
      <c r="O128" s="34">
        <v>656</v>
      </c>
      <c r="P128" s="53">
        <v>1.4E-3</v>
      </c>
      <c r="Q128" s="53">
        <v>6.3700000000000007E-2</v>
      </c>
      <c r="R128" s="60">
        <f t="shared" si="62"/>
        <v>7.9693933471071919E-3</v>
      </c>
      <c r="S128" s="60">
        <f t="shared" si="63"/>
        <v>3.7642469586111524E-3</v>
      </c>
      <c r="T128" s="60">
        <f t="shared" si="64"/>
        <v>3.0581039755351682E-3</v>
      </c>
      <c r="U128" s="60">
        <f t="shared" si="65"/>
        <v>-1.0000000000000005E-4</v>
      </c>
      <c r="V128" s="61">
        <f t="shared" si="66"/>
        <v>1.3000000000000095E-3</v>
      </c>
    </row>
    <row r="129" spans="1:24">
      <c r="A129" s="166">
        <v>112</v>
      </c>
      <c r="B129" s="167" t="s">
        <v>179</v>
      </c>
      <c r="C129" s="168" t="s">
        <v>65</v>
      </c>
      <c r="D129" s="35">
        <v>6595477421.7017374</v>
      </c>
      <c r="E129" s="32">
        <f t="shared" si="60"/>
        <v>3.7938625696760288E-3</v>
      </c>
      <c r="F129" s="35">
        <v>1968.9777620981233</v>
      </c>
      <c r="G129" s="35">
        <v>1968.9777620981233</v>
      </c>
      <c r="H129" s="34">
        <v>344</v>
      </c>
      <c r="I129" s="53">
        <v>5.6060227180928443E-2</v>
      </c>
      <c r="J129" s="53">
        <v>5.6626603554049262E-2</v>
      </c>
      <c r="K129" s="35">
        <v>6619718102.8115854</v>
      </c>
      <c r="L129" s="32">
        <f t="shared" si="61"/>
        <v>3.7022505050544724E-3</v>
      </c>
      <c r="M129" s="35">
        <v>1961.5556471548043</v>
      </c>
      <c r="N129" s="35">
        <v>1961.5556471548043</v>
      </c>
      <c r="O129" s="34">
        <v>228</v>
      </c>
      <c r="P129" s="53">
        <v>5.4590414338424327E-2</v>
      </c>
      <c r="Q129" s="53">
        <v>5.6074708309119176E-2</v>
      </c>
      <c r="R129" s="60">
        <f t="shared" si="62"/>
        <v>3.6753489641381479E-3</v>
      </c>
      <c r="S129" s="60">
        <f t="shared" si="63"/>
        <v>-3.7695270541857565E-3</v>
      </c>
      <c r="T129" s="60">
        <f t="shared" si="64"/>
        <v>-0.33720930232558138</v>
      </c>
      <c r="U129" s="60">
        <f t="shared" si="65"/>
        <v>-1.469812842504116E-3</v>
      </c>
      <c r="V129" s="61">
        <f t="shared" si="66"/>
        <v>-5.5189524493008679E-4</v>
      </c>
    </row>
    <row r="130" spans="1:24">
      <c r="A130" s="166">
        <v>113</v>
      </c>
      <c r="B130" s="167" t="s">
        <v>180</v>
      </c>
      <c r="C130" s="168" t="s">
        <v>37</v>
      </c>
      <c r="D130" s="35">
        <v>75340592640.850006</v>
      </c>
      <c r="E130" s="32">
        <f t="shared" si="60"/>
        <v>4.3337553314462103E-2</v>
      </c>
      <c r="F130" s="35">
        <f>100*1535</f>
        <v>153500</v>
      </c>
      <c r="G130" s="35">
        <f>100*1535</f>
        <v>153500</v>
      </c>
      <c r="H130" s="34">
        <v>1879</v>
      </c>
      <c r="I130" s="53">
        <v>5.0299999999999997E-2</v>
      </c>
      <c r="J130" s="53">
        <v>4.6716500000000001E-2</v>
      </c>
      <c r="K130" s="35">
        <v>77229543455.599991</v>
      </c>
      <c r="L130" s="32">
        <f t="shared" si="61"/>
        <v>4.3192642318436732E-2</v>
      </c>
      <c r="M130" s="35">
        <f>100*1535</f>
        <v>153500</v>
      </c>
      <c r="N130" s="35">
        <f>100*1535</f>
        <v>153500</v>
      </c>
      <c r="O130" s="34">
        <v>1906</v>
      </c>
      <c r="P130" s="53">
        <v>4.2500000000000003E-2</v>
      </c>
      <c r="Q130" s="53">
        <v>4.5616700000000003E-2</v>
      </c>
      <c r="R130" s="60">
        <f t="shared" si="62"/>
        <v>2.5072152322382812E-2</v>
      </c>
      <c r="S130" s="60">
        <f t="shared" si="63"/>
        <v>0</v>
      </c>
      <c r="T130" s="60">
        <f t="shared" si="64"/>
        <v>1.4369345396487493E-2</v>
      </c>
      <c r="U130" s="60">
        <f t="shared" si="65"/>
        <v>-7.7999999999999944E-3</v>
      </c>
      <c r="V130" s="61">
        <f t="shared" si="66"/>
        <v>-1.099799999999998E-3</v>
      </c>
    </row>
    <row r="131" spans="1:24" ht="15.6">
      <c r="A131" s="169">
        <v>114</v>
      </c>
      <c r="B131" s="167" t="s">
        <v>181</v>
      </c>
      <c r="C131" s="168" t="s">
        <v>136</v>
      </c>
      <c r="D131" s="35">
        <f>1072881.29*1546.7212</f>
        <v>1659448236.3263481</v>
      </c>
      <c r="E131" s="32">
        <f t="shared" si="60"/>
        <v>9.5455084561399926E-4</v>
      </c>
      <c r="F131" s="35">
        <f>1.1013*1546.7212</f>
        <v>1703.40405756</v>
      </c>
      <c r="G131" s="35">
        <f>1.1013*1546.7212</f>
        <v>1703.40405756</v>
      </c>
      <c r="H131" s="34">
        <v>38</v>
      </c>
      <c r="I131" s="53">
        <v>9.9599999999999994E-2</v>
      </c>
      <c r="J131" s="53">
        <v>9.9599999999999994E-2</v>
      </c>
      <c r="K131" s="35">
        <f>1076314.65*1533.263</f>
        <v>1650273429.2029498</v>
      </c>
      <c r="L131" s="32">
        <f t="shared" si="61"/>
        <v>9.2295858250362962E-4</v>
      </c>
      <c r="M131" s="35">
        <f>1.1013*1533.263</f>
        <v>1688.5825418999998</v>
      </c>
      <c r="N131" s="35">
        <f>1.14*1533.263</f>
        <v>1747.9198199999998</v>
      </c>
      <c r="O131" s="34">
        <v>47</v>
      </c>
      <c r="P131" s="53">
        <v>1.9E-3</v>
      </c>
      <c r="Q131" s="53">
        <v>9.9599999999999994E-2</v>
      </c>
      <c r="R131" s="60">
        <f t="shared" si="62"/>
        <v>-5.5288299583898448E-3</v>
      </c>
      <c r="S131" s="60">
        <f t="shared" si="63"/>
        <v>2.6133413409714087E-2</v>
      </c>
      <c r="T131" s="60">
        <f t="shared" si="64"/>
        <v>0.23684210526315788</v>
      </c>
      <c r="U131" s="60">
        <f t="shared" si="65"/>
        <v>-9.7699999999999995E-2</v>
      </c>
      <c r="V131" s="61">
        <f t="shared" si="66"/>
        <v>0</v>
      </c>
      <c r="X131" s="70"/>
    </row>
    <row r="132" spans="1:24" ht="15.6">
      <c r="A132" s="166">
        <v>115</v>
      </c>
      <c r="B132" s="167" t="s">
        <v>182</v>
      </c>
      <c r="C132" s="168" t="s">
        <v>43</v>
      </c>
      <c r="D132" s="31">
        <f>2703911.43*1546.7212</f>
        <v>4182197131.7033162</v>
      </c>
      <c r="E132" s="32">
        <f t="shared" si="60"/>
        <v>2.4056910732145006E-3</v>
      </c>
      <c r="F132" s="35">
        <f>10.66*1546.7212</f>
        <v>16488.047992</v>
      </c>
      <c r="G132" s="35">
        <f>10.66*1546.7212</f>
        <v>16488.047992</v>
      </c>
      <c r="H132" s="34">
        <v>68</v>
      </c>
      <c r="I132" s="53">
        <v>7.46E-2</v>
      </c>
      <c r="J132" s="53">
        <v>9.4299999999999995E-2</v>
      </c>
      <c r="K132" s="31">
        <f>2686774.57*1601.528</f>
        <v>4302944703.5429602</v>
      </c>
      <c r="L132" s="32">
        <f t="shared" si="61"/>
        <v>2.406534380240031E-3</v>
      </c>
      <c r="M132" s="35">
        <f>10.40382*1601.528</f>
        <v>16662.00903696</v>
      </c>
      <c r="N132" s="35">
        <f>10.40382*1601.528</f>
        <v>16662.00903696</v>
      </c>
      <c r="O132" s="34">
        <v>68</v>
      </c>
      <c r="P132" s="53">
        <v>7.6899999999999996E-2</v>
      </c>
      <c r="Q132" s="53">
        <v>9.6600000000000005E-2</v>
      </c>
      <c r="R132" s="60">
        <f t="shared" si="62"/>
        <v>2.8871803034895713E-2</v>
      </c>
      <c r="S132" s="60">
        <f t="shared" si="63"/>
        <v>1.0550736208701377E-2</v>
      </c>
      <c r="T132" s="60">
        <f t="shared" si="64"/>
        <v>0</v>
      </c>
      <c r="U132" s="60">
        <f t="shared" si="65"/>
        <v>2.2999999999999965E-3</v>
      </c>
      <c r="V132" s="61">
        <f t="shared" si="66"/>
        <v>2.3000000000000104E-3</v>
      </c>
      <c r="X132" s="70"/>
    </row>
    <row r="133" spans="1:24" ht="15.6">
      <c r="A133" s="166">
        <v>116</v>
      </c>
      <c r="B133" s="168" t="s">
        <v>183</v>
      </c>
      <c r="C133" s="172" t="s">
        <v>47</v>
      </c>
      <c r="D133" s="35">
        <v>24954276708.630001</v>
      </c>
      <c r="E133" s="32">
        <f t="shared" si="60"/>
        <v>1.4354244629311844E-2</v>
      </c>
      <c r="F133" s="35">
        <f>1.0632*1546.7212</f>
        <v>1644.4739798399999</v>
      </c>
      <c r="G133" s="35">
        <f>1.0632*1546.7212</f>
        <v>1644.4739798399999</v>
      </c>
      <c r="H133" s="34">
        <v>460</v>
      </c>
      <c r="I133" s="53">
        <v>3.85E-2</v>
      </c>
      <c r="J133" s="53">
        <v>2.0299999999999999E-2</v>
      </c>
      <c r="K133" s="35">
        <v>25806864490.150002</v>
      </c>
      <c r="L133" s="32">
        <f t="shared" si="61"/>
        <v>1.4433164012218299E-2</v>
      </c>
      <c r="M133" s="35">
        <f>1.06*1533.263</f>
        <v>1625.2587799999999</v>
      </c>
      <c r="N133" s="35">
        <f>1.06*1533.263</f>
        <v>1625.2587799999999</v>
      </c>
      <c r="O133" s="34">
        <v>460</v>
      </c>
      <c r="P133" s="53">
        <v>-5.1999999999999998E-3</v>
      </c>
      <c r="Q133" s="53">
        <v>1.6899999999999998E-2</v>
      </c>
      <c r="R133" s="60">
        <f t="shared" si="62"/>
        <v>3.4165998537042261E-2</v>
      </c>
      <c r="S133" s="60">
        <f t="shared" si="63"/>
        <v>-1.1684708955911557E-2</v>
      </c>
      <c r="T133" s="60">
        <f t="shared" si="64"/>
        <v>0</v>
      </c>
      <c r="U133" s="60">
        <f t="shared" si="65"/>
        <v>-4.3700000000000003E-2</v>
      </c>
      <c r="V133" s="61">
        <f t="shared" si="66"/>
        <v>-3.4000000000000002E-3</v>
      </c>
      <c r="X133" s="70"/>
    </row>
    <row r="134" spans="1:24">
      <c r="A134" s="166">
        <v>117</v>
      </c>
      <c r="B134" s="167" t="s">
        <v>184</v>
      </c>
      <c r="C134" s="168" t="s">
        <v>92</v>
      </c>
      <c r="D134" s="31">
        <f>341076.69*1556.71</f>
        <v>530957494.08990002</v>
      </c>
      <c r="E134" s="32">
        <f t="shared" si="60"/>
        <v>3.0541833958653918E-4</v>
      </c>
      <c r="F134" s="35">
        <f>1.12*1556.71</f>
        <v>1743.5152000000003</v>
      </c>
      <c r="G134" s="35">
        <f>1.12*1556.71</f>
        <v>1743.5152000000003</v>
      </c>
      <c r="H134" s="34">
        <v>3</v>
      </c>
      <c r="I134" s="53">
        <v>2.617E-3</v>
      </c>
      <c r="J134" s="53">
        <v>1.1287999999999999E-2</v>
      </c>
      <c r="K134" s="31">
        <f>341173.64*1549.22</f>
        <v>528553026.56080002</v>
      </c>
      <c r="L134" s="32">
        <f t="shared" si="61"/>
        <v>2.9560710579226436E-4</v>
      </c>
      <c r="M134" s="35">
        <f>1.12*1549.22</f>
        <v>1735.1264000000001</v>
      </c>
      <c r="N134" s="35">
        <f>1.12*1549.22</f>
        <v>1735.1264000000001</v>
      </c>
      <c r="O134" s="34">
        <v>3</v>
      </c>
      <c r="P134" s="53">
        <v>2.8400000000000002E-4</v>
      </c>
      <c r="Q134" s="53">
        <v>1.1575999999999999E-2</v>
      </c>
      <c r="R134" s="60">
        <f t="shared" si="62"/>
        <v>-4.528549942065389E-3</v>
      </c>
      <c r="S134" s="60">
        <f t="shared" si="63"/>
        <v>-4.811429232162801E-3</v>
      </c>
      <c r="T134" s="60">
        <f t="shared" si="64"/>
        <v>0</v>
      </c>
      <c r="U134" s="60">
        <f t="shared" si="65"/>
        <v>-2.333E-3</v>
      </c>
      <c r="V134" s="61">
        <f t="shared" si="66"/>
        <v>2.8800000000000006E-4</v>
      </c>
    </row>
    <row r="135" spans="1:24">
      <c r="A135" s="166">
        <v>118</v>
      </c>
      <c r="B135" s="167" t="s">
        <v>185</v>
      </c>
      <c r="C135" s="168" t="s">
        <v>49</v>
      </c>
      <c r="D135" s="31">
        <v>987260522944.62</v>
      </c>
      <c r="E135" s="32">
        <f t="shared" si="60"/>
        <v>0.56789380131817202</v>
      </c>
      <c r="F135" s="35">
        <v>2458.98</v>
      </c>
      <c r="G135" s="35">
        <v>2458.98</v>
      </c>
      <c r="H135" s="34">
        <v>9494</v>
      </c>
      <c r="I135" s="53">
        <v>1.2999999999999999E-3</v>
      </c>
      <c r="J135" s="53">
        <v>3.2000000000000002E-3</v>
      </c>
      <c r="K135" s="31">
        <v>996568139933.40002</v>
      </c>
      <c r="L135" s="32">
        <f t="shared" si="61"/>
        <v>0.55735680010642297</v>
      </c>
      <c r="M135" s="35">
        <v>2450.25</v>
      </c>
      <c r="N135" s="35">
        <v>2450.25</v>
      </c>
      <c r="O135" s="34">
        <v>9576</v>
      </c>
      <c r="P135" s="53">
        <v>1.2999999999999999E-3</v>
      </c>
      <c r="Q135" s="53">
        <v>4.4000000000000003E-3</v>
      </c>
      <c r="R135" s="60">
        <f t="shared" si="62"/>
        <v>9.4277212270363776E-3</v>
      </c>
      <c r="S135" s="60">
        <f t="shared" si="63"/>
        <v>-3.5502525437376546E-3</v>
      </c>
      <c r="T135" s="60">
        <f t="shared" si="64"/>
        <v>8.637033916157574E-3</v>
      </c>
      <c r="U135" s="60">
        <f t="shared" si="65"/>
        <v>0</v>
      </c>
      <c r="V135" s="61">
        <f t="shared" si="66"/>
        <v>1.2000000000000001E-3</v>
      </c>
    </row>
    <row r="136" spans="1:24">
      <c r="A136" s="166">
        <v>119</v>
      </c>
      <c r="B136" s="167" t="s">
        <v>294</v>
      </c>
      <c r="C136" s="167" t="s">
        <v>102</v>
      </c>
      <c r="D136" s="31">
        <f>203260.93*1546.7212</f>
        <v>314387989.56271601</v>
      </c>
      <c r="E136" s="32">
        <f t="shared" si="60"/>
        <v>1.808428336109654E-4</v>
      </c>
      <c r="F136" s="35">
        <f>100.2765*1546.7212</f>
        <v>155099.78841179999</v>
      </c>
      <c r="G136" s="35">
        <f>100.2765*1546.7212</f>
        <v>155099.78841179999</v>
      </c>
      <c r="H136" s="34">
        <v>2</v>
      </c>
      <c r="I136" s="53">
        <v>0</v>
      </c>
      <c r="J136" s="53">
        <v>0</v>
      </c>
      <c r="K136" s="31">
        <f>244881.82*1533.263</f>
        <v>375468233.97865999</v>
      </c>
      <c r="L136" s="32">
        <f t="shared" si="61"/>
        <v>2.0999043120718369E-4</v>
      </c>
      <c r="M136" s="35">
        <f>100.41*1533.263</f>
        <v>153954.93782999998</v>
      </c>
      <c r="N136" s="35">
        <f>100.41*1533.263</f>
        <v>153954.93782999998</v>
      </c>
      <c r="O136" s="34">
        <v>7</v>
      </c>
      <c r="P136" s="53">
        <v>0</v>
      </c>
      <c r="Q136" s="53">
        <v>0</v>
      </c>
      <c r="R136" s="60">
        <f t="shared" ref="R136" si="67">((K136-D136)/D136)</f>
        <v>0.19428300839641116</v>
      </c>
      <c r="S136" s="60">
        <f t="shared" ref="S136" si="68">((N136-G136)/G136)</f>
        <v>-7.3813806809352933E-3</v>
      </c>
      <c r="T136" s="60">
        <f t="shared" ref="T136" si="69">((O136-H136)/H136)</f>
        <v>2.5</v>
      </c>
      <c r="U136" s="60">
        <f t="shared" ref="U136" si="70">P136-I136</f>
        <v>0</v>
      </c>
      <c r="V136" s="61">
        <f t="shared" ref="V136" si="71">Q136-J136</f>
        <v>0</v>
      </c>
    </row>
    <row r="137" spans="1:24" ht="16.5" customHeight="1">
      <c r="A137" s="166">
        <v>120</v>
      </c>
      <c r="B137" s="167" t="s">
        <v>186</v>
      </c>
      <c r="C137" s="168" t="s">
        <v>52</v>
      </c>
      <c r="D137" s="31">
        <f>104500878.29*1547.58</f>
        <v>161723469224.03821</v>
      </c>
      <c r="E137" s="32">
        <f t="shared" si="60"/>
        <v>9.3026869367846987E-2</v>
      </c>
      <c r="F137" s="35">
        <f>1.1738*1547.58</f>
        <v>1816.5494039999999</v>
      </c>
      <c r="G137" s="35">
        <f>1.1738*1547.58</f>
        <v>1816.5494039999999</v>
      </c>
      <c r="H137" s="34">
        <v>513</v>
      </c>
      <c r="I137" s="53">
        <v>9.7799999999999998E-2</v>
      </c>
      <c r="J137" s="53">
        <v>9.2299999999999993E-2</v>
      </c>
      <c r="K137" s="31">
        <f>129669458.65*1531.2</f>
        <v>198549875084.88</v>
      </c>
      <c r="L137" s="32">
        <f t="shared" si="61"/>
        <v>0.11104421123299633</v>
      </c>
      <c r="M137" s="35">
        <f>1.1759*1531.2</f>
        <v>1800.53808</v>
      </c>
      <c r="N137" s="35">
        <f>1.1759*1531.2</f>
        <v>1800.53808</v>
      </c>
      <c r="O137" s="34">
        <v>534</v>
      </c>
      <c r="P137" s="53">
        <v>0.1149</v>
      </c>
      <c r="Q137" s="53">
        <v>9.7900000000000001E-2</v>
      </c>
      <c r="R137" s="60">
        <f t="shared" si="62"/>
        <v>0.22771219315005892</v>
      </c>
      <c r="S137" s="60">
        <f t="shared" si="63"/>
        <v>-8.8141417815245024E-3</v>
      </c>
      <c r="T137" s="60">
        <f t="shared" si="64"/>
        <v>4.0935672514619881E-2</v>
      </c>
      <c r="U137" s="60">
        <f t="shared" si="65"/>
        <v>1.7100000000000004E-2</v>
      </c>
      <c r="V137" s="61">
        <f t="shared" si="66"/>
        <v>5.6000000000000077E-3</v>
      </c>
    </row>
    <row r="138" spans="1:24" ht="16.5" customHeight="1">
      <c r="A138" s="166">
        <v>121</v>
      </c>
      <c r="B138" s="167" t="s">
        <v>187</v>
      </c>
      <c r="C138" s="168" t="s">
        <v>97</v>
      </c>
      <c r="D138" s="35">
        <v>714215591.1982559</v>
      </c>
      <c r="E138" s="32">
        <v>0</v>
      </c>
      <c r="F138" s="35">
        <v>160730.3075</v>
      </c>
      <c r="G138" s="35">
        <v>160730.3075</v>
      </c>
      <c r="H138" s="34">
        <v>21</v>
      </c>
      <c r="I138" s="53">
        <v>1E-3</v>
      </c>
      <c r="J138" s="53">
        <v>7.1400000000000005E-2</v>
      </c>
      <c r="K138" s="35">
        <v>773502939.40641987</v>
      </c>
      <c r="L138" s="32">
        <f t="shared" si="61"/>
        <v>4.3260175185741521E-4</v>
      </c>
      <c r="M138" s="35">
        <v>160127.3792</v>
      </c>
      <c r="N138" s="35">
        <v>160127.3792</v>
      </c>
      <c r="O138" s="34">
        <v>22</v>
      </c>
      <c r="P138" s="53">
        <v>1.1000000000000001E-3</v>
      </c>
      <c r="Q138" s="53">
        <v>6.59E-2</v>
      </c>
      <c r="R138" s="60">
        <f t="shared" si="62"/>
        <v>8.3010436818798966E-2</v>
      </c>
      <c r="S138" s="60">
        <f t="shared" si="63"/>
        <v>-3.7511799073737203E-3</v>
      </c>
      <c r="T138" s="60">
        <f t="shared" si="64"/>
        <v>4.7619047619047616E-2</v>
      </c>
      <c r="U138" s="60">
        <f t="shared" si="65"/>
        <v>1.0000000000000005E-4</v>
      </c>
      <c r="V138" s="61">
        <f t="shared" si="66"/>
        <v>-5.5000000000000049E-3</v>
      </c>
    </row>
    <row r="139" spans="1:24">
      <c r="A139" s="166">
        <v>122</v>
      </c>
      <c r="B139" s="167" t="s">
        <v>188</v>
      </c>
      <c r="C139" s="168" t="s">
        <v>111</v>
      </c>
      <c r="D139" s="35">
        <f>1114224.83*1546.7212</f>
        <v>1723395166.1273961</v>
      </c>
      <c r="E139" s="32">
        <f>(D139/$D$140)</f>
        <v>9.913345153783179E-4</v>
      </c>
      <c r="F139" s="35">
        <f>1.2598*1546.7212</f>
        <v>1948.55936776</v>
      </c>
      <c r="G139" s="35">
        <f>1.2598*1546.7212</f>
        <v>1948.55936776</v>
      </c>
      <c r="H139" s="34">
        <v>71</v>
      </c>
      <c r="I139" s="53">
        <v>1.2509999999999999E-3</v>
      </c>
      <c r="J139" s="53">
        <v>1.3091999999999999E-2</v>
      </c>
      <c r="K139" s="35">
        <f>1126543.51*1533.263</f>
        <v>1727287481.7731299</v>
      </c>
      <c r="L139" s="32">
        <f t="shared" si="61"/>
        <v>9.6603070590766706E-4</v>
      </c>
      <c r="M139" s="35">
        <f>1.2597*1533.263</f>
        <v>1931.4514010999999</v>
      </c>
      <c r="N139" s="35">
        <f>1.2597*1533.263</f>
        <v>1931.4514010999999</v>
      </c>
      <c r="O139" s="34">
        <v>72</v>
      </c>
      <c r="P139" s="53">
        <v>-6.0099999999999997E-4</v>
      </c>
      <c r="Q139" s="53">
        <v>1.2985E-2</v>
      </c>
      <c r="R139" s="60">
        <f t="shared" si="62"/>
        <v>2.2585160514753976E-3</v>
      </c>
      <c r="S139" s="60">
        <f t="shared" si="63"/>
        <v>-8.7798026290914905E-3</v>
      </c>
      <c r="T139" s="60">
        <f t="shared" si="64"/>
        <v>1.4084507042253521E-2</v>
      </c>
      <c r="U139" s="60">
        <f t="shared" si="65"/>
        <v>-1.8519999999999999E-3</v>
      </c>
      <c r="V139" s="61">
        <f t="shared" si="66"/>
        <v>-1.0699999999999946E-4</v>
      </c>
    </row>
    <row r="140" spans="1:24">
      <c r="A140" s="38"/>
      <c r="B140" s="39"/>
      <c r="C140" s="74" t="s">
        <v>53</v>
      </c>
      <c r="D140" s="51">
        <f>SUM(D108:D139)</f>
        <v>1738459762464.4448</v>
      </c>
      <c r="E140" s="42">
        <f>(D140/$D$210)</f>
        <v>0.43248434650579354</v>
      </c>
      <c r="F140" s="43"/>
      <c r="G140" s="48"/>
      <c r="H140" s="45">
        <f>SUM(H108:H139)</f>
        <v>22211</v>
      </c>
      <c r="I140" s="83"/>
      <c r="J140" s="83"/>
      <c r="K140" s="51">
        <f>SUM(K108:K139)</f>
        <v>1788025443922.3008</v>
      </c>
      <c r="L140" s="42">
        <f>(K140/$K$210)</f>
        <v>0.43405104803238698</v>
      </c>
      <c r="M140" s="43"/>
      <c r="N140" s="48"/>
      <c r="O140" s="45">
        <f>SUM(O108:O139)</f>
        <v>22373</v>
      </c>
      <c r="P140" s="83"/>
      <c r="Q140" s="83"/>
      <c r="R140" s="60">
        <f t="shared" si="62"/>
        <v>2.8511261823852354E-2</v>
      </c>
      <c r="S140" s="60" t="e">
        <f t="shared" si="63"/>
        <v>#DIV/0!</v>
      </c>
      <c r="T140" s="60">
        <f t="shared" si="64"/>
        <v>7.2936833100715861E-3</v>
      </c>
      <c r="U140" s="60">
        <f t="shared" si="65"/>
        <v>0</v>
      </c>
      <c r="V140" s="61">
        <f t="shared" si="66"/>
        <v>0</v>
      </c>
    </row>
    <row r="141" spans="1:24" ht="6" customHeight="1">
      <c r="A141" s="38"/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</row>
    <row r="142" spans="1:24">
      <c r="A142" s="182" t="s">
        <v>189</v>
      </c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</row>
    <row r="143" spans="1:24">
      <c r="A143" s="166">
        <v>123</v>
      </c>
      <c r="B143" s="167" t="s">
        <v>190</v>
      </c>
      <c r="C143" s="168" t="s">
        <v>191</v>
      </c>
      <c r="D143" s="75">
        <v>2254764240.4400001</v>
      </c>
      <c r="E143" s="32">
        <f>(D143/$D$148)</f>
        <v>2.2358002489986064E-2</v>
      </c>
      <c r="F143" s="63">
        <v>106.25656175494697</v>
      </c>
      <c r="G143" s="63">
        <v>106.25656175494697</v>
      </c>
      <c r="H143" s="34">
        <v>7</v>
      </c>
      <c r="I143" s="53">
        <v>3.4003193350229388E-3</v>
      </c>
      <c r="J143" s="53">
        <v>8.2888900401472988E-3</v>
      </c>
      <c r="K143" s="75">
        <v>2254764240.4400001</v>
      </c>
      <c r="L143" s="32">
        <f>(K143/$K$148)</f>
        <v>2.23502557374958E-2</v>
      </c>
      <c r="M143" s="63">
        <v>106.67656292990249</v>
      </c>
      <c r="N143" s="63">
        <v>106.67656292990249</v>
      </c>
      <c r="O143" s="34">
        <v>7</v>
      </c>
      <c r="P143" s="53">
        <v>3.9527081247381357E-3</v>
      </c>
      <c r="Q143" s="53">
        <v>1.1972718772959245E-2</v>
      </c>
      <c r="R143" s="60">
        <f t="shared" ref="R143:R148" si="72">((K143-D143)/D143)</f>
        <v>0</v>
      </c>
      <c r="S143" s="60">
        <f t="shared" ref="S143:T148" si="73">((N143-G143)/G143)</f>
        <v>3.9527081247381132E-3</v>
      </c>
      <c r="T143" s="60">
        <f t="shared" si="73"/>
        <v>0</v>
      </c>
      <c r="U143" s="60">
        <f t="shared" ref="U143:V148" si="74">P143-I143</f>
        <v>5.5238878971519689E-4</v>
      </c>
      <c r="V143" s="61">
        <f t="shared" si="74"/>
        <v>3.6838287328119466E-3</v>
      </c>
    </row>
    <row r="144" spans="1:24">
      <c r="A144" s="166">
        <v>124</v>
      </c>
      <c r="B144" s="167" t="s">
        <v>192</v>
      </c>
      <c r="C144" s="168" t="s">
        <v>47</v>
      </c>
      <c r="D144" s="31">
        <v>54160728474</v>
      </c>
      <c r="E144" s="32">
        <f>(D144/$D$148)</f>
        <v>0.5370520253793134</v>
      </c>
      <c r="F144" s="63">
        <v>102.07</v>
      </c>
      <c r="G144" s="63">
        <v>102.07</v>
      </c>
      <c r="H144" s="34">
        <v>645</v>
      </c>
      <c r="I144" s="53">
        <v>8.3900000000000002E-2</v>
      </c>
      <c r="J144" s="53">
        <v>8.3900000000000002E-2</v>
      </c>
      <c r="K144" s="31">
        <v>54160728474</v>
      </c>
      <c r="L144" s="32">
        <f>(K144/$K$148)</f>
        <v>0.53686594394753651</v>
      </c>
      <c r="M144" s="63">
        <v>102.07</v>
      </c>
      <c r="N144" s="63">
        <v>102.07</v>
      </c>
      <c r="O144" s="34">
        <v>645</v>
      </c>
      <c r="P144" s="53">
        <v>8.3900000000000002E-2</v>
      </c>
      <c r="Q144" s="53">
        <v>8.3900000000000002E-2</v>
      </c>
      <c r="R144" s="60">
        <f t="shared" si="72"/>
        <v>0</v>
      </c>
      <c r="S144" s="60">
        <f t="shared" si="73"/>
        <v>0</v>
      </c>
      <c r="T144" s="60">
        <f t="shared" si="73"/>
        <v>0</v>
      </c>
      <c r="U144" s="60">
        <f t="shared" si="74"/>
        <v>0</v>
      </c>
      <c r="V144" s="61">
        <f t="shared" si="74"/>
        <v>0</v>
      </c>
    </row>
    <row r="145" spans="1:22" ht="15.75" customHeight="1">
      <c r="A145" s="166">
        <v>125</v>
      </c>
      <c r="B145" s="167" t="s">
        <v>193</v>
      </c>
      <c r="C145" s="168" t="s">
        <v>146</v>
      </c>
      <c r="D145" s="31">
        <v>2795071757.3332071</v>
      </c>
      <c r="E145" s="32">
        <f>(D145/$D$148)</f>
        <v>2.7715634383996924E-2</v>
      </c>
      <c r="F145" s="63">
        <v>179.45</v>
      </c>
      <c r="G145" s="63">
        <v>179.45</v>
      </c>
      <c r="H145" s="34">
        <v>3040</v>
      </c>
      <c r="I145" s="53">
        <v>0.11447835007381447</v>
      </c>
      <c r="J145" s="53">
        <v>4.328431713069119E-2</v>
      </c>
      <c r="K145" s="31">
        <v>2798328487.5909557</v>
      </c>
      <c r="L145" s="32">
        <f>(K145/$K$148)</f>
        <v>2.7738313484594223E-2</v>
      </c>
      <c r="M145" s="63">
        <v>179.45</v>
      </c>
      <c r="N145" s="63">
        <v>179.45</v>
      </c>
      <c r="O145" s="34">
        <v>3040</v>
      </c>
      <c r="P145" s="53">
        <v>7.8761618845949719E-2</v>
      </c>
      <c r="Q145" s="53">
        <v>3.983667191998521E-2</v>
      </c>
      <c r="R145" s="60">
        <f t="shared" si="72"/>
        <v>1.1651687471722972E-3</v>
      </c>
      <c r="S145" s="60">
        <f t="shared" si="73"/>
        <v>0</v>
      </c>
      <c r="T145" s="60">
        <f t="shared" si="73"/>
        <v>0</v>
      </c>
      <c r="U145" s="60">
        <f t="shared" si="74"/>
        <v>-3.5716731227864756E-2</v>
      </c>
      <c r="V145" s="61">
        <f t="shared" si="74"/>
        <v>-3.4476452107059796E-3</v>
      </c>
    </row>
    <row r="146" spans="1:22">
      <c r="A146" s="166">
        <v>126</v>
      </c>
      <c r="B146" s="167" t="s">
        <v>194</v>
      </c>
      <c r="C146" s="168" t="s">
        <v>146</v>
      </c>
      <c r="D146" s="31">
        <v>10750679369.33</v>
      </c>
      <c r="E146" s="32">
        <f>(D146/$D$148)</f>
        <v>0.10660259365370138</v>
      </c>
      <c r="F146" s="63">
        <v>36.6</v>
      </c>
      <c r="G146" s="63">
        <v>36.6</v>
      </c>
      <c r="H146" s="34">
        <v>5260</v>
      </c>
      <c r="I146" s="53">
        <v>1E-3</v>
      </c>
      <c r="J146" s="53">
        <v>7.8620662645884604E-2</v>
      </c>
      <c r="K146" s="31">
        <v>10763730639.280001</v>
      </c>
      <c r="L146" s="32">
        <f>(K146/$K$148)</f>
        <v>0.10669502742800345</v>
      </c>
      <c r="M146" s="63">
        <v>36.6</v>
      </c>
      <c r="N146" s="63">
        <v>36.6</v>
      </c>
      <c r="O146" s="34">
        <v>5264</v>
      </c>
      <c r="P146" s="53">
        <v>6.0530679933665253E-2</v>
      </c>
      <c r="Q146" s="53">
        <v>7.3409065690189193E-2</v>
      </c>
      <c r="R146" s="60">
        <f t="shared" si="72"/>
        <v>1.213994902241619E-3</v>
      </c>
      <c r="S146" s="60">
        <f t="shared" si="73"/>
        <v>0</v>
      </c>
      <c r="T146" s="60">
        <f t="shared" si="73"/>
        <v>7.6045627376425851E-4</v>
      </c>
      <c r="U146" s="60">
        <f t="shared" si="74"/>
        <v>5.9530679933665252E-2</v>
      </c>
      <c r="V146" s="61">
        <f t="shared" si="74"/>
        <v>-5.2115969556954106E-3</v>
      </c>
    </row>
    <row r="147" spans="1:22">
      <c r="A147" s="166">
        <v>127</v>
      </c>
      <c r="B147" s="167" t="s">
        <v>195</v>
      </c>
      <c r="C147" s="168" t="s">
        <v>49</v>
      </c>
      <c r="D147" s="31">
        <v>30886953194.830002</v>
      </c>
      <c r="E147" s="32">
        <f>(D147/$D$148)</f>
        <v>0.30627174409300223</v>
      </c>
      <c r="F147" s="63">
        <v>5.8</v>
      </c>
      <c r="G147" s="63">
        <v>5.8</v>
      </c>
      <c r="H147" s="34">
        <v>208048</v>
      </c>
      <c r="I147" s="53">
        <v>3.5700000000000003E-2</v>
      </c>
      <c r="J147" s="53">
        <v>0.16</v>
      </c>
      <c r="K147" s="31">
        <v>30905599873.919998</v>
      </c>
      <c r="L147" s="32">
        <f>(K147/$K$148)</f>
        <v>0.30635045940237005</v>
      </c>
      <c r="M147" s="63">
        <v>5.4</v>
      </c>
      <c r="N147" s="63">
        <v>5.4</v>
      </c>
      <c r="O147" s="34">
        <v>208048</v>
      </c>
      <c r="P147" s="53">
        <v>-6.9000000000000006E-2</v>
      </c>
      <c r="Q147" s="53">
        <v>0.08</v>
      </c>
      <c r="R147" s="60">
        <f t="shared" si="72"/>
        <v>6.0370729907790013E-4</v>
      </c>
      <c r="S147" s="60">
        <f t="shared" si="73"/>
        <v>-6.8965517241379226E-2</v>
      </c>
      <c r="T147" s="60">
        <f t="shared" si="73"/>
        <v>0</v>
      </c>
      <c r="U147" s="60">
        <f t="shared" si="74"/>
        <v>-0.10470000000000002</v>
      </c>
      <c r="V147" s="61">
        <f t="shared" si="74"/>
        <v>-0.08</v>
      </c>
    </row>
    <row r="148" spans="1:22">
      <c r="A148" s="38"/>
      <c r="B148" s="76"/>
      <c r="C148" s="40" t="s">
        <v>53</v>
      </c>
      <c r="D148" s="41">
        <f>SUM(D143:D147)</f>
        <v>100848197035.93321</v>
      </c>
      <c r="E148" s="42">
        <f>(D148/$D$210)</f>
        <v>2.5088453315447446E-2</v>
      </c>
      <c r="F148" s="43"/>
      <c r="G148" s="77"/>
      <c r="H148" s="45">
        <f>SUM(H143:H147)</f>
        <v>217000</v>
      </c>
      <c r="I148" s="84"/>
      <c r="J148" s="84"/>
      <c r="K148" s="41">
        <f>SUM(K143:K147)</f>
        <v>100883151715.23096</v>
      </c>
      <c r="L148" s="42">
        <f>(K148/$K$210)</f>
        <v>2.4489829202178365E-2</v>
      </c>
      <c r="M148" s="43"/>
      <c r="N148" s="77"/>
      <c r="O148" s="45">
        <f>SUM(O143:O147)</f>
        <v>217004</v>
      </c>
      <c r="P148" s="84"/>
      <c r="Q148" s="84"/>
      <c r="R148" s="60">
        <f t="shared" si="72"/>
        <v>3.4660688366387011E-4</v>
      </c>
      <c r="S148" s="60" t="e">
        <f t="shared" si="73"/>
        <v>#DIV/0!</v>
      </c>
      <c r="T148" s="60">
        <f t="shared" si="73"/>
        <v>1.8433179723502303E-5</v>
      </c>
      <c r="U148" s="60">
        <f t="shared" si="74"/>
        <v>0</v>
      </c>
      <c r="V148" s="61">
        <f t="shared" si="74"/>
        <v>0</v>
      </c>
    </row>
    <row r="149" spans="1:22" ht="5.25" customHeight="1">
      <c r="A149" s="38"/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</row>
    <row r="150" spans="1:22" ht="15" customHeight="1">
      <c r="A150" s="182" t="s">
        <v>196</v>
      </c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</row>
    <row r="151" spans="1:22">
      <c r="A151" s="166">
        <v>128</v>
      </c>
      <c r="B151" s="167" t="s">
        <v>197</v>
      </c>
      <c r="C151" s="168" t="s">
        <v>57</v>
      </c>
      <c r="D151" s="35">
        <v>258933065.88999999</v>
      </c>
      <c r="E151" s="32">
        <f t="shared" ref="E151:E178" si="75">(D151/$D$179)</f>
        <v>4.7525132425172457E-3</v>
      </c>
      <c r="F151" s="35">
        <v>5.79</v>
      </c>
      <c r="G151" s="35">
        <v>5.87</v>
      </c>
      <c r="H151" s="36">
        <v>11835</v>
      </c>
      <c r="I151" s="54">
        <v>-2.7829999999999999E-3</v>
      </c>
      <c r="J151" s="54">
        <v>1.3599999999999999E-2</v>
      </c>
      <c r="K151" s="35">
        <v>261548358.53</v>
      </c>
      <c r="L151" s="57">
        <f t="shared" ref="L151:L177" si="76">(K151/$K$179)</f>
        <v>4.7418773551823126E-3</v>
      </c>
      <c r="M151" s="35">
        <v>5.85</v>
      </c>
      <c r="N151" s="35">
        <v>5.93</v>
      </c>
      <c r="O151" s="36">
        <v>11835</v>
      </c>
      <c r="P151" s="54">
        <v>1.0467000000000001E-2</v>
      </c>
      <c r="Q151" s="54">
        <v>2.41E-2</v>
      </c>
      <c r="R151" s="60">
        <f>((K151-D151)/D151)</f>
        <v>1.0100265221094029E-2</v>
      </c>
      <c r="S151" s="60">
        <f>((N151-G151)/G151)</f>
        <v>1.0221465076660921E-2</v>
      </c>
      <c r="T151" s="60">
        <f>((O151-H151)/H151)</f>
        <v>0</v>
      </c>
      <c r="U151" s="60">
        <f>P151-I151</f>
        <v>1.3250000000000001E-2</v>
      </c>
      <c r="V151" s="61">
        <f>Q151-J151</f>
        <v>1.0500000000000001E-2</v>
      </c>
    </row>
    <row r="152" spans="1:22">
      <c r="A152" s="169">
        <v>129</v>
      </c>
      <c r="B152" s="167" t="s">
        <v>198</v>
      </c>
      <c r="C152" s="167" t="s">
        <v>199</v>
      </c>
      <c r="D152" s="35">
        <v>656437552.96030045</v>
      </c>
      <c r="E152" s="32">
        <f t="shared" si="75"/>
        <v>1.2048396185347636E-2</v>
      </c>
      <c r="F152" s="35">
        <v>1535.8716628971374</v>
      </c>
      <c r="G152" s="35">
        <v>1554.9929009978862</v>
      </c>
      <c r="H152" s="36">
        <v>173</v>
      </c>
      <c r="I152" s="54">
        <v>4.9892884972030805E-3</v>
      </c>
      <c r="J152" s="54">
        <v>0.37343925102373154</v>
      </c>
      <c r="K152" s="35">
        <v>681656603.90536368</v>
      </c>
      <c r="L152" s="57">
        <f t="shared" si="76"/>
        <v>1.2358448862903377E-2</v>
      </c>
      <c r="M152" s="35">
        <v>1595.7204588629577</v>
      </c>
      <c r="N152" s="35">
        <v>1615.2467434593123</v>
      </c>
      <c r="O152" s="36">
        <v>172</v>
      </c>
      <c r="P152" s="54">
        <v>3.8834359281041023E-2</v>
      </c>
      <c r="Q152" s="54">
        <v>0.42677588434867103</v>
      </c>
      <c r="R152" s="60">
        <f>((K152-D152)/D152)</f>
        <v>3.8418050325326851E-2</v>
      </c>
      <c r="S152" s="60">
        <f>((N152-G152)/G152)</f>
        <v>3.8748628641815247E-2</v>
      </c>
      <c r="T152" s="60">
        <f>((O152-H152)/H152)</f>
        <v>-5.7803468208092483E-3</v>
      </c>
      <c r="U152" s="60">
        <f>P152-I152</f>
        <v>3.3845070783837944E-2</v>
      </c>
      <c r="V152" s="61">
        <f>Q152-J152</f>
        <v>5.3336633324939486E-2</v>
      </c>
    </row>
    <row r="153" spans="1:22">
      <c r="A153" s="166">
        <v>130</v>
      </c>
      <c r="B153" s="167" t="s">
        <v>200</v>
      </c>
      <c r="C153" s="168" t="s">
        <v>23</v>
      </c>
      <c r="D153" s="35">
        <v>6742896814.5699997</v>
      </c>
      <c r="E153" s="32">
        <f t="shared" si="75"/>
        <v>0.12376057995538099</v>
      </c>
      <c r="F153" s="35">
        <v>789.83410000000003</v>
      </c>
      <c r="G153" s="35">
        <v>813.64819999999997</v>
      </c>
      <c r="H153" s="36">
        <v>21361</v>
      </c>
      <c r="I153" s="54">
        <v>-1.0275000000000001</v>
      </c>
      <c r="J153" s="54">
        <v>-0.13639999999999999</v>
      </c>
      <c r="K153" s="35">
        <v>6805302681.0100002</v>
      </c>
      <c r="L153" s="57">
        <f t="shared" si="76"/>
        <v>0.12338028370589599</v>
      </c>
      <c r="M153" s="35">
        <v>798.72209999999995</v>
      </c>
      <c r="N153" s="35">
        <v>822.80420000000004</v>
      </c>
      <c r="O153" s="36">
        <v>21365</v>
      </c>
      <c r="P153" s="54">
        <v>0.58679999999999999</v>
      </c>
      <c r="Q153" s="54">
        <v>7.3400000000000007E-2</v>
      </c>
      <c r="R153" s="60">
        <f t="shared" ref="R153:R178" si="77">((K153-D153)/D153)</f>
        <v>9.2550528587586299E-3</v>
      </c>
      <c r="S153" s="60">
        <f t="shared" ref="S153:T178" si="78">((N153-G153)/G153)</f>
        <v>1.1253020654381173E-2</v>
      </c>
      <c r="T153" s="60">
        <f t="shared" si="78"/>
        <v>1.8725715088244933E-4</v>
      </c>
      <c r="U153" s="60">
        <f t="shared" ref="U153:V178" si="79">P153-I153</f>
        <v>1.6143000000000001</v>
      </c>
      <c r="V153" s="61">
        <f t="shared" si="79"/>
        <v>0.20979999999999999</v>
      </c>
    </row>
    <row r="154" spans="1:22">
      <c r="A154" s="169">
        <v>131</v>
      </c>
      <c r="B154" s="167" t="s">
        <v>201</v>
      </c>
      <c r="C154" s="168" t="s">
        <v>113</v>
      </c>
      <c r="D154" s="35">
        <v>3699804129.5700002</v>
      </c>
      <c r="E154" s="32">
        <f t="shared" si="75"/>
        <v>6.7907001603152481E-2</v>
      </c>
      <c r="F154" s="35">
        <v>21.9575</v>
      </c>
      <c r="G154" s="35">
        <v>22.216699999999999</v>
      </c>
      <c r="H154" s="34">
        <v>6170</v>
      </c>
      <c r="I154" s="53">
        <v>7.0000000000000001E-3</v>
      </c>
      <c r="J154" s="53">
        <v>3.2399999999999998E-2</v>
      </c>
      <c r="K154" s="35">
        <v>3738515843.2600002</v>
      </c>
      <c r="L154" s="57">
        <f t="shared" si="76"/>
        <v>6.777937249838073E-2</v>
      </c>
      <c r="M154" s="35">
        <v>22.034600000000001</v>
      </c>
      <c r="N154" s="35">
        <v>22.295100000000001</v>
      </c>
      <c r="O154" s="34">
        <v>6170</v>
      </c>
      <c r="P154" s="53">
        <v>1.5100000000000001E-2</v>
      </c>
      <c r="Q154" s="53">
        <v>3.5999999999999997E-2</v>
      </c>
      <c r="R154" s="60">
        <f t="shared" si="77"/>
        <v>1.0463179220922493E-2</v>
      </c>
      <c r="S154" s="60">
        <f t="shared" si="78"/>
        <v>3.5288769259161812E-3</v>
      </c>
      <c r="T154" s="60">
        <f t="shared" si="78"/>
        <v>0</v>
      </c>
      <c r="U154" s="60">
        <f t="shared" si="79"/>
        <v>8.0999999999999996E-3</v>
      </c>
      <c r="V154" s="61">
        <f t="shared" si="79"/>
        <v>3.599999999999999E-3</v>
      </c>
    </row>
    <row r="155" spans="1:22">
      <c r="A155" s="166">
        <v>132</v>
      </c>
      <c r="B155" s="167" t="s">
        <v>202</v>
      </c>
      <c r="C155" s="168" t="s">
        <v>122</v>
      </c>
      <c r="D155" s="31">
        <v>1937338391.5503716</v>
      </c>
      <c r="E155" s="32">
        <f t="shared" si="75"/>
        <v>3.5558325969042591E-2</v>
      </c>
      <c r="F155" s="35">
        <v>4.5605000000000002</v>
      </c>
      <c r="G155" s="35">
        <v>4.6593999999999998</v>
      </c>
      <c r="H155" s="34">
        <v>2744</v>
      </c>
      <c r="I155" s="53">
        <v>-0.73370000000000002</v>
      </c>
      <c r="J155" s="53">
        <v>-2.4899999999999999E-2</v>
      </c>
      <c r="K155" s="31">
        <v>1952119130.9450278</v>
      </c>
      <c r="L155" s="57">
        <f t="shared" si="76"/>
        <v>3.5391961752972136E-2</v>
      </c>
      <c r="M155" s="35">
        <v>4.5949999999999998</v>
      </c>
      <c r="N155" s="35">
        <v>4.6951999999999998</v>
      </c>
      <c r="O155" s="34">
        <v>2744</v>
      </c>
      <c r="P155" s="53">
        <v>0.40060000000000001</v>
      </c>
      <c r="Q155" s="53">
        <v>9.9099999999999994E-2</v>
      </c>
      <c r="R155" s="60">
        <f t="shared" si="77"/>
        <v>7.6294050947019985E-3</v>
      </c>
      <c r="S155" s="60">
        <f t="shared" si="78"/>
        <v>7.6833927115079314E-3</v>
      </c>
      <c r="T155" s="60">
        <f t="shared" si="78"/>
        <v>0</v>
      </c>
      <c r="U155" s="60">
        <f t="shared" si="79"/>
        <v>1.1343000000000001</v>
      </c>
      <c r="V155" s="61">
        <f t="shared" si="79"/>
        <v>0.124</v>
      </c>
    </row>
    <row r="156" spans="1:22">
      <c r="A156" s="169">
        <v>133</v>
      </c>
      <c r="B156" s="167" t="s">
        <v>203</v>
      </c>
      <c r="C156" s="168" t="s">
        <v>65</v>
      </c>
      <c r="D156" s="35">
        <v>3565150378.2169299</v>
      </c>
      <c r="E156" s="32">
        <f t="shared" si="75"/>
        <v>6.5435537658366266E-2</v>
      </c>
      <c r="F156" s="35">
        <v>7788.8271057559696</v>
      </c>
      <c r="G156" s="35">
        <v>7850.4320791703703</v>
      </c>
      <c r="H156" s="34">
        <v>955</v>
      </c>
      <c r="I156" s="53">
        <v>-0.10965532706579328</v>
      </c>
      <c r="J156" s="53">
        <v>0.4140377058565981</v>
      </c>
      <c r="K156" s="35">
        <v>3538008240.5659599</v>
      </c>
      <c r="L156" s="57">
        <f t="shared" si="76"/>
        <v>6.4144165356953733E-2</v>
      </c>
      <c r="M156" s="35">
        <v>7919.8678477283602</v>
      </c>
      <c r="N156" s="35">
        <v>7985.2248592669703</v>
      </c>
      <c r="O156" s="34">
        <v>961</v>
      </c>
      <c r="P156" s="53">
        <v>0.87726156914060593</v>
      </c>
      <c r="Q156" s="53">
        <v>0.55407881035727091</v>
      </c>
      <c r="R156" s="60">
        <f t="shared" si="77"/>
        <v>-7.6131817094752729E-3</v>
      </c>
      <c r="S156" s="60">
        <f t="shared" si="78"/>
        <v>1.7170109713355391E-2</v>
      </c>
      <c r="T156" s="60">
        <f t="shared" si="78"/>
        <v>6.2827225130890054E-3</v>
      </c>
      <c r="U156" s="60">
        <f t="shared" si="79"/>
        <v>0.98691689620639922</v>
      </c>
      <c r="V156" s="61">
        <f t="shared" si="79"/>
        <v>0.14004110450067281</v>
      </c>
    </row>
    <row r="157" spans="1:22">
      <c r="A157" s="166">
        <v>134</v>
      </c>
      <c r="B157" s="167" t="s">
        <v>204</v>
      </c>
      <c r="C157" s="168" t="s">
        <v>67</v>
      </c>
      <c r="D157" s="35">
        <v>832431191.90999997</v>
      </c>
      <c r="E157" s="32">
        <f t="shared" si="75"/>
        <v>1.5278621328020494E-2</v>
      </c>
      <c r="F157" s="35">
        <v>206.69</v>
      </c>
      <c r="G157" s="35">
        <v>208.48339999999999</v>
      </c>
      <c r="H157" s="34">
        <v>681</v>
      </c>
      <c r="I157" s="53">
        <v>-6.4999999999999997E-3</v>
      </c>
      <c r="J157" s="53">
        <v>1.21E-2</v>
      </c>
      <c r="K157" s="35">
        <v>856913210.60000002</v>
      </c>
      <c r="L157" s="57">
        <f t="shared" si="76"/>
        <v>1.5535854904761854E-2</v>
      </c>
      <c r="M157" s="35">
        <v>213.14</v>
      </c>
      <c r="N157" s="35">
        <v>215.03</v>
      </c>
      <c r="O157" s="34">
        <v>681</v>
      </c>
      <c r="P157" s="53">
        <v>3.1300000000000001E-2</v>
      </c>
      <c r="Q157" s="53">
        <v>4.3799999999999999E-2</v>
      </c>
      <c r="R157" s="60">
        <f t="shared" si="77"/>
        <v>2.9410261085755882E-2</v>
      </c>
      <c r="S157" s="60">
        <f t="shared" si="78"/>
        <v>3.1401061187605404E-2</v>
      </c>
      <c r="T157" s="60">
        <f t="shared" si="78"/>
        <v>0</v>
      </c>
      <c r="U157" s="60">
        <f t="shared" si="79"/>
        <v>3.78E-2</v>
      </c>
      <c r="V157" s="61">
        <f t="shared" si="79"/>
        <v>3.1699999999999999E-2</v>
      </c>
    </row>
    <row r="158" spans="1:22">
      <c r="A158" s="169">
        <v>135</v>
      </c>
      <c r="B158" s="167" t="s">
        <v>205</v>
      </c>
      <c r="C158" s="168" t="s">
        <v>69</v>
      </c>
      <c r="D158" s="35">
        <v>3734808.11</v>
      </c>
      <c r="E158" s="32">
        <f t="shared" si="75"/>
        <v>6.8549472196711444E-5</v>
      </c>
      <c r="F158" s="35">
        <v>102.747</v>
      </c>
      <c r="G158" s="35">
        <v>102.99</v>
      </c>
      <c r="H158" s="34">
        <v>0</v>
      </c>
      <c r="I158" s="53">
        <v>0</v>
      </c>
      <c r="J158" s="53">
        <v>0</v>
      </c>
      <c r="K158" s="35">
        <v>3734808.11</v>
      </c>
      <c r="L158" s="57">
        <f t="shared" si="76"/>
        <v>6.7712151214777697E-5</v>
      </c>
      <c r="M158" s="35">
        <v>102.747</v>
      </c>
      <c r="N158" s="35">
        <v>102.99</v>
      </c>
      <c r="O158" s="34">
        <v>0</v>
      </c>
      <c r="P158" s="53">
        <v>0</v>
      </c>
      <c r="Q158" s="53">
        <v>0</v>
      </c>
      <c r="R158" s="60">
        <f t="shared" si="77"/>
        <v>0</v>
      </c>
      <c r="S158" s="60">
        <f t="shared" si="78"/>
        <v>0</v>
      </c>
      <c r="T158" s="60" t="e">
        <f t="shared" si="78"/>
        <v>#DIV/0!</v>
      </c>
      <c r="U158" s="60">
        <f t="shared" si="79"/>
        <v>0</v>
      </c>
      <c r="V158" s="61">
        <f t="shared" si="79"/>
        <v>0</v>
      </c>
    </row>
    <row r="159" spans="1:22">
      <c r="A159" s="166">
        <v>136</v>
      </c>
      <c r="B159" s="167" t="s">
        <v>206</v>
      </c>
      <c r="C159" s="168" t="s">
        <v>127</v>
      </c>
      <c r="D159" s="35">
        <v>213466240.53</v>
      </c>
      <c r="E159" s="32">
        <f t="shared" si="75"/>
        <v>3.9180053403460539E-3</v>
      </c>
      <c r="F159" s="35">
        <v>1.5421</v>
      </c>
      <c r="G159" s="35">
        <v>1.5563</v>
      </c>
      <c r="H159" s="34">
        <v>364</v>
      </c>
      <c r="I159" s="53">
        <v>1.1464174454828724E-2</v>
      </c>
      <c r="J159" s="53">
        <v>0.1089555297492999</v>
      </c>
      <c r="K159" s="35">
        <v>215467415.37</v>
      </c>
      <c r="L159" s="57">
        <f t="shared" si="76"/>
        <v>3.9064288664058715E-3</v>
      </c>
      <c r="M159" s="35">
        <v>1.5612999999999999</v>
      </c>
      <c r="N159" s="35">
        <v>1.5759000000000001</v>
      </c>
      <c r="O159" s="34">
        <v>365</v>
      </c>
      <c r="P159" s="53">
        <v>1.1464174454828724E-2</v>
      </c>
      <c r="Q159" s="53">
        <v>0.1089555297492999</v>
      </c>
      <c r="R159" s="60">
        <f t="shared" si="77"/>
        <v>9.3746666219043824E-3</v>
      </c>
      <c r="S159" s="60">
        <f t="shared" si="78"/>
        <v>1.259397288440536E-2</v>
      </c>
      <c r="T159" s="60">
        <f t="shared" si="78"/>
        <v>2.7472527472527475E-3</v>
      </c>
      <c r="U159" s="60">
        <f t="shared" si="79"/>
        <v>0</v>
      </c>
      <c r="V159" s="61">
        <f t="shared" si="79"/>
        <v>0</v>
      </c>
    </row>
    <row r="160" spans="1:22">
      <c r="A160" s="169">
        <v>137</v>
      </c>
      <c r="B160" s="167" t="s">
        <v>207</v>
      </c>
      <c r="C160" s="168" t="s">
        <v>29</v>
      </c>
      <c r="D160" s="47">
        <v>136352595.31999999</v>
      </c>
      <c r="E160" s="32">
        <f t="shared" si="75"/>
        <v>2.5026448927352755E-3</v>
      </c>
      <c r="F160" s="35">
        <v>161.1001</v>
      </c>
      <c r="G160" s="35">
        <v>161.83189999999999</v>
      </c>
      <c r="H160" s="34">
        <v>98</v>
      </c>
      <c r="I160" s="53">
        <v>8.1099999999999998E-4</v>
      </c>
      <c r="J160" s="53">
        <v>7.9000000000000008E-3</v>
      </c>
      <c r="K160" s="47">
        <v>136674692.91</v>
      </c>
      <c r="L160" s="57">
        <f t="shared" si="76"/>
        <v>2.4779151166497882E-3</v>
      </c>
      <c r="M160" s="35">
        <v>160.35990000000001</v>
      </c>
      <c r="N160" s="35">
        <v>161.08330000000001</v>
      </c>
      <c r="O160" s="34">
        <v>99</v>
      </c>
      <c r="P160" s="53">
        <v>3.8440000000000002E-3</v>
      </c>
      <c r="Q160" s="53">
        <v>3.2000000000000002E-3</v>
      </c>
      <c r="R160" s="60">
        <f t="shared" si="77"/>
        <v>2.3622402583836906E-3</v>
      </c>
      <c r="S160" s="60">
        <f t="shared" si="78"/>
        <v>-4.6257876228356833E-3</v>
      </c>
      <c r="T160" s="60">
        <f t="shared" si="78"/>
        <v>1.020408163265306E-2</v>
      </c>
      <c r="U160" s="60">
        <f t="shared" si="79"/>
        <v>3.0330000000000001E-3</v>
      </c>
      <c r="V160" s="61">
        <f t="shared" si="79"/>
        <v>-4.7000000000000011E-3</v>
      </c>
    </row>
    <row r="161" spans="1:22">
      <c r="A161" s="166">
        <v>138</v>
      </c>
      <c r="B161" s="167" t="s">
        <v>208</v>
      </c>
      <c r="C161" s="168" t="s">
        <v>73</v>
      </c>
      <c r="D161" s="47">
        <v>222716197.69999999</v>
      </c>
      <c r="E161" s="32">
        <f t="shared" si="75"/>
        <v>4.0877810458630065E-3</v>
      </c>
      <c r="F161" s="35">
        <v>119.56</v>
      </c>
      <c r="G161" s="35">
        <v>119.6</v>
      </c>
      <c r="H161" s="34">
        <v>36</v>
      </c>
      <c r="I161" s="53">
        <v>-1.2800000000000001E-2</v>
      </c>
      <c r="J161" s="53">
        <v>-5.7000000000000002E-3</v>
      </c>
      <c r="K161" s="47">
        <v>224482271.94</v>
      </c>
      <c r="L161" s="57">
        <f t="shared" si="76"/>
        <v>4.0698684095548162E-3</v>
      </c>
      <c r="M161" s="35">
        <v>120.48</v>
      </c>
      <c r="N161" s="35">
        <v>120.6</v>
      </c>
      <c r="O161" s="34">
        <v>33</v>
      </c>
      <c r="P161" s="53">
        <v>1.95E-2</v>
      </c>
      <c r="Q161" s="53">
        <v>1.38E-2</v>
      </c>
      <c r="R161" s="60">
        <f t="shared" si="77"/>
        <v>7.9297072159022833E-3</v>
      </c>
      <c r="S161" s="60">
        <f t="shared" si="78"/>
        <v>8.3612040133779261E-3</v>
      </c>
      <c r="T161" s="60">
        <f t="shared" si="78"/>
        <v>-8.3333333333333329E-2</v>
      </c>
      <c r="U161" s="60">
        <f t="shared" si="79"/>
        <v>3.2300000000000002E-2</v>
      </c>
      <c r="V161" s="61">
        <f t="shared" si="79"/>
        <v>1.95E-2</v>
      </c>
    </row>
    <row r="162" spans="1:22" ht="15.75" customHeight="1">
      <c r="A162" s="169">
        <v>139</v>
      </c>
      <c r="B162" s="167" t="s">
        <v>209</v>
      </c>
      <c r="C162" s="168" t="s">
        <v>76</v>
      </c>
      <c r="D162" s="31">
        <v>319920745.06</v>
      </c>
      <c r="E162" s="32">
        <f t="shared" si="75"/>
        <v>5.8718942373298206E-3</v>
      </c>
      <c r="F162" s="35">
        <v>1.2834000000000001</v>
      </c>
      <c r="G162" s="35">
        <v>1.4134000000000002</v>
      </c>
      <c r="H162" s="34">
        <v>98</v>
      </c>
      <c r="I162" s="53">
        <v>-2.52E-2</v>
      </c>
      <c r="J162" s="53">
        <v>7.0000000000000001E-3</v>
      </c>
      <c r="K162" s="31">
        <v>323162790.20999998</v>
      </c>
      <c r="L162" s="57">
        <f t="shared" si="76"/>
        <v>5.858948324306011E-3</v>
      </c>
      <c r="M162" s="35">
        <v>1.2964</v>
      </c>
      <c r="N162" s="35">
        <v>1.3069999999999999</v>
      </c>
      <c r="O162" s="34">
        <v>99</v>
      </c>
      <c r="P162" s="53">
        <v>1.72E-2</v>
      </c>
      <c r="Q162" s="53">
        <v>0.29580000000000001</v>
      </c>
      <c r="R162" s="60">
        <f t="shared" si="77"/>
        <v>1.013390097410514E-2</v>
      </c>
      <c r="S162" s="60">
        <f t="shared" si="78"/>
        <v>-7.5279467949625201E-2</v>
      </c>
      <c r="T162" s="60">
        <f t="shared" si="78"/>
        <v>1.020408163265306E-2</v>
      </c>
      <c r="U162" s="60">
        <f t="shared" si="79"/>
        <v>4.24E-2</v>
      </c>
      <c r="V162" s="61">
        <f t="shared" si="79"/>
        <v>0.2888</v>
      </c>
    </row>
    <row r="163" spans="1:22">
      <c r="A163" s="166">
        <v>140</v>
      </c>
      <c r="B163" s="167" t="s">
        <v>210</v>
      </c>
      <c r="C163" s="168" t="s">
        <v>31</v>
      </c>
      <c r="D163" s="35">
        <v>9870205906.8400002</v>
      </c>
      <c r="E163" s="32">
        <f t="shared" si="75"/>
        <v>0.18115988437937328</v>
      </c>
      <c r="F163" s="35">
        <v>327.49</v>
      </c>
      <c r="G163" s="35">
        <v>329.84</v>
      </c>
      <c r="H163" s="34">
        <v>5468</v>
      </c>
      <c r="I163" s="53">
        <v>-2.3E-3</v>
      </c>
      <c r="J163" s="53">
        <v>1.04E-2</v>
      </c>
      <c r="K163" s="35">
        <v>9950821537.7099991</v>
      </c>
      <c r="L163" s="57">
        <f t="shared" si="76"/>
        <v>0.18040860810722781</v>
      </c>
      <c r="M163" s="35">
        <v>330.22</v>
      </c>
      <c r="N163" s="35">
        <v>332.61</v>
      </c>
      <c r="O163" s="34">
        <v>5472</v>
      </c>
      <c r="P163" s="53">
        <v>8.3999999999999995E-3</v>
      </c>
      <c r="Q163" s="53">
        <v>1.8800000000000001E-2</v>
      </c>
      <c r="R163" s="60">
        <f t="shared" si="77"/>
        <v>8.1675733648203554E-3</v>
      </c>
      <c r="S163" s="60">
        <f t="shared" si="78"/>
        <v>8.3980111569246872E-3</v>
      </c>
      <c r="T163" s="60">
        <f t="shared" si="78"/>
        <v>7.3152889539136799E-4</v>
      </c>
      <c r="U163" s="60">
        <f t="shared" si="79"/>
        <v>1.0699999999999999E-2</v>
      </c>
      <c r="V163" s="61">
        <f t="shared" si="79"/>
        <v>8.4000000000000012E-3</v>
      </c>
    </row>
    <row r="164" spans="1:22">
      <c r="A164" s="169">
        <v>141</v>
      </c>
      <c r="B164" s="167" t="s">
        <v>211</v>
      </c>
      <c r="C164" s="168" t="s">
        <v>81</v>
      </c>
      <c r="D164" s="35">
        <v>3219960748.5100002</v>
      </c>
      <c r="E164" s="32">
        <f t="shared" si="75"/>
        <v>5.9099852871554469E-2</v>
      </c>
      <c r="F164" s="35">
        <v>2.2557999999999998</v>
      </c>
      <c r="G164" s="35">
        <v>2.2980999999999998</v>
      </c>
      <c r="H164" s="34">
        <v>10306</v>
      </c>
      <c r="I164" s="53">
        <v>-3.7999999999999999E-2</v>
      </c>
      <c r="J164" s="53">
        <v>-2.64E-2</v>
      </c>
      <c r="K164" s="35">
        <v>3380680093.8899999</v>
      </c>
      <c r="L164" s="57">
        <f t="shared" si="76"/>
        <v>6.1291802680129806E-2</v>
      </c>
      <c r="M164" s="35">
        <v>2.3694000000000002</v>
      </c>
      <c r="N164" s="35">
        <v>2.4121000000000001</v>
      </c>
      <c r="O164" s="34">
        <v>10305</v>
      </c>
      <c r="P164" s="53">
        <v>4.99E-2</v>
      </c>
      <c r="Q164" s="53">
        <v>2.2200000000000001E-2</v>
      </c>
      <c r="R164" s="60">
        <f t="shared" si="77"/>
        <v>4.9913448620257456E-2</v>
      </c>
      <c r="S164" s="60">
        <f t="shared" si="78"/>
        <v>4.9606196423132298E-2</v>
      </c>
      <c r="T164" s="60">
        <f t="shared" si="78"/>
        <v>-9.7030855812148264E-5</v>
      </c>
      <c r="U164" s="60">
        <f t="shared" si="79"/>
        <v>8.7900000000000006E-2</v>
      </c>
      <c r="V164" s="61">
        <f t="shared" si="79"/>
        <v>4.8600000000000004E-2</v>
      </c>
    </row>
    <row r="165" spans="1:22">
      <c r="A165" s="166">
        <v>142</v>
      </c>
      <c r="B165" s="167" t="s">
        <v>212</v>
      </c>
      <c r="C165" s="168" t="s">
        <v>83</v>
      </c>
      <c r="D165" s="35">
        <v>259513611.46563983</v>
      </c>
      <c r="E165" s="32">
        <f t="shared" si="75"/>
        <v>4.7631687010104657E-3</v>
      </c>
      <c r="F165" s="35">
        <v>337.66429787392707</v>
      </c>
      <c r="G165" s="35">
        <v>341.16827551578717</v>
      </c>
      <c r="H165" s="34">
        <v>40</v>
      </c>
      <c r="I165" s="53">
        <v>-6.840501562025203E-3</v>
      </c>
      <c r="J165" s="53">
        <v>9.0071365873685139E-3</v>
      </c>
      <c r="K165" s="35">
        <v>266717325.14199844</v>
      </c>
      <c r="L165" s="57">
        <f t="shared" si="76"/>
        <v>4.8355908308274579E-3</v>
      </c>
      <c r="M165" s="35">
        <v>347.04</v>
      </c>
      <c r="N165" s="35">
        <v>350.7</v>
      </c>
      <c r="O165" s="34">
        <v>40</v>
      </c>
      <c r="P165" s="53">
        <v>2.7766341259962024E-2</v>
      </c>
      <c r="Q165" s="53">
        <v>0</v>
      </c>
      <c r="R165" s="60">
        <f t="shared" si="77"/>
        <v>2.7758519623208272E-2</v>
      </c>
      <c r="S165" s="60">
        <f t="shared" si="78"/>
        <v>2.7938484226889222E-2</v>
      </c>
      <c r="T165" s="60">
        <f t="shared" si="78"/>
        <v>0</v>
      </c>
      <c r="U165" s="60">
        <f t="shared" si="79"/>
        <v>3.4606842821987227E-2</v>
      </c>
      <c r="V165" s="61">
        <f t="shared" si="79"/>
        <v>-9.0071365873685139E-3</v>
      </c>
    </row>
    <row r="166" spans="1:22">
      <c r="A166" s="169">
        <v>143</v>
      </c>
      <c r="B166" s="167" t="s">
        <v>213</v>
      </c>
      <c r="C166" s="167" t="s">
        <v>85</v>
      </c>
      <c r="D166" s="35">
        <v>61296742.682047874</v>
      </c>
      <c r="E166" s="32">
        <f t="shared" si="75"/>
        <v>1.1250536130575171E-3</v>
      </c>
      <c r="F166" s="35">
        <v>1.1920477162317824</v>
      </c>
      <c r="G166" s="35">
        <v>1.2060827318743064</v>
      </c>
      <c r="H166" s="34">
        <v>29</v>
      </c>
      <c r="I166" s="53">
        <v>9.437461844605977E-4</v>
      </c>
      <c r="J166" s="53">
        <v>3.2120389777180159E-3</v>
      </c>
      <c r="K166" s="35">
        <v>61312207.986219436</v>
      </c>
      <c r="L166" s="57">
        <f t="shared" si="76"/>
        <v>1.1115916470671879E-3</v>
      </c>
      <c r="M166" s="35">
        <v>1.1935262124794563</v>
      </c>
      <c r="N166" s="35">
        <v>1.207575049459741</v>
      </c>
      <c r="O166" s="34">
        <v>28</v>
      </c>
      <c r="P166" s="53">
        <v>2.5230221859882869E-4</v>
      </c>
      <c r="Q166" s="53">
        <v>3.4651516008771489E-3</v>
      </c>
      <c r="R166" s="60">
        <f t="shared" si="77"/>
        <v>2.5230221859882869E-4</v>
      </c>
      <c r="S166" s="60">
        <f t="shared" si="78"/>
        <v>1.237326052347618E-3</v>
      </c>
      <c r="T166" s="60">
        <f t="shared" si="78"/>
        <v>-3.4482758620689655E-2</v>
      </c>
      <c r="U166" s="60">
        <f t="shared" si="79"/>
        <v>-6.9144396586176896E-4</v>
      </c>
      <c r="V166" s="61">
        <f t="shared" si="79"/>
        <v>2.5311262315913302E-4</v>
      </c>
    </row>
    <row r="167" spans="1:22" ht="13.5" customHeight="1">
      <c r="A167" s="166">
        <v>144</v>
      </c>
      <c r="B167" s="167" t="s">
        <v>214</v>
      </c>
      <c r="C167" s="168" t="s">
        <v>37</v>
      </c>
      <c r="D167" s="31">
        <v>3097312237.4400001</v>
      </c>
      <c r="E167" s="32">
        <f t="shared" si="75"/>
        <v>5.6848735691785619E-2</v>
      </c>
      <c r="F167" s="35">
        <v>4.3741320000000004</v>
      </c>
      <c r="G167" s="35">
        <v>4.5078709999999997</v>
      </c>
      <c r="H167" s="34">
        <v>2367</v>
      </c>
      <c r="I167" s="53">
        <v>2.2838274904821709E-3</v>
      </c>
      <c r="J167" s="53">
        <v>3.1808658344825158E-2</v>
      </c>
      <c r="K167" s="31">
        <v>3126333194.2199998</v>
      </c>
      <c r="L167" s="57">
        <f t="shared" si="76"/>
        <v>5.6680487928683326E-2</v>
      </c>
      <c r="M167" s="35">
        <v>4.4148180000000004</v>
      </c>
      <c r="N167" s="35">
        <v>4.5505779999999998</v>
      </c>
      <c r="O167" s="34">
        <v>2368</v>
      </c>
      <c r="P167" s="53">
        <v>9.3015025609652913E-3</v>
      </c>
      <c r="Q167" s="53">
        <v>4.1406029222845753E-2</v>
      </c>
      <c r="R167" s="60">
        <f t="shared" si="77"/>
        <v>9.3697226999581492E-3</v>
      </c>
      <c r="S167" s="60">
        <f t="shared" si="78"/>
        <v>9.4738735868883685E-3</v>
      </c>
      <c r="T167" s="60">
        <f t="shared" si="78"/>
        <v>4.224757076468103E-4</v>
      </c>
      <c r="U167" s="60">
        <f t="shared" si="79"/>
        <v>7.0176750704831203E-3</v>
      </c>
      <c r="V167" s="61">
        <f t="shared" si="79"/>
        <v>9.5973708780205946E-3</v>
      </c>
    </row>
    <row r="168" spans="1:22" ht="13.5" customHeight="1">
      <c r="A168" s="169">
        <v>145</v>
      </c>
      <c r="B168" s="167" t="s">
        <v>215</v>
      </c>
      <c r="C168" s="168" t="s">
        <v>216</v>
      </c>
      <c r="D168" s="31">
        <v>69942804.060000002</v>
      </c>
      <c r="E168" s="32">
        <f t="shared" si="75"/>
        <v>1.283745285181735E-3</v>
      </c>
      <c r="F168" s="35">
        <v>2.1629999999999998</v>
      </c>
      <c r="G168" s="35">
        <v>2.1737000000000002</v>
      </c>
      <c r="H168" s="34">
        <v>77</v>
      </c>
      <c r="I168" s="53">
        <v>5.5999999999999999E-3</v>
      </c>
      <c r="J168" s="53">
        <v>2.47E-2</v>
      </c>
      <c r="K168" s="31">
        <v>74869367.680000007</v>
      </c>
      <c r="L168" s="57">
        <f t="shared" si="76"/>
        <v>1.3573832433664043E-3</v>
      </c>
      <c r="M168" s="35">
        <v>2.1880000000000002</v>
      </c>
      <c r="N168" s="35">
        <v>2.1983999999999999</v>
      </c>
      <c r="O168" s="34">
        <v>78</v>
      </c>
      <c r="P168" s="53">
        <v>1.14E-2</v>
      </c>
      <c r="Q168" s="53">
        <v>3.6400000000000002E-2</v>
      </c>
      <c r="R168" s="60">
        <f t="shared" si="77"/>
        <v>7.0437033319021389E-2</v>
      </c>
      <c r="S168" s="60">
        <f t="shared" si="78"/>
        <v>1.1363113585131214E-2</v>
      </c>
      <c r="T168" s="60">
        <f t="shared" si="78"/>
        <v>1.2987012987012988E-2</v>
      </c>
      <c r="U168" s="60">
        <f t="shared" si="79"/>
        <v>5.8000000000000005E-3</v>
      </c>
      <c r="V168" s="61">
        <f t="shared" si="79"/>
        <v>1.1700000000000002E-2</v>
      </c>
    </row>
    <row r="169" spans="1:22">
      <c r="A169" s="166">
        <v>146</v>
      </c>
      <c r="B169" s="167" t="s">
        <v>217</v>
      </c>
      <c r="C169" s="168" t="s">
        <v>136</v>
      </c>
      <c r="D169" s="31">
        <v>441675051.26999998</v>
      </c>
      <c r="E169" s="32">
        <f t="shared" si="75"/>
        <v>8.1065989885659648E-3</v>
      </c>
      <c r="F169" s="35">
        <v>243.21</v>
      </c>
      <c r="G169" s="35">
        <v>245.58</v>
      </c>
      <c r="H169" s="34">
        <v>141</v>
      </c>
      <c r="I169" s="53">
        <v>6.2331955721672827E-4</v>
      </c>
      <c r="J169" s="53">
        <v>1.38E-2</v>
      </c>
      <c r="K169" s="31">
        <v>441675051.26999998</v>
      </c>
      <c r="L169" s="57">
        <f t="shared" si="76"/>
        <v>8.0075781615963487E-3</v>
      </c>
      <c r="M169" s="35">
        <v>244.03</v>
      </c>
      <c r="N169" s="35">
        <v>246.49</v>
      </c>
      <c r="O169" s="34">
        <v>143</v>
      </c>
      <c r="P169" s="53">
        <v>1.38E-2</v>
      </c>
      <c r="Q169" s="53">
        <v>0.34050000000000002</v>
      </c>
      <c r="R169" s="60">
        <f t="shared" si="77"/>
        <v>0</v>
      </c>
      <c r="S169" s="60">
        <f t="shared" si="78"/>
        <v>3.7055134782962643E-3</v>
      </c>
      <c r="T169" s="60">
        <f t="shared" si="78"/>
        <v>1.4184397163120567E-2</v>
      </c>
      <c r="U169" s="60">
        <f t="shared" si="79"/>
        <v>1.3176680442783271E-2</v>
      </c>
      <c r="V169" s="61">
        <f t="shared" si="79"/>
        <v>0.32670000000000005</v>
      </c>
    </row>
    <row r="170" spans="1:22">
      <c r="A170" s="169">
        <v>147</v>
      </c>
      <c r="B170" s="167" t="s">
        <v>218</v>
      </c>
      <c r="C170" s="168" t="s">
        <v>33</v>
      </c>
      <c r="D170" s="31">
        <v>2224463169.1700001</v>
      </c>
      <c r="E170" s="32">
        <f t="shared" si="75"/>
        <v>4.082827595863487E-2</v>
      </c>
      <c r="F170" s="35">
        <v>552.22</v>
      </c>
      <c r="G170" s="35">
        <v>552.22</v>
      </c>
      <c r="H170" s="34">
        <v>823</v>
      </c>
      <c r="I170" s="53">
        <v>2.7E-2</v>
      </c>
      <c r="J170" s="53">
        <v>0.42292999999999997</v>
      </c>
      <c r="K170" s="31">
        <v>2232355101.8600001</v>
      </c>
      <c r="L170" s="57">
        <f t="shared" si="76"/>
        <v>4.0472645921887748E-2</v>
      </c>
      <c r="M170" s="35">
        <v>552.22</v>
      </c>
      <c r="N170" s="35">
        <v>552.22</v>
      </c>
      <c r="O170" s="34">
        <v>823</v>
      </c>
      <c r="P170" s="53">
        <v>3.5000000000000001E-3</v>
      </c>
      <c r="Q170" s="53">
        <v>0.4279</v>
      </c>
      <c r="R170" s="60">
        <f t="shared" si="77"/>
        <v>3.5477920243313014E-3</v>
      </c>
      <c r="S170" s="60">
        <f t="shared" si="78"/>
        <v>0</v>
      </c>
      <c r="T170" s="60">
        <f t="shared" si="78"/>
        <v>0</v>
      </c>
      <c r="U170" s="60">
        <f t="shared" si="79"/>
        <v>-2.35E-2</v>
      </c>
      <c r="V170" s="61">
        <f t="shared" si="79"/>
        <v>4.9700000000000299E-3</v>
      </c>
    </row>
    <row r="171" spans="1:22">
      <c r="A171" s="166">
        <v>148</v>
      </c>
      <c r="B171" s="167" t="s">
        <v>219</v>
      </c>
      <c r="C171" s="168" t="s">
        <v>92</v>
      </c>
      <c r="D171" s="35">
        <v>32097950.25</v>
      </c>
      <c r="E171" s="32">
        <f t="shared" si="75"/>
        <v>5.8913268993458464E-4</v>
      </c>
      <c r="F171" s="35">
        <v>1.91</v>
      </c>
      <c r="G171" s="35">
        <v>1.91</v>
      </c>
      <c r="H171" s="34">
        <v>8</v>
      </c>
      <c r="I171" s="53">
        <v>5.2224E-2</v>
      </c>
      <c r="J171" s="53">
        <v>1.8258E-2</v>
      </c>
      <c r="K171" s="35">
        <v>32486329.41</v>
      </c>
      <c r="L171" s="57">
        <f t="shared" si="76"/>
        <v>5.8897784963388654E-4</v>
      </c>
      <c r="M171" s="35">
        <v>1.93</v>
      </c>
      <c r="N171" s="35">
        <v>1.93</v>
      </c>
      <c r="O171" s="34">
        <v>8</v>
      </c>
      <c r="P171" s="53">
        <v>1.21E-2</v>
      </c>
      <c r="Q171" s="53">
        <v>3.0578000000000001E-2</v>
      </c>
      <c r="R171" s="60">
        <f t="shared" si="77"/>
        <v>1.2099811887520765E-2</v>
      </c>
      <c r="S171" s="60">
        <f t="shared" si="78"/>
        <v>1.0471204188481685E-2</v>
      </c>
      <c r="T171" s="60">
        <f t="shared" si="78"/>
        <v>0</v>
      </c>
      <c r="U171" s="60">
        <f t="shared" si="79"/>
        <v>-4.0124E-2</v>
      </c>
      <c r="V171" s="61">
        <f t="shared" si="79"/>
        <v>1.2320000000000001E-2</v>
      </c>
    </row>
    <row r="172" spans="1:22">
      <c r="A172" s="169">
        <v>149</v>
      </c>
      <c r="B172" s="167" t="s">
        <v>220</v>
      </c>
      <c r="C172" s="168" t="s">
        <v>45</v>
      </c>
      <c r="D172" s="35">
        <v>258656668.72</v>
      </c>
      <c r="E172" s="32">
        <f t="shared" si="75"/>
        <v>4.7474401893476776E-3</v>
      </c>
      <c r="F172" s="35">
        <v>2.6043539999999998</v>
      </c>
      <c r="G172" s="35">
        <v>2.657381</v>
      </c>
      <c r="H172" s="34">
        <v>119</v>
      </c>
      <c r="I172" s="53">
        <v>-1.1299999999999999E-2</v>
      </c>
      <c r="J172" s="53">
        <v>0.12239999999999999</v>
      </c>
      <c r="K172" s="35">
        <v>263075789.94999999</v>
      </c>
      <c r="L172" s="57">
        <f t="shared" si="76"/>
        <v>4.769569719618472E-3</v>
      </c>
      <c r="M172" s="35">
        <v>2.6423969999999999</v>
      </c>
      <c r="N172" s="35">
        <v>2.6950789999999998</v>
      </c>
      <c r="O172" s="34">
        <v>120</v>
      </c>
      <c r="P172" s="53">
        <v>8.8000000000000005E-3</v>
      </c>
      <c r="Q172" s="53">
        <v>0.13850000000000001</v>
      </c>
      <c r="R172" s="60">
        <f t="shared" si="77"/>
        <v>1.708489192205502E-2</v>
      </c>
      <c r="S172" s="60">
        <f t="shared" si="78"/>
        <v>1.4186147940396875E-2</v>
      </c>
      <c r="T172" s="60">
        <f t="shared" si="78"/>
        <v>8.4033613445378148E-3</v>
      </c>
      <c r="U172" s="60">
        <f t="shared" si="79"/>
        <v>2.01E-2</v>
      </c>
      <c r="V172" s="61">
        <f t="shared" si="79"/>
        <v>1.6100000000000017E-2</v>
      </c>
    </row>
    <row r="173" spans="1:22">
      <c r="A173" s="166">
        <v>150</v>
      </c>
      <c r="B173" s="167" t="s">
        <v>221</v>
      </c>
      <c r="C173" s="168" t="s">
        <v>49</v>
      </c>
      <c r="D173" s="31">
        <v>2432773842.1500001</v>
      </c>
      <c r="E173" s="32">
        <f t="shared" si="75"/>
        <v>4.465165490211713E-2</v>
      </c>
      <c r="F173" s="35">
        <v>6412.88</v>
      </c>
      <c r="G173" s="35">
        <v>6470.3</v>
      </c>
      <c r="H173" s="34">
        <v>2254</v>
      </c>
      <c r="I173" s="53">
        <v>-7.9000000000000008E-3</v>
      </c>
      <c r="J173" s="53">
        <v>5.1999999999999998E-3</v>
      </c>
      <c r="K173" s="31">
        <v>2462806543.04</v>
      </c>
      <c r="L173" s="32">
        <f t="shared" si="76"/>
        <v>4.4650735497912472E-2</v>
      </c>
      <c r="M173" s="35">
        <v>6519.68</v>
      </c>
      <c r="N173" s="35">
        <v>6579.46</v>
      </c>
      <c r="O173" s="34">
        <v>2255</v>
      </c>
      <c r="P173" s="53">
        <v>1.6899999999999998E-2</v>
      </c>
      <c r="Q173" s="53">
        <v>2.2200000000000001E-2</v>
      </c>
      <c r="R173" s="60">
        <f t="shared" si="77"/>
        <v>1.2345044315117274E-2</v>
      </c>
      <c r="S173" s="60">
        <f t="shared" si="78"/>
        <v>1.6870933341576102E-2</v>
      </c>
      <c r="T173" s="60">
        <f t="shared" si="78"/>
        <v>4.4365572315882877E-4</v>
      </c>
      <c r="U173" s="60">
        <f t="shared" si="79"/>
        <v>2.4799999999999999E-2</v>
      </c>
      <c r="V173" s="61">
        <f t="shared" si="79"/>
        <v>1.7000000000000001E-2</v>
      </c>
    </row>
    <row r="174" spans="1:22">
      <c r="A174" s="169">
        <v>151</v>
      </c>
      <c r="B174" s="167" t="s">
        <v>222</v>
      </c>
      <c r="C174" s="167" t="s">
        <v>102</v>
      </c>
      <c r="D174" s="31">
        <v>105792760.25</v>
      </c>
      <c r="E174" s="32">
        <f t="shared" si="75"/>
        <v>1.9417430999877352E-3</v>
      </c>
      <c r="F174" s="35">
        <v>1117.21</v>
      </c>
      <c r="G174" s="35">
        <v>1129.3800000000001</v>
      </c>
      <c r="H174" s="34">
        <v>9</v>
      </c>
      <c r="I174" s="53">
        <v>1.2520000000000001E-3</v>
      </c>
      <c r="J174" s="53">
        <v>7.1000000000000004E-3</v>
      </c>
      <c r="K174" s="31">
        <v>106646939.38</v>
      </c>
      <c r="L174" s="32">
        <f t="shared" si="76"/>
        <v>1.9335113005020733E-3</v>
      </c>
      <c r="M174" s="35">
        <v>1124.1300000000001</v>
      </c>
      <c r="N174" s="35">
        <v>1139.8499999999999</v>
      </c>
      <c r="O174" s="34">
        <v>10</v>
      </c>
      <c r="P174" s="53">
        <v>7.4699793042170004E-3</v>
      </c>
      <c r="Q174" s="53">
        <v>1.5461000000000001E-2</v>
      </c>
      <c r="R174" s="60">
        <f t="shared" si="77"/>
        <v>8.0740792468357511E-3</v>
      </c>
      <c r="S174" s="60">
        <f t="shared" si="78"/>
        <v>9.2705732348720531E-3</v>
      </c>
      <c r="T174" s="60">
        <f t="shared" si="78"/>
        <v>0.1111111111111111</v>
      </c>
      <c r="U174" s="60">
        <f t="shared" si="79"/>
        <v>6.2179793042170008E-3</v>
      </c>
      <c r="V174" s="61">
        <f t="shared" si="79"/>
        <v>8.3610000000000004E-3</v>
      </c>
    </row>
    <row r="175" spans="1:22">
      <c r="A175" s="166">
        <v>152</v>
      </c>
      <c r="B175" s="167" t="s">
        <v>223</v>
      </c>
      <c r="C175" s="167" t="s">
        <v>85</v>
      </c>
      <c r="D175" s="31">
        <v>716847014.90390742</v>
      </c>
      <c r="E175" s="32">
        <f t="shared" si="75"/>
        <v>1.3157164456690386E-2</v>
      </c>
      <c r="F175" s="35">
        <v>1.3685679354576119</v>
      </c>
      <c r="G175" s="35">
        <v>1.3685679354576119</v>
      </c>
      <c r="H175" s="34">
        <v>42</v>
      </c>
      <c r="I175" s="53">
        <v>2.905937279948164E-3</v>
      </c>
      <c r="J175" s="53">
        <v>1.6816478834106273E-2</v>
      </c>
      <c r="K175" s="31">
        <v>718837156.93583703</v>
      </c>
      <c r="L175" s="32">
        <f t="shared" si="76"/>
        <v>1.3032533087554071E-2</v>
      </c>
      <c r="M175" s="35">
        <v>1.37236741361024</v>
      </c>
      <c r="N175" s="35">
        <v>1.37236741361024</v>
      </c>
      <c r="O175" s="34">
        <v>42</v>
      </c>
      <c r="P175" s="53">
        <v>2.77624373199946E-3</v>
      </c>
      <c r="Q175" s="53">
        <v>1.96394092100632E-2</v>
      </c>
      <c r="R175" s="60">
        <f t="shared" si="77"/>
        <v>2.7762437319996214E-3</v>
      </c>
      <c r="S175" s="60">
        <f t="shared" si="78"/>
        <v>2.7762437319982965E-3</v>
      </c>
      <c r="T175" s="60">
        <f t="shared" si="78"/>
        <v>0</v>
      </c>
      <c r="U175" s="60">
        <f t="shared" si="79"/>
        <v>-1.2969354794870394E-4</v>
      </c>
      <c r="V175" s="61">
        <f t="shared" si="79"/>
        <v>2.8229303759569266E-3</v>
      </c>
    </row>
    <row r="176" spans="1:22">
      <c r="A176" s="169">
        <v>153</v>
      </c>
      <c r="B176" s="167" t="s">
        <v>224</v>
      </c>
      <c r="C176" s="168" t="s">
        <v>52</v>
      </c>
      <c r="D176" s="35">
        <v>2185637952.1199999</v>
      </c>
      <c r="E176" s="32">
        <f t="shared" si="75"/>
        <v>4.0115669565397638E-2</v>
      </c>
      <c r="F176" s="35">
        <v>2.0188999999999999</v>
      </c>
      <c r="G176" s="35">
        <v>2.0322</v>
      </c>
      <c r="H176" s="34">
        <v>2237</v>
      </c>
      <c r="I176" s="53">
        <v>4.0000000000000001E-3</v>
      </c>
      <c r="J176" s="53">
        <v>2.1000000000000001E-2</v>
      </c>
      <c r="K176" s="35">
        <v>2236577793.4099998</v>
      </c>
      <c r="L176" s="57">
        <f t="shared" si="76"/>
        <v>4.0549203410343813E-2</v>
      </c>
      <c r="M176" s="35">
        <v>2.0344000000000002</v>
      </c>
      <c r="N176" s="35">
        <v>2.0476999999999999</v>
      </c>
      <c r="O176" s="34">
        <v>2244</v>
      </c>
      <c r="P176" s="53">
        <v>7.7000000000000002E-3</v>
      </c>
      <c r="Q176" s="53">
        <v>2.8899999999999999E-2</v>
      </c>
      <c r="R176" s="60">
        <f t="shared" si="77"/>
        <v>2.3306623697941335E-2</v>
      </c>
      <c r="S176" s="60">
        <f t="shared" si="78"/>
        <v>7.6272020470425387E-3</v>
      </c>
      <c r="T176" s="60">
        <f t="shared" si="78"/>
        <v>3.1291908806437194E-3</v>
      </c>
      <c r="U176" s="60">
        <f t="shared" si="79"/>
        <v>3.7000000000000002E-3</v>
      </c>
      <c r="V176" s="61">
        <f t="shared" si="79"/>
        <v>7.8999999999999973E-3</v>
      </c>
    </row>
    <row r="177" spans="1:22">
      <c r="A177" s="166">
        <v>154</v>
      </c>
      <c r="B177" s="167" t="s">
        <v>225</v>
      </c>
      <c r="C177" s="168" t="s">
        <v>52</v>
      </c>
      <c r="D177" s="35">
        <v>1225452766.25</v>
      </c>
      <c r="E177" s="32">
        <f t="shared" si="75"/>
        <v>2.2492223925377922E-2</v>
      </c>
      <c r="F177" s="35">
        <v>1.5367999999999999</v>
      </c>
      <c r="G177" s="35">
        <v>1.5457000000000001</v>
      </c>
      <c r="H177" s="34">
        <v>839</v>
      </c>
      <c r="I177" s="53">
        <v>-4.1999999999999997E-3</v>
      </c>
      <c r="J177" s="53">
        <v>1.15E-2</v>
      </c>
      <c r="K177" s="35">
        <v>1237459695.6800001</v>
      </c>
      <c r="L177" s="57">
        <f t="shared" si="76"/>
        <v>2.2435170848998976E-2</v>
      </c>
      <c r="M177" s="35">
        <v>1.5516000000000001</v>
      </c>
      <c r="N177" s="35">
        <v>1.5606</v>
      </c>
      <c r="O177" s="34">
        <v>841</v>
      </c>
      <c r="P177" s="53">
        <v>9.5999999999999992E-3</v>
      </c>
      <c r="Q177" s="53">
        <v>2.1299999999999999E-2</v>
      </c>
      <c r="R177" s="60">
        <f t="shared" si="77"/>
        <v>9.7979536712315667E-3</v>
      </c>
      <c r="S177" s="60">
        <f t="shared" si="78"/>
        <v>9.639645468072661E-3</v>
      </c>
      <c r="T177" s="60">
        <f t="shared" si="78"/>
        <v>2.3837902264600714E-3</v>
      </c>
      <c r="U177" s="60">
        <f t="shared" si="79"/>
        <v>1.38E-2</v>
      </c>
      <c r="V177" s="61">
        <f t="shared" si="79"/>
        <v>9.7999999999999997E-3</v>
      </c>
    </row>
    <row r="178" spans="1:22">
      <c r="A178" s="169">
        <v>155</v>
      </c>
      <c r="B178" s="167" t="s">
        <v>226</v>
      </c>
      <c r="C178" s="168" t="s">
        <v>107</v>
      </c>
      <c r="D178" s="31">
        <v>9692585694.1299992</v>
      </c>
      <c r="E178" s="32">
        <f t="shared" si="75"/>
        <v>0.1778998047516844</v>
      </c>
      <c r="F178" s="35">
        <v>527.41999999999996</v>
      </c>
      <c r="G178" s="35">
        <v>533.79999999999995</v>
      </c>
      <c r="H178" s="34">
        <v>38</v>
      </c>
      <c r="I178" s="53">
        <v>-5.9999999999999995E-4</v>
      </c>
      <c r="J178" s="53">
        <v>1.9800000000000002E-2</v>
      </c>
      <c r="K178" s="31">
        <v>9826892525.7299995</v>
      </c>
      <c r="L178" s="57">
        <v>5.2058</v>
      </c>
      <c r="M178" s="35">
        <v>534.66999999999996</v>
      </c>
      <c r="N178" s="35">
        <v>541.23</v>
      </c>
      <c r="O178" s="34">
        <v>38</v>
      </c>
      <c r="P178" s="53">
        <v>1.3856512760379802E-2</v>
      </c>
      <c r="Q178" s="53">
        <v>3.3931213762618651E-2</v>
      </c>
      <c r="R178" s="60">
        <f t="shared" si="77"/>
        <v>1.3856656607260018E-2</v>
      </c>
      <c r="S178" s="60">
        <f t="shared" si="78"/>
        <v>1.3919070813038711E-2</v>
      </c>
      <c r="T178" s="60">
        <f t="shared" si="78"/>
        <v>0</v>
      </c>
      <c r="U178" s="60">
        <f t="shared" si="79"/>
        <v>1.4456512760379802E-2</v>
      </c>
      <c r="V178" s="61">
        <f t="shared" si="79"/>
        <v>1.4131213762618649E-2</v>
      </c>
    </row>
    <row r="179" spans="1:22">
      <c r="A179" s="38"/>
      <c r="B179" s="39"/>
      <c r="C179" s="40" t="s">
        <v>53</v>
      </c>
      <c r="D179" s="78">
        <f>SUM(D151:D178)</f>
        <v>54483397031.599197</v>
      </c>
      <c r="E179" s="42">
        <f>(D179/$D$210)</f>
        <v>1.3554076355050978E-2</v>
      </c>
      <c r="F179" s="43"/>
      <c r="G179" s="79"/>
      <c r="H179" s="45">
        <f>SUM(H151:H178)</f>
        <v>69312</v>
      </c>
      <c r="I179" s="85"/>
      <c r="J179" s="85"/>
      <c r="K179" s="78">
        <f>SUM(K151:K178)</f>
        <v>55157132700.650406</v>
      </c>
      <c r="L179" s="42">
        <f>(K179/$K$210)</f>
        <v>1.338963678428455E-2</v>
      </c>
      <c r="M179" s="43"/>
      <c r="N179" s="79"/>
      <c r="O179" s="45">
        <f>SUM(O151:O178)</f>
        <v>69339</v>
      </c>
      <c r="P179" s="85"/>
      <c r="Q179" s="85"/>
      <c r="R179" s="60">
        <f t="shared" ref="R179" si="80">((K179-D179)/D179)</f>
        <v>1.2365889532557163E-2</v>
      </c>
      <c r="S179" s="60" t="e">
        <f t="shared" ref="S179" si="81">((N179-G179)/G179)</f>
        <v>#DIV/0!</v>
      </c>
      <c r="T179" s="60">
        <f t="shared" ref="T179" si="82">((O179-H179)/H179)</f>
        <v>3.8954293628808866E-4</v>
      </c>
      <c r="U179" s="60">
        <f t="shared" ref="U179" si="83">P179-I179</f>
        <v>0</v>
      </c>
      <c r="V179" s="61">
        <f t="shared" ref="V179" si="84">Q179-J179</f>
        <v>0</v>
      </c>
    </row>
    <row r="180" spans="1:22" ht="5.25" customHeight="1">
      <c r="A180" s="38"/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</row>
    <row r="181" spans="1:22" ht="15" customHeight="1">
      <c r="A181" s="182" t="s">
        <v>227</v>
      </c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</row>
    <row r="182" spans="1:22" ht="16.2" customHeight="1">
      <c r="A182" s="166">
        <v>156</v>
      </c>
      <c r="B182" s="167" t="s">
        <v>228</v>
      </c>
      <c r="C182" s="168" t="s">
        <v>23</v>
      </c>
      <c r="D182" s="81">
        <v>989639310.91999996</v>
      </c>
      <c r="E182" s="32">
        <f>(D182/$D$185)</f>
        <v>0.16435054296957799</v>
      </c>
      <c r="F182" s="80">
        <v>68.623999999999995</v>
      </c>
      <c r="G182" s="80">
        <v>70.692999999999998</v>
      </c>
      <c r="H182" s="36">
        <v>1669</v>
      </c>
      <c r="I182" s="54">
        <v>-0.40339999999999998</v>
      </c>
      <c r="J182" s="54">
        <v>1.7299999999999999E-2</v>
      </c>
      <c r="K182" s="81">
        <v>1013977673.4</v>
      </c>
      <c r="L182" s="57">
        <f>(K182/$K$185)</f>
        <v>0.16494432102237971</v>
      </c>
      <c r="M182" s="80">
        <v>68.867099999999994</v>
      </c>
      <c r="N182" s="80">
        <v>70.9435</v>
      </c>
      <c r="O182" s="36">
        <v>1671</v>
      </c>
      <c r="P182" s="54">
        <v>0.18479999999999999</v>
      </c>
      <c r="Q182" s="54">
        <v>6.6199999999999995E-2</v>
      </c>
      <c r="R182" s="60">
        <f>((K182-D182)/D182)</f>
        <v>2.4593164612038611E-2</v>
      </c>
      <c r="S182" s="60">
        <f t="shared" ref="S182:T185" si="85">((N182-G182)/G182)</f>
        <v>3.5434908689686729E-3</v>
      </c>
      <c r="T182" s="60">
        <f t="shared" si="85"/>
        <v>1.1983223487118035E-3</v>
      </c>
      <c r="U182" s="60">
        <f t="shared" ref="U182:V185" si="86">P182-I182</f>
        <v>0.58819999999999995</v>
      </c>
      <c r="V182" s="61">
        <f t="shared" si="86"/>
        <v>4.8899999999999999E-2</v>
      </c>
    </row>
    <row r="183" spans="1:22">
      <c r="A183" s="166">
        <v>157</v>
      </c>
      <c r="B183" s="167" t="s">
        <v>229</v>
      </c>
      <c r="C183" s="168" t="s">
        <v>230</v>
      </c>
      <c r="D183" s="81">
        <v>973902744.04999995</v>
      </c>
      <c r="E183" s="32">
        <f>(D183/$D$185)</f>
        <v>0.16173715314055304</v>
      </c>
      <c r="F183" s="80">
        <v>27.680700000000002</v>
      </c>
      <c r="G183" s="80">
        <v>27.976800000000001</v>
      </c>
      <c r="H183" s="34">
        <v>1482</v>
      </c>
      <c r="I183" s="53">
        <v>1.8200000000000001E-2</v>
      </c>
      <c r="J183" s="53">
        <v>4.0300000000000002E-2</v>
      </c>
      <c r="K183" s="81">
        <v>988364311.48000002</v>
      </c>
      <c r="L183" s="57">
        <f>(K183/$K$185)</f>
        <v>0.16077778096748024</v>
      </c>
      <c r="M183" s="80">
        <v>27.817900000000002</v>
      </c>
      <c r="N183" s="80">
        <v>28.116800000000001</v>
      </c>
      <c r="O183" s="34">
        <v>1481</v>
      </c>
      <c r="P183" s="53">
        <v>2.0500000000000001E-2</v>
      </c>
      <c r="Q183" s="53">
        <v>4.5499999999999999E-2</v>
      </c>
      <c r="R183" s="60">
        <f>((K183-D183)/D183)</f>
        <v>1.4849087876948844E-2</v>
      </c>
      <c r="S183" s="60">
        <f t="shared" si="85"/>
        <v>5.0041462926424954E-3</v>
      </c>
      <c r="T183" s="60">
        <f t="shared" si="85"/>
        <v>-6.7476383265856947E-4</v>
      </c>
      <c r="U183" s="60">
        <f t="shared" si="86"/>
        <v>2.3E-3</v>
      </c>
      <c r="V183" s="61">
        <f t="shared" si="86"/>
        <v>5.1999999999999963E-3</v>
      </c>
    </row>
    <row r="184" spans="1:22">
      <c r="A184" s="166">
        <v>158</v>
      </c>
      <c r="B184" s="167" t="s">
        <v>231</v>
      </c>
      <c r="C184" s="168" t="s">
        <v>49</v>
      </c>
      <c r="D184" s="47">
        <v>4057973256.3800001</v>
      </c>
      <c r="E184" s="32">
        <f>(D184/$D$185)</f>
        <v>0.67391230388986889</v>
      </c>
      <c r="F184" s="80">
        <v>2.91</v>
      </c>
      <c r="G184" s="80">
        <v>2.95</v>
      </c>
      <c r="H184" s="34">
        <v>10215</v>
      </c>
      <c r="I184" s="53">
        <v>-6.7000000000000002E-3</v>
      </c>
      <c r="J184" s="53">
        <v>1.72E-2</v>
      </c>
      <c r="K184" s="47">
        <v>4145051675.6900001</v>
      </c>
      <c r="L184" s="57">
        <f>(K184/$K$185)</f>
        <v>0.67427789801014015</v>
      </c>
      <c r="M184" s="80">
        <v>2.97</v>
      </c>
      <c r="N184" s="80">
        <v>3.01</v>
      </c>
      <c r="O184" s="34">
        <v>10222</v>
      </c>
      <c r="P184" s="53">
        <v>2.0299999999999999E-2</v>
      </c>
      <c r="Q184" s="53">
        <v>3.7900000000000003E-2</v>
      </c>
      <c r="R184" s="60">
        <f>((K184-D184)/D184)</f>
        <v>2.1458598617695196E-2</v>
      </c>
      <c r="S184" s="60">
        <f t="shared" si="85"/>
        <v>2.0338983050847324E-2</v>
      </c>
      <c r="T184" s="60">
        <f t="shared" si="85"/>
        <v>6.8526676456191879E-4</v>
      </c>
      <c r="U184" s="60">
        <f t="shared" si="86"/>
        <v>2.7E-2</v>
      </c>
      <c r="V184" s="61">
        <f t="shared" si="86"/>
        <v>2.0700000000000003E-2</v>
      </c>
    </row>
    <row r="185" spans="1:22">
      <c r="A185" s="38"/>
      <c r="B185" s="39"/>
      <c r="C185" s="74" t="s">
        <v>53</v>
      </c>
      <c r="D185" s="78">
        <f>SUM(D182:D184)</f>
        <v>6021515311.3500004</v>
      </c>
      <c r="E185" s="42">
        <f>(D185/$D$210)</f>
        <v>1.4979990740263663E-3</v>
      </c>
      <c r="F185" s="43"/>
      <c r="G185" s="79"/>
      <c r="H185" s="45">
        <f>SUM(H182:H184)</f>
        <v>13366</v>
      </c>
      <c r="I185" s="85"/>
      <c r="J185" s="85"/>
      <c r="K185" s="78">
        <f>SUM(K182:K184)</f>
        <v>6147393660.5699997</v>
      </c>
      <c r="L185" s="42">
        <f>(K185/$K$210)</f>
        <v>1.4923068741039746E-3</v>
      </c>
      <c r="M185" s="43"/>
      <c r="N185" s="79"/>
      <c r="O185" s="45">
        <f>SUM(O182:O184)</f>
        <v>13374</v>
      </c>
      <c r="P185" s="85"/>
      <c r="Q185" s="85"/>
      <c r="R185" s="60">
        <f>((K185-D185)/D185)</f>
        <v>2.0904762789979169E-2</v>
      </c>
      <c r="S185" s="60" t="e">
        <f t="shared" si="85"/>
        <v>#DIV/0!</v>
      </c>
      <c r="T185" s="60">
        <f t="shared" si="85"/>
        <v>5.9853359269789017E-4</v>
      </c>
      <c r="U185" s="60">
        <f t="shared" si="86"/>
        <v>0</v>
      </c>
      <c r="V185" s="61">
        <f t="shared" si="86"/>
        <v>0</v>
      </c>
    </row>
    <row r="186" spans="1:22" ht="6" customHeight="1">
      <c r="A186" s="38"/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</row>
    <row r="187" spans="1:22" ht="15" customHeight="1">
      <c r="A187" s="183" t="s">
        <v>232</v>
      </c>
      <c r="B187" s="183"/>
      <c r="C187" s="183"/>
      <c r="D187" s="183"/>
      <c r="E187" s="183"/>
      <c r="F187" s="183"/>
      <c r="G187" s="183"/>
      <c r="H187" s="183"/>
      <c r="I187" s="183"/>
      <c r="J187" s="183"/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183"/>
    </row>
    <row r="188" spans="1:22">
      <c r="A188" s="184" t="s">
        <v>233</v>
      </c>
      <c r="B188" s="184"/>
      <c r="C188" s="184"/>
      <c r="D188" s="184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</row>
    <row r="189" spans="1:22">
      <c r="A189" s="166">
        <v>159</v>
      </c>
      <c r="B189" s="167" t="s">
        <v>234</v>
      </c>
      <c r="C189" s="168" t="s">
        <v>235</v>
      </c>
      <c r="D189" s="50">
        <v>4972922501.0699997</v>
      </c>
      <c r="E189" s="32">
        <f>(D189/$D$209)</f>
        <v>9.2485376914505715E-2</v>
      </c>
      <c r="F189" s="82">
        <v>2.2799999999999998</v>
      </c>
      <c r="G189" s="82">
        <v>2.3199999999999998</v>
      </c>
      <c r="H189" s="49">
        <v>15027</v>
      </c>
      <c r="I189" s="56">
        <v>-5.3E-3</v>
      </c>
      <c r="J189" s="56">
        <v>3.0000000000000001E-3</v>
      </c>
      <c r="K189" s="50">
        <v>5080884265.6899996</v>
      </c>
      <c r="L189" s="32">
        <f>(K189/$K$209)</f>
        <v>9.2478262424781341E-2</v>
      </c>
      <c r="M189" s="82">
        <v>2.2799999999999998</v>
      </c>
      <c r="N189" s="82">
        <v>2.3199999999999998</v>
      </c>
      <c r="O189" s="49">
        <v>15033</v>
      </c>
      <c r="P189" s="56">
        <v>1.8E-3</v>
      </c>
      <c r="Q189" s="56">
        <v>4.8999999999999998E-3</v>
      </c>
      <c r="R189" s="60">
        <f>((K189-D189)/D189)</f>
        <v>2.1709923007400635E-2</v>
      </c>
      <c r="S189" s="60">
        <f>((N189-G189)/G189)</f>
        <v>0</v>
      </c>
      <c r="T189" s="60">
        <f>((O189-H189)/H189)</f>
        <v>3.9928129367139149E-4</v>
      </c>
      <c r="U189" s="60">
        <f>P189-I189</f>
        <v>7.1000000000000004E-3</v>
      </c>
      <c r="V189" s="61">
        <f>Q189-J189</f>
        <v>1.8999999999999998E-3</v>
      </c>
    </row>
    <row r="190" spans="1:22">
      <c r="A190" s="166">
        <v>160</v>
      </c>
      <c r="B190" s="167" t="s">
        <v>236</v>
      </c>
      <c r="C190" s="168" t="s">
        <v>49</v>
      </c>
      <c r="D190" s="50">
        <v>778240822.51999998</v>
      </c>
      <c r="E190" s="32">
        <f>(D190/$D$209)</f>
        <v>1.4473560725213481E-2</v>
      </c>
      <c r="F190" s="82">
        <v>505.3</v>
      </c>
      <c r="G190" s="82">
        <v>511.73</v>
      </c>
      <c r="H190" s="49">
        <v>862</v>
      </c>
      <c r="I190" s="56">
        <v>-7.4000000000000003E-3</v>
      </c>
      <c r="J190" s="56">
        <v>1.3899999999999999E-2</v>
      </c>
      <c r="K190" s="50">
        <v>773661629.19000006</v>
      </c>
      <c r="L190" s="32">
        <f>(K190/$K$209)</f>
        <v>1.4081580967186312E-2</v>
      </c>
      <c r="M190" s="82">
        <v>504.49</v>
      </c>
      <c r="N190" s="82">
        <v>510.93</v>
      </c>
      <c r="O190" s="49">
        <v>862</v>
      </c>
      <c r="P190" s="56">
        <v>-1.6000000000000001E-3</v>
      </c>
      <c r="Q190" s="56">
        <v>1.24E-2</v>
      </c>
      <c r="R190" s="60">
        <f>((K190-D190)/D190)</f>
        <v>-5.8840312631919835E-3</v>
      </c>
      <c r="S190" s="60">
        <f>((N190-G190)/G190)</f>
        <v>-1.5633244093565188E-3</v>
      </c>
      <c r="T190" s="60">
        <f>((O190-H190)/H190)</f>
        <v>0</v>
      </c>
      <c r="U190" s="60">
        <f>P190-I190</f>
        <v>5.8000000000000005E-3</v>
      </c>
      <c r="V190" s="61">
        <f>Q190-J190</f>
        <v>-1.4999999999999996E-3</v>
      </c>
    </row>
    <row r="191" spans="1:22" ht="6" customHeight="1">
      <c r="A191" s="38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</row>
    <row r="192" spans="1:22" ht="15" customHeight="1">
      <c r="A192" s="184" t="s">
        <v>175</v>
      </c>
      <c r="B192" s="184"/>
      <c r="C192" s="184"/>
      <c r="D192" s="184"/>
      <c r="E192" s="184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</row>
    <row r="193" spans="1:24">
      <c r="A193" s="166">
        <v>161</v>
      </c>
      <c r="B193" s="167" t="s">
        <v>296</v>
      </c>
      <c r="C193" s="168" t="s">
        <v>23</v>
      </c>
      <c r="D193" s="31">
        <v>554203713.54999995</v>
      </c>
      <c r="E193" s="32">
        <f t="shared" ref="E193:E205" si="87">(D193/$D$209)</f>
        <v>1.0306965235042785E-2</v>
      </c>
      <c r="F193" s="80">
        <v>1.0222</v>
      </c>
      <c r="G193" s="80">
        <v>1.0222</v>
      </c>
      <c r="H193" s="34">
        <v>232</v>
      </c>
      <c r="I193" s="53">
        <v>0.17910000000000001</v>
      </c>
      <c r="J193" s="53">
        <v>0.19289999999999999</v>
      </c>
      <c r="K193" s="31">
        <v>749510612.16999996</v>
      </c>
      <c r="L193" s="32">
        <f t="shared" ref="L193:L205" si="88">(K193/$K$209)</f>
        <v>1.3642003135255983E-2</v>
      </c>
      <c r="M193" s="80">
        <v>1.0255000000000001</v>
      </c>
      <c r="N193" s="80">
        <v>1.0255000000000001</v>
      </c>
      <c r="O193" s="34">
        <v>295</v>
      </c>
      <c r="P193" s="53">
        <v>0.16830000000000001</v>
      </c>
      <c r="Q193" s="53">
        <v>0.18609999999999999</v>
      </c>
      <c r="R193" s="60">
        <f>((K193-D193)/D193)</f>
        <v>0.35240994212930249</v>
      </c>
      <c r="S193" s="60">
        <f>((N193-G193)/G193)</f>
        <v>3.2283310506750935E-3</v>
      </c>
      <c r="T193" s="60">
        <f>((O193-H193)/H193)</f>
        <v>0.27155172413793105</v>
      </c>
      <c r="U193" s="60">
        <f>P193-I193</f>
        <v>-1.0800000000000004E-2</v>
      </c>
      <c r="V193" s="61">
        <f>Q193-J193</f>
        <v>-6.8000000000000005E-3</v>
      </c>
      <c r="X193" s="86"/>
    </row>
    <row r="194" spans="1:24">
      <c r="A194" s="166">
        <v>162</v>
      </c>
      <c r="B194" s="167" t="s">
        <v>237</v>
      </c>
      <c r="C194" s="168" t="s">
        <v>238</v>
      </c>
      <c r="D194" s="31">
        <v>350221131.93000001</v>
      </c>
      <c r="E194" s="32">
        <f t="shared" ref="E194" si="89">(D194/$D$209)</f>
        <v>6.5133396675700478E-3</v>
      </c>
      <c r="F194" s="80">
        <v>1078.44</v>
      </c>
      <c r="G194" s="80">
        <v>1078.44</v>
      </c>
      <c r="H194" s="34">
        <v>19</v>
      </c>
      <c r="I194" s="53">
        <v>2.0999999999999999E-3</v>
      </c>
      <c r="J194" s="53">
        <v>5.1999999999999998E-3</v>
      </c>
      <c r="K194" s="31">
        <v>350756019.29000002</v>
      </c>
      <c r="L194" s="32">
        <f t="shared" ref="L194" si="90">(K194/$K$209)</f>
        <v>6.3841854100109485E-3</v>
      </c>
      <c r="M194" s="80">
        <v>1080.0899999999999</v>
      </c>
      <c r="N194" s="80">
        <v>1080.0899999999999</v>
      </c>
      <c r="O194" s="34">
        <v>19</v>
      </c>
      <c r="P194" s="53">
        <v>2E-3</v>
      </c>
      <c r="Q194" s="53">
        <v>7.1999999999999998E-3</v>
      </c>
      <c r="R194" s="60">
        <f>((K194-D194)/D194)</f>
        <v>1.5272846531343067E-3</v>
      </c>
      <c r="S194" s="60">
        <f>((N194-G194)/G194)</f>
        <v>1.5299877600977927E-3</v>
      </c>
      <c r="T194" s="60">
        <f>((O194-H194)/H194)</f>
        <v>0</v>
      </c>
      <c r="U194" s="60">
        <f>P194-I194</f>
        <v>-9.9999999999999829E-5</v>
      </c>
      <c r="V194" s="61">
        <f>Q194-J194</f>
        <v>2E-3</v>
      </c>
      <c r="X194" s="86"/>
    </row>
    <row r="195" spans="1:24">
      <c r="A195" s="166">
        <v>163</v>
      </c>
      <c r="B195" s="167" t="s">
        <v>239</v>
      </c>
      <c r="C195" s="168" t="s">
        <v>67</v>
      </c>
      <c r="D195" s="31">
        <v>131830899.98</v>
      </c>
      <c r="E195" s="32">
        <f t="shared" si="87"/>
        <v>2.4517636200856573E-3</v>
      </c>
      <c r="F195" s="80">
        <v>116.6</v>
      </c>
      <c r="G195" s="80">
        <v>116.6</v>
      </c>
      <c r="H195" s="34">
        <v>75</v>
      </c>
      <c r="I195" s="53">
        <v>2.7000000000000001E-3</v>
      </c>
      <c r="J195" s="53">
        <v>0.14649999999999999</v>
      </c>
      <c r="K195" s="31">
        <v>132271928.70999999</v>
      </c>
      <c r="L195" s="32">
        <f t="shared" si="88"/>
        <v>2.4075096961521064E-3</v>
      </c>
      <c r="M195" s="80">
        <v>116.9</v>
      </c>
      <c r="N195" s="80">
        <v>116.9</v>
      </c>
      <c r="O195" s="34">
        <v>75</v>
      </c>
      <c r="P195" s="53">
        <v>2.5999999999999999E-3</v>
      </c>
      <c r="Q195" s="53">
        <v>0.14680000000000001</v>
      </c>
      <c r="R195" s="60">
        <f t="shared" ref="R195:R210" si="91">((K195-D195)/D195)</f>
        <v>3.3454124189920384E-3</v>
      </c>
      <c r="S195" s="60">
        <f t="shared" ref="S195:S209" si="92">((N195-G195)/G195)</f>
        <v>2.5728987993139914E-3</v>
      </c>
      <c r="T195" s="60">
        <f t="shared" ref="T195:T209" si="93">((O195-H195)/H195)</f>
        <v>0</v>
      </c>
      <c r="U195" s="60">
        <f t="shared" ref="U195:U209" si="94">P195-I195</f>
        <v>-1.0000000000000026E-4</v>
      </c>
      <c r="V195" s="61">
        <f t="shared" ref="V195:V209" si="95">Q195-J195</f>
        <v>3.0000000000002247E-4</v>
      </c>
    </row>
    <row r="196" spans="1:24">
      <c r="A196" s="166">
        <v>164</v>
      </c>
      <c r="B196" s="170" t="s">
        <v>240</v>
      </c>
      <c r="C196" s="168" t="s">
        <v>73</v>
      </c>
      <c r="D196" s="47">
        <v>54460185.359999999</v>
      </c>
      <c r="E196" s="32">
        <f t="shared" si="87"/>
        <v>1.012839184356826E-3</v>
      </c>
      <c r="F196" s="80">
        <v>97.14</v>
      </c>
      <c r="G196" s="80">
        <v>97.19</v>
      </c>
      <c r="H196" s="34">
        <v>14</v>
      </c>
      <c r="I196" s="53">
        <v>-5.0000000000000001E-3</v>
      </c>
      <c r="J196" s="53">
        <v>-5.9999999999999995E-4</v>
      </c>
      <c r="K196" s="47">
        <v>54686592.75</v>
      </c>
      <c r="L196" s="32">
        <f t="shared" si="88"/>
        <v>9.9536238398550579E-4</v>
      </c>
      <c r="M196" s="80">
        <v>97.44</v>
      </c>
      <c r="N196" s="80">
        <v>97.69</v>
      </c>
      <c r="O196" s="34">
        <v>15</v>
      </c>
      <c r="P196" s="53">
        <v>5.4000000000000003E-3</v>
      </c>
      <c r="Q196" s="53">
        <v>4.7000000000000002E-3</v>
      </c>
      <c r="R196" s="60">
        <f t="shared" si="91"/>
        <v>4.1573011274818874E-3</v>
      </c>
      <c r="S196" s="60">
        <f t="shared" si="92"/>
        <v>5.1445621977569706E-3</v>
      </c>
      <c r="T196" s="60">
        <f t="shared" si="93"/>
        <v>7.1428571428571425E-2</v>
      </c>
      <c r="U196" s="60">
        <f t="shared" si="94"/>
        <v>1.04E-2</v>
      </c>
      <c r="V196" s="61">
        <f t="shared" si="95"/>
        <v>5.3E-3</v>
      </c>
    </row>
    <row r="197" spans="1:24">
      <c r="A197" s="166">
        <v>165</v>
      </c>
      <c r="B197" s="167" t="s">
        <v>241</v>
      </c>
      <c r="C197" s="168" t="s">
        <v>76</v>
      </c>
      <c r="D197" s="47">
        <v>109753975.23</v>
      </c>
      <c r="E197" s="32">
        <v>0</v>
      </c>
      <c r="F197" s="80">
        <v>1.0482</v>
      </c>
      <c r="G197" s="80">
        <v>1.0482</v>
      </c>
      <c r="H197" s="34">
        <v>24</v>
      </c>
      <c r="I197" s="53">
        <v>1.1999999999999999E-3</v>
      </c>
      <c r="J197" s="53">
        <v>0.12509999999999999</v>
      </c>
      <c r="K197" s="47">
        <v>110010435.45</v>
      </c>
      <c r="L197" s="32">
        <f t="shared" si="88"/>
        <v>2.0023234907571674E-3</v>
      </c>
      <c r="M197" s="80">
        <v>1.0505</v>
      </c>
      <c r="N197" s="80">
        <v>1.0505</v>
      </c>
      <c r="O197" s="34">
        <v>24</v>
      </c>
      <c r="P197" s="53">
        <v>1.6000000000000001E-3</v>
      </c>
      <c r="Q197" s="53">
        <v>0.1249</v>
      </c>
      <c r="R197" s="60">
        <f t="shared" ref="R197:R198" si="96">((K197-D197)/D197)</f>
        <v>2.3366827439512943E-3</v>
      </c>
      <c r="S197" s="60">
        <f t="shared" ref="S197:S198" si="97">((N197-G197)/G197)</f>
        <v>2.1942377408891134E-3</v>
      </c>
      <c r="T197" s="60">
        <f t="shared" ref="T197" si="98">((O197-H197)/H197)</f>
        <v>0</v>
      </c>
      <c r="U197" s="60">
        <f t="shared" ref="U197" si="99">P197-I197</f>
        <v>4.0000000000000018E-4</v>
      </c>
      <c r="V197" s="61">
        <f t="shared" ref="V197" si="100">Q197-J197</f>
        <v>-1.9999999999999185E-4</v>
      </c>
    </row>
    <row r="198" spans="1:24">
      <c r="A198" s="166">
        <v>166</v>
      </c>
      <c r="B198" s="167" t="s">
        <v>242</v>
      </c>
      <c r="C198" s="168" t="s">
        <v>31</v>
      </c>
      <c r="D198" s="31">
        <v>7793141158.6999998</v>
      </c>
      <c r="E198" s="32">
        <f t="shared" si="87"/>
        <v>0.14493521611391222</v>
      </c>
      <c r="F198" s="80">
        <v>144.47</v>
      </c>
      <c r="G198" s="80">
        <v>144.47</v>
      </c>
      <c r="H198" s="34">
        <v>691</v>
      </c>
      <c r="I198" s="53">
        <v>2.8E-3</v>
      </c>
      <c r="J198" s="53">
        <v>7.0000000000000001E-3</v>
      </c>
      <c r="K198" s="31">
        <v>7792505423.9099998</v>
      </c>
      <c r="L198" s="32">
        <f t="shared" si="88"/>
        <v>0.14183305973040425</v>
      </c>
      <c r="M198" s="80">
        <v>144.88</v>
      </c>
      <c r="N198" s="80">
        <v>144.88</v>
      </c>
      <c r="O198" s="34">
        <v>693</v>
      </c>
      <c r="P198" s="53">
        <v>2.8E-3</v>
      </c>
      <c r="Q198" s="53">
        <v>9.7999999999999997E-3</v>
      </c>
      <c r="R198" s="60">
        <f t="shared" si="96"/>
        <v>-8.157619335436379E-5</v>
      </c>
      <c r="S198" s="60">
        <f t="shared" si="97"/>
        <v>2.8379594379455706E-3</v>
      </c>
      <c r="T198" s="60">
        <f t="shared" si="93"/>
        <v>2.8943560057887118E-3</v>
      </c>
      <c r="U198" s="60">
        <f t="shared" si="94"/>
        <v>0</v>
      </c>
      <c r="V198" s="61">
        <f t="shared" si="95"/>
        <v>2.7999999999999995E-3</v>
      </c>
    </row>
    <row r="199" spans="1:24">
      <c r="A199" s="166">
        <v>167</v>
      </c>
      <c r="B199" s="167" t="s">
        <v>243</v>
      </c>
      <c r="C199" s="168" t="s">
        <v>65</v>
      </c>
      <c r="D199" s="31">
        <v>546244139.250121</v>
      </c>
      <c r="E199" s="32">
        <f t="shared" si="87"/>
        <v>1.0158934730033924E-2</v>
      </c>
      <c r="F199" s="37">
        <v>1197.1390234550499</v>
      </c>
      <c r="G199" s="37">
        <v>1197.1390234550499</v>
      </c>
      <c r="H199" s="34">
        <v>120</v>
      </c>
      <c r="I199" s="53">
        <v>0.18421197476730206</v>
      </c>
      <c r="J199" s="53">
        <v>0.18346485819236033</v>
      </c>
      <c r="K199" s="31">
        <v>551031208.64448202</v>
      </c>
      <c r="L199" s="32">
        <f t="shared" si="88"/>
        <v>1.0029437013824314E-2</v>
      </c>
      <c r="M199" s="37">
        <v>1201.3054350494499</v>
      </c>
      <c r="N199" s="37">
        <v>1201.3054350494499</v>
      </c>
      <c r="O199" s="34">
        <v>123</v>
      </c>
      <c r="P199" s="53">
        <v>0.18147316252221232</v>
      </c>
      <c r="Q199" s="53">
        <v>0.18333622775606886</v>
      </c>
      <c r="R199" s="60">
        <f t="shared" si="91"/>
        <v>8.763607790708134E-3</v>
      </c>
      <c r="S199" s="60">
        <f t="shared" si="92"/>
        <v>3.4803072264533866E-3</v>
      </c>
      <c r="T199" s="60">
        <f t="shared" si="93"/>
        <v>2.5000000000000001E-2</v>
      </c>
      <c r="U199" s="60">
        <f t="shared" si="94"/>
        <v>-2.7388122450897334E-3</v>
      </c>
      <c r="V199" s="61">
        <f t="shared" si="95"/>
        <v>-1.2863043629146587E-4</v>
      </c>
    </row>
    <row r="200" spans="1:24">
      <c r="A200" s="166">
        <v>168</v>
      </c>
      <c r="B200" s="167" t="s">
        <v>244</v>
      </c>
      <c r="C200" s="168" t="s">
        <v>235</v>
      </c>
      <c r="D200" s="31">
        <v>25917835399.110001</v>
      </c>
      <c r="E200" s="32">
        <f t="shared" si="87"/>
        <v>0.48201450458539252</v>
      </c>
      <c r="F200" s="37">
        <v>1229.68</v>
      </c>
      <c r="G200" s="37">
        <v>1229.68</v>
      </c>
      <c r="H200" s="34">
        <v>9559</v>
      </c>
      <c r="I200" s="53">
        <v>2.7000000000000001E-3</v>
      </c>
      <c r="J200" s="53">
        <v>6.3E-3</v>
      </c>
      <c r="K200" s="31">
        <v>26735201907.049999</v>
      </c>
      <c r="L200" s="32">
        <f t="shared" si="88"/>
        <v>0.48661313437808085</v>
      </c>
      <c r="M200" s="37">
        <v>1232.3399999999999</v>
      </c>
      <c r="N200" s="37">
        <v>1232.3399999999999</v>
      </c>
      <c r="O200" s="34">
        <v>9596</v>
      </c>
      <c r="P200" s="53">
        <v>2.2000000000000001E-3</v>
      </c>
      <c r="Q200" s="53">
        <v>8.3999999999999995E-3</v>
      </c>
      <c r="R200" s="60">
        <f t="shared" si="91"/>
        <v>3.1536835362727333E-2</v>
      </c>
      <c r="S200" s="60">
        <f t="shared" si="92"/>
        <v>2.1631644004943191E-3</v>
      </c>
      <c r="T200" s="60">
        <f t="shared" si="93"/>
        <v>3.8706977717334447E-3</v>
      </c>
      <c r="U200" s="60">
        <f t="shared" si="94"/>
        <v>-5.0000000000000001E-4</v>
      </c>
      <c r="V200" s="61">
        <f t="shared" si="95"/>
        <v>2.0999999999999994E-3</v>
      </c>
    </row>
    <row r="201" spans="1:24">
      <c r="A201" s="166">
        <v>169</v>
      </c>
      <c r="B201" s="167" t="s">
        <v>245</v>
      </c>
      <c r="C201" s="168" t="s">
        <v>246</v>
      </c>
      <c r="D201" s="31">
        <v>464742317.94</v>
      </c>
      <c r="E201" s="32">
        <f t="shared" si="87"/>
        <v>8.6431808325092042E-3</v>
      </c>
      <c r="F201" s="82">
        <v>126.97</v>
      </c>
      <c r="G201" s="82">
        <v>127.91</v>
      </c>
      <c r="H201" s="49">
        <v>147</v>
      </c>
      <c r="I201" s="53">
        <v>5.7999999999999996E-3</v>
      </c>
      <c r="J201" s="53">
        <v>3.15E-2</v>
      </c>
      <c r="K201" s="31">
        <v>461458879.72000003</v>
      </c>
      <c r="L201" s="32">
        <f t="shared" si="88"/>
        <v>8.399111876089228E-3</v>
      </c>
      <c r="M201" s="82">
        <v>124.24</v>
      </c>
      <c r="N201" s="82">
        <v>124.24</v>
      </c>
      <c r="O201" s="49">
        <v>146</v>
      </c>
      <c r="P201" s="53">
        <v>-2.1600000000000001E-2</v>
      </c>
      <c r="Q201" s="53">
        <v>9.1999999999999998E-3</v>
      </c>
      <c r="R201" s="60">
        <f t="shared" si="91"/>
        <v>-7.0650726074484001E-3</v>
      </c>
      <c r="S201" s="60">
        <f t="shared" si="92"/>
        <v>-2.8692049097021357E-2</v>
      </c>
      <c r="T201" s="60">
        <f t="shared" si="93"/>
        <v>-6.8027210884353739E-3</v>
      </c>
      <c r="U201" s="60">
        <f t="shared" si="94"/>
        <v>-2.7400000000000001E-2</v>
      </c>
      <c r="V201" s="61">
        <f t="shared" si="95"/>
        <v>-2.23E-2</v>
      </c>
    </row>
    <row r="202" spans="1:24">
      <c r="A202" s="166">
        <v>170</v>
      </c>
      <c r="B202" s="167" t="s">
        <v>247</v>
      </c>
      <c r="C202" s="168" t="s">
        <v>246</v>
      </c>
      <c r="D202" s="31">
        <v>127966349.40000001</v>
      </c>
      <c r="E202" s="32">
        <f t="shared" si="87"/>
        <v>2.3798915133074867E-3</v>
      </c>
      <c r="F202" s="82">
        <v>113.06</v>
      </c>
      <c r="G202" s="82">
        <v>113.06</v>
      </c>
      <c r="H202" s="49">
        <v>67</v>
      </c>
      <c r="I202" s="53">
        <v>-1.03E-2</v>
      </c>
      <c r="J202" s="53">
        <v>1.2200000000000001E-2</v>
      </c>
      <c r="K202" s="31">
        <v>123627397.43000001</v>
      </c>
      <c r="L202" s="32">
        <f t="shared" si="88"/>
        <v>2.2501687313815763E-3</v>
      </c>
      <c r="M202" s="82">
        <v>113.65</v>
      </c>
      <c r="N202" s="82">
        <v>113.65</v>
      </c>
      <c r="O202" s="49">
        <v>67</v>
      </c>
      <c r="P202" s="53">
        <v>5.1999999999999998E-3</v>
      </c>
      <c r="Q202" s="53">
        <v>1.7500000000000002E-2</v>
      </c>
      <c r="R202" s="60">
        <f t="shared" si="91"/>
        <v>-3.3906976250742356E-2</v>
      </c>
      <c r="S202" s="60">
        <f t="shared" si="92"/>
        <v>5.2184680700513306E-3</v>
      </c>
      <c r="T202" s="60">
        <f t="shared" si="93"/>
        <v>0</v>
      </c>
      <c r="U202" s="60">
        <f t="shared" si="94"/>
        <v>1.55E-2</v>
      </c>
      <c r="V202" s="61">
        <f t="shared" si="95"/>
        <v>5.3000000000000009E-3</v>
      </c>
    </row>
    <row r="203" spans="1:24" ht="13.5" customHeight="1">
      <c r="A203" s="166">
        <v>171</v>
      </c>
      <c r="B203" s="167" t="s">
        <v>248</v>
      </c>
      <c r="C203" s="168" t="s">
        <v>90</v>
      </c>
      <c r="D203" s="31">
        <v>1443367751</v>
      </c>
      <c r="E203" s="32">
        <f t="shared" si="87"/>
        <v>2.6843452808435069E-2</v>
      </c>
      <c r="F203" s="63">
        <v>103.53</v>
      </c>
      <c r="G203" s="63">
        <v>103.53</v>
      </c>
      <c r="H203" s="34">
        <v>593</v>
      </c>
      <c r="I203" s="53">
        <v>2.7000000000000001E-3</v>
      </c>
      <c r="J203" s="53">
        <v>0.14000000000000001</v>
      </c>
      <c r="K203" s="31">
        <v>1491212845</v>
      </c>
      <c r="L203" s="32">
        <f t="shared" si="88"/>
        <v>2.7141884286235929E-2</v>
      </c>
      <c r="M203" s="63">
        <v>103.84</v>
      </c>
      <c r="N203" s="63">
        <v>103.84</v>
      </c>
      <c r="O203" s="34">
        <v>599</v>
      </c>
      <c r="P203" s="53">
        <v>2.8999999999999998E-3</v>
      </c>
      <c r="Q203" s="53">
        <v>0.1439</v>
      </c>
      <c r="R203" s="60">
        <f t="shared" si="91"/>
        <v>3.3148235414607097E-2</v>
      </c>
      <c r="S203" s="60">
        <f t="shared" si="92"/>
        <v>2.9943011687433812E-3</v>
      </c>
      <c r="T203" s="60">
        <f t="shared" si="93"/>
        <v>1.0118043844856661E-2</v>
      </c>
      <c r="U203" s="60">
        <f t="shared" si="94"/>
        <v>1.9999999999999966E-4</v>
      </c>
      <c r="V203" s="61">
        <f t="shared" si="95"/>
        <v>3.8999999999999868E-3</v>
      </c>
    </row>
    <row r="204" spans="1:24" ht="15.75" customHeight="1">
      <c r="A204" s="166">
        <v>172</v>
      </c>
      <c r="B204" s="167" t="s">
        <v>249</v>
      </c>
      <c r="C204" s="168" t="s">
        <v>49</v>
      </c>
      <c r="D204" s="31">
        <v>6438820789.5900002</v>
      </c>
      <c r="E204" s="32">
        <f t="shared" si="87"/>
        <v>0.11974784796707696</v>
      </c>
      <c r="F204" s="63">
        <v>134.87</v>
      </c>
      <c r="G204" s="63">
        <v>134.87</v>
      </c>
      <c r="H204" s="34">
        <v>1266</v>
      </c>
      <c r="I204" s="53">
        <v>1.8E-3</v>
      </c>
      <c r="J204" s="53">
        <v>4.1999999999999997E-3</v>
      </c>
      <c r="K204" s="31">
        <v>6442269692.46</v>
      </c>
      <c r="L204" s="32">
        <f t="shared" si="88"/>
        <v>0.11725713007352351</v>
      </c>
      <c r="M204" s="63">
        <v>135.11000000000001</v>
      </c>
      <c r="N204" s="63">
        <v>135.11000000000001</v>
      </c>
      <c r="O204" s="34">
        <v>1265</v>
      </c>
      <c r="P204" s="53">
        <v>1.8E-3</v>
      </c>
      <c r="Q204" s="53">
        <v>6.0000000000000001E-3</v>
      </c>
      <c r="R204" s="60">
        <f t="shared" si="91"/>
        <v>5.3564200382404158E-4</v>
      </c>
      <c r="S204" s="60">
        <f t="shared" si="92"/>
        <v>1.7794913620524141E-3</v>
      </c>
      <c r="T204" s="60">
        <f t="shared" si="93"/>
        <v>-7.8988941548183253E-4</v>
      </c>
      <c r="U204" s="60">
        <f t="shared" si="94"/>
        <v>0</v>
      </c>
      <c r="V204" s="61">
        <f t="shared" si="95"/>
        <v>1.8000000000000004E-3</v>
      </c>
    </row>
    <row r="205" spans="1:24">
      <c r="A205" s="166">
        <v>173</v>
      </c>
      <c r="B205" s="167" t="s">
        <v>250</v>
      </c>
      <c r="C205" s="168" t="s">
        <v>52</v>
      </c>
      <c r="D205" s="31">
        <v>3856604228.5300002</v>
      </c>
      <c r="E205" s="32">
        <f t="shared" si="87"/>
        <v>7.1724322188598075E-2</v>
      </c>
      <c r="F205" s="63">
        <v>1.2197</v>
      </c>
      <c r="G205" s="63">
        <v>1.2197</v>
      </c>
      <c r="H205" s="34">
        <v>1264</v>
      </c>
      <c r="I205" s="53">
        <v>-4.5900000000000003E-2</v>
      </c>
      <c r="J205" s="53">
        <v>2.3199999999999998E-2</v>
      </c>
      <c r="K205" s="31">
        <v>3863838859.1500001</v>
      </c>
      <c r="L205" s="32">
        <f t="shared" si="88"/>
        <v>7.0326558389933361E-2</v>
      </c>
      <c r="M205" s="63">
        <v>1.2222999999999999</v>
      </c>
      <c r="N205" s="63">
        <v>1.2222999999999999</v>
      </c>
      <c r="O205" s="34">
        <v>1275</v>
      </c>
      <c r="P205" s="53">
        <v>0.1174</v>
      </c>
      <c r="Q205" s="53">
        <v>4.9799999999999997E-2</v>
      </c>
      <c r="R205" s="60">
        <f t="shared" si="91"/>
        <v>1.8759069355575198E-3</v>
      </c>
      <c r="S205" s="60">
        <f t="shared" si="92"/>
        <v>2.131671722554674E-3</v>
      </c>
      <c r="T205" s="60">
        <f t="shared" si="93"/>
        <v>8.7025316455696198E-3</v>
      </c>
      <c r="U205" s="60">
        <f t="shared" si="94"/>
        <v>0.1633</v>
      </c>
      <c r="V205" s="61">
        <f t="shared" si="95"/>
        <v>2.6599999999999999E-2</v>
      </c>
    </row>
    <row r="206" spans="1:24" ht="6" customHeight="1">
      <c r="A206" s="38"/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</row>
    <row r="207" spans="1:24">
      <c r="A207" s="184" t="s">
        <v>251</v>
      </c>
      <c r="B207" s="184"/>
      <c r="C207" s="184"/>
      <c r="D207" s="184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</row>
    <row r="208" spans="1:24">
      <c r="A208" s="174">
        <v>174</v>
      </c>
      <c r="B208" s="167" t="s">
        <v>252</v>
      </c>
      <c r="C208" s="168" t="s">
        <v>235</v>
      </c>
      <c r="D208" s="31">
        <v>229469305.09</v>
      </c>
      <c r="E208" s="32">
        <f t="shared" ref="E208" si="101">(D208/$D$209)</f>
        <v>4.2676223421925438E-3</v>
      </c>
      <c r="F208" s="37">
        <v>1228.24</v>
      </c>
      <c r="G208" s="37">
        <v>1228.24</v>
      </c>
      <c r="H208" s="34">
        <v>96</v>
      </c>
      <c r="I208" s="53">
        <v>-1.2699999999999999E-2</v>
      </c>
      <c r="J208" s="53">
        <v>-1.0500000000000001E-2</v>
      </c>
      <c r="K208" s="31">
        <v>228462122.66999999</v>
      </c>
      <c r="L208" s="32">
        <f t="shared" ref="L208" si="102">(K208/$K$209)</f>
        <v>4.1582880123977057E-3</v>
      </c>
      <c r="M208" s="37">
        <v>1222.8499999999999</v>
      </c>
      <c r="N208" s="37">
        <v>1222.8499999999999</v>
      </c>
      <c r="O208" s="34">
        <v>96</v>
      </c>
      <c r="P208" s="53">
        <v>-4.4000000000000003E-3</v>
      </c>
      <c r="Q208" s="53">
        <v>-1.49E-2</v>
      </c>
      <c r="R208" s="60">
        <f t="shared" ref="R208" si="103">((K208-D208)/D208)</f>
        <v>-4.3891814620042116E-3</v>
      </c>
      <c r="S208" s="60">
        <f t="shared" ref="S208" si="104">((N208-G208)/G208)</f>
        <v>-4.3883931479190546E-3</v>
      </c>
      <c r="T208" s="60">
        <f t="shared" ref="T208" si="105">((O208-H208)/H208)</f>
        <v>0</v>
      </c>
      <c r="U208" s="60">
        <f t="shared" ref="U208" si="106">P208-I208</f>
        <v>8.2999999999999984E-3</v>
      </c>
      <c r="V208" s="61">
        <f t="shared" ref="V208" si="107">Q208-J208</f>
        <v>-4.3999999999999994E-3</v>
      </c>
    </row>
    <row r="209" spans="1:22">
      <c r="A209" s="38"/>
      <c r="B209" s="39"/>
      <c r="C209" s="74" t="s">
        <v>53</v>
      </c>
      <c r="D209" s="51">
        <f>SUM(D189:D208)</f>
        <v>53769824668.250122</v>
      </c>
      <c r="E209" s="42">
        <f>(D209/$D$210)</f>
        <v>1.3376557792981912E-2</v>
      </c>
      <c r="F209" s="43"/>
      <c r="G209" s="77"/>
      <c r="H209" s="87">
        <f>SUM(H189:H208)</f>
        <v>30056</v>
      </c>
      <c r="I209" s="84"/>
      <c r="J209" s="84"/>
      <c r="K209" s="51">
        <f>SUM(K189:K208)</f>
        <v>54941389819.284477</v>
      </c>
      <c r="L209" s="42">
        <f>(K209/$K$210)</f>
        <v>1.3337264250056522E-2</v>
      </c>
      <c r="M209" s="43"/>
      <c r="N209" s="77"/>
      <c r="O209" s="87">
        <f>SUM(O189:O208)</f>
        <v>30183</v>
      </c>
      <c r="P209" s="84"/>
      <c r="Q209" s="84"/>
      <c r="R209" s="60">
        <f t="shared" si="91"/>
        <v>2.1788524665324754E-2</v>
      </c>
      <c r="S209" s="60" t="e">
        <f t="shared" si="92"/>
        <v>#DIV/0!</v>
      </c>
      <c r="T209" s="60">
        <f t="shared" si="93"/>
        <v>4.2254458344423741E-3</v>
      </c>
      <c r="U209" s="60">
        <f t="shared" si="94"/>
        <v>0</v>
      </c>
      <c r="V209" s="61">
        <f t="shared" si="95"/>
        <v>0</v>
      </c>
    </row>
    <row r="210" spans="1:22">
      <c r="A210" s="88"/>
      <c r="B210" s="88"/>
      <c r="C210" s="89" t="s">
        <v>253</v>
      </c>
      <c r="D210" s="90">
        <f>SUM(D24,D65,D104,D140,D148,D179,D185,D209)</f>
        <v>4019705629834.0649</v>
      </c>
      <c r="E210" s="91"/>
      <c r="F210" s="91"/>
      <c r="G210" s="92"/>
      <c r="H210" s="90">
        <f>SUM(H24,H65,H104,H140,H148,H179,H185,H209)</f>
        <v>814621</v>
      </c>
      <c r="I210" s="114"/>
      <c r="J210" s="114"/>
      <c r="K210" s="90">
        <f>SUM(K24,K65,K104,K140,K148,K179,K185,K209)</f>
        <v>4119389763088.1567</v>
      </c>
      <c r="L210" s="91"/>
      <c r="M210" s="91"/>
      <c r="N210" s="92"/>
      <c r="O210" s="90">
        <f>SUM(O24,O65,O104,O140,O148,O179,O185,O209)</f>
        <v>819969</v>
      </c>
      <c r="P210" s="115"/>
      <c r="Q210" s="90"/>
      <c r="R210" s="121">
        <f t="shared" si="91"/>
        <v>2.4798864004926351E-2</v>
      </c>
      <c r="S210" s="121"/>
      <c r="T210" s="121"/>
      <c r="U210" s="121"/>
      <c r="V210" s="121"/>
    </row>
    <row r="211" spans="1:22" ht="6.75" customHeight="1">
      <c r="A211" s="38"/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39"/>
    </row>
    <row r="212" spans="1:22" ht="14.4" customHeight="1">
      <c r="A212" s="185" t="s">
        <v>254</v>
      </c>
      <c r="B212" s="183"/>
      <c r="C212" s="183"/>
      <c r="D212" s="183"/>
      <c r="E212" s="183"/>
      <c r="F212" s="183"/>
      <c r="G212" s="183"/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</row>
    <row r="213" spans="1:22" ht="14.4" customHeight="1">
      <c r="A213" s="166">
        <v>1</v>
      </c>
      <c r="B213" s="167" t="s">
        <v>255</v>
      </c>
      <c r="C213" s="168" t="s">
        <v>191</v>
      </c>
      <c r="D213" s="31">
        <v>4085851370.6029301</v>
      </c>
      <c r="E213" s="32">
        <f t="shared" ref="E213" si="108">(D213/$D$209)</f>
        <v>7.5987812789271261E-2</v>
      </c>
      <c r="F213" s="37">
        <v>123.2</v>
      </c>
      <c r="G213" s="37">
        <v>123.2</v>
      </c>
      <c r="H213" s="34">
        <v>9</v>
      </c>
      <c r="I213" s="53">
        <v>0.27694340348262603</v>
      </c>
      <c r="J213" s="53">
        <v>0.22906827310866601</v>
      </c>
      <c r="K213" s="31">
        <v>3804459666.1560702</v>
      </c>
      <c r="L213" s="32">
        <f>(K213/$K$214)</f>
        <v>1</v>
      </c>
      <c r="M213" s="37">
        <v>123.2</v>
      </c>
      <c r="N213" s="37">
        <v>123.2</v>
      </c>
      <c r="O213" s="34">
        <v>9</v>
      </c>
      <c r="P213" s="53">
        <v>0.301057779158031</v>
      </c>
      <c r="Q213" s="53">
        <v>0.24695614646621999</v>
      </c>
      <c r="R213" s="60">
        <f t="shared" ref="R213:R214" si="109">((K213-D213)/D213)</f>
        <v>-6.8869784758062838E-2</v>
      </c>
      <c r="S213" s="60">
        <f t="shared" ref="S213" si="110">((N213-G213)/G213)</f>
        <v>0</v>
      </c>
      <c r="T213" s="60">
        <f t="shared" ref="T213" si="111">((O213-H213)/H213)</f>
        <v>0</v>
      </c>
      <c r="U213" s="60">
        <f t="shared" ref="U213" si="112">P213-I213</f>
        <v>2.4114375675404975E-2</v>
      </c>
      <c r="V213" s="61">
        <f t="shared" ref="V213" si="113">Q213-J213</f>
        <v>1.7887873357553985E-2</v>
      </c>
    </row>
    <row r="214" spans="1:22" ht="14.4" customHeight="1">
      <c r="A214" s="93"/>
      <c r="B214" s="93"/>
      <c r="C214" s="93" t="s">
        <v>53</v>
      </c>
      <c r="D214" s="93">
        <f>SUM(D213:D213)</f>
        <v>4085851370.6029301</v>
      </c>
      <c r="E214" s="93"/>
      <c r="F214" s="93"/>
      <c r="G214" s="93"/>
      <c r="H214" s="93">
        <f>SUM(H213:H213)</f>
        <v>9</v>
      </c>
      <c r="I214" s="93"/>
      <c r="J214" s="93"/>
      <c r="K214" s="93">
        <f>SUM(K213:K213)</f>
        <v>3804459666.1560702</v>
      </c>
      <c r="L214" s="42"/>
      <c r="M214" s="93"/>
      <c r="N214" s="93"/>
      <c r="O214" s="93">
        <f>SUM(O213:O213)</f>
        <v>9</v>
      </c>
      <c r="P214" s="93"/>
      <c r="Q214" s="93"/>
      <c r="R214" s="121">
        <f t="shared" si="109"/>
        <v>-6.8869784758062838E-2</v>
      </c>
      <c r="S214" s="93"/>
      <c r="T214" s="93"/>
      <c r="U214" s="93"/>
      <c r="V214" s="93"/>
    </row>
    <row r="215" spans="1:22" ht="6" customHeight="1">
      <c r="A215" s="38"/>
      <c r="B215" s="46"/>
      <c r="C215" s="7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39"/>
    </row>
    <row r="216" spans="1:22" ht="15.6">
      <c r="A216" s="183" t="s">
        <v>256</v>
      </c>
      <c r="B216" s="183"/>
      <c r="C216" s="183"/>
      <c r="D216" s="183"/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</row>
    <row r="217" spans="1:22">
      <c r="A217" s="166">
        <v>1</v>
      </c>
      <c r="B217" s="167" t="s">
        <v>257</v>
      </c>
      <c r="C217" s="168" t="s">
        <v>258</v>
      </c>
      <c r="D217" s="31">
        <v>117431274879</v>
      </c>
      <c r="E217" s="32">
        <f>(D217/$D$219)</f>
        <v>0.8889077110963628</v>
      </c>
      <c r="F217" s="63">
        <v>111.28</v>
      </c>
      <c r="G217" s="63">
        <v>111.28</v>
      </c>
      <c r="H217" s="34">
        <v>0</v>
      </c>
      <c r="I217" s="53">
        <v>0.23899999999999999</v>
      </c>
      <c r="J217" s="53">
        <v>0.23899999999999999</v>
      </c>
      <c r="K217" s="31">
        <v>117431274879</v>
      </c>
      <c r="L217" s="32">
        <f>(K217/$K$219)</f>
        <v>0.8873462868905484</v>
      </c>
      <c r="M217" s="63">
        <v>111.28</v>
      </c>
      <c r="N217" s="63">
        <v>111.28</v>
      </c>
      <c r="O217" s="34">
        <v>0</v>
      </c>
      <c r="P217" s="53">
        <v>0.23899999999999999</v>
      </c>
      <c r="Q217" s="53">
        <v>0.23899999999999999</v>
      </c>
      <c r="R217" s="60">
        <f>((K217-D217)/D217)</f>
        <v>0</v>
      </c>
      <c r="S217" s="60">
        <f>((N217-G217)/G217)</f>
        <v>0</v>
      </c>
      <c r="T217" s="60" t="e">
        <f>((O217-H217)/H217)</f>
        <v>#DIV/0!</v>
      </c>
      <c r="U217" s="60">
        <f>P217-I217</f>
        <v>0</v>
      </c>
      <c r="V217" s="61">
        <f>Q217-J217</f>
        <v>0</v>
      </c>
    </row>
    <row r="218" spans="1:22">
      <c r="A218" s="166">
        <v>2</v>
      </c>
      <c r="B218" s="167" t="s">
        <v>259</v>
      </c>
      <c r="C218" s="168" t="s">
        <v>52</v>
      </c>
      <c r="D218" s="31">
        <v>14676111988.15</v>
      </c>
      <c r="E218" s="32">
        <f>(D218/$D$219)</f>
        <v>0.11109228890363725</v>
      </c>
      <c r="F218" s="94">
        <v>1000000</v>
      </c>
      <c r="G218" s="94">
        <v>1000000</v>
      </c>
      <c r="H218" s="34">
        <v>26</v>
      </c>
      <c r="I218" s="53">
        <v>0.19570000000000001</v>
      </c>
      <c r="J218" s="53">
        <v>0.19570000000000001</v>
      </c>
      <c r="K218" s="31">
        <v>14908575542.309999</v>
      </c>
      <c r="L218" s="32">
        <f>(K218/$K$219)</f>
        <v>0.11265371310945164</v>
      </c>
      <c r="M218" s="94">
        <v>1000000</v>
      </c>
      <c r="N218" s="94">
        <v>1000000</v>
      </c>
      <c r="O218" s="34">
        <v>26</v>
      </c>
      <c r="P218" s="53">
        <v>0.22559999999999999</v>
      </c>
      <c r="Q218" s="53">
        <v>0.22559999999999999</v>
      </c>
      <c r="R218" s="60">
        <f>((K218-D218)/D218)</f>
        <v>1.5839587102340114E-2</v>
      </c>
      <c r="S218" s="60">
        <f>((N218-G218)/G218)</f>
        <v>0</v>
      </c>
      <c r="T218" s="60">
        <f>((O218-H218)/H218)</f>
        <v>0</v>
      </c>
      <c r="U218" s="60">
        <f>P218-I218</f>
        <v>2.9899999999999982E-2</v>
      </c>
      <c r="V218" s="61">
        <f>Q218-J218</f>
        <v>2.9899999999999982E-2</v>
      </c>
    </row>
    <row r="219" spans="1:22">
      <c r="A219" s="88"/>
      <c r="B219" s="88"/>
      <c r="C219" s="89" t="s">
        <v>260</v>
      </c>
      <c r="D219" s="93">
        <f>SUM(D217:D218)</f>
        <v>132107386867.14999</v>
      </c>
      <c r="E219" s="95"/>
      <c r="F219" s="96"/>
      <c r="G219" s="96"/>
      <c r="H219" s="93">
        <f>SUM(H217:H218)</f>
        <v>26</v>
      </c>
      <c r="I219" s="116"/>
      <c r="J219" s="116"/>
      <c r="K219" s="93">
        <f>SUM(K217:K218)</f>
        <v>132339850421.31</v>
      </c>
      <c r="L219" s="95"/>
      <c r="M219" s="96"/>
      <c r="N219" s="96"/>
      <c r="O219" s="93">
        <f>SUM(O217:O218)</f>
        <v>26</v>
      </c>
      <c r="P219" s="116"/>
      <c r="Q219" s="93"/>
      <c r="R219" s="121">
        <f>((K219-D219)/D219)</f>
        <v>1.7596559864875229E-3</v>
      </c>
      <c r="S219" s="122"/>
      <c r="T219" s="122"/>
      <c r="U219" s="121"/>
      <c r="V219" s="123"/>
    </row>
    <row r="220" spans="1:22" ht="4.5" customHeight="1">
      <c r="A220" s="38"/>
      <c r="B220" s="186"/>
      <c r="C220" s="186"/>
      <c r="D220" s="186"/>
      <c r="E220" s="186"/>
      <c r="F220" s="186"/>
      <c r="G220" s="186"/>
      <c r="H220" s="186"/>
      <c r="I220" s="186"/>
      <c r="J220" s="186"/>
      <c r="K220" s="186"/>
      <c r="L220" s="186"/>
      <c r="M220" s="186"/>
      <c r="N220" s="186"/>
      <c r="O220" s="186"/>
      <c r="P220" s="186"/>
      <c r="Q220" s="186"/>
      <c r="R220" s="186"/>
      <c r="S220" s="186"/>
      <c r="T220" s="186"/>
      <c r="U220" s="186"/>
      <c r="V220" s="186"/>
    </row>
    <row r="221" spans="1:22" ht="15.6">
      <c r="A221" s="183" t="s">
        <v>261</v>
      </c>
      <c r="B221" s="183"/>
      <c r="C221" s="183"/>
      <c r="D221" s="183"/>
      <c r="E221" s="183"/>
      <c r="F221" s="183"/>
      <c r="G221" s="183"/>
      <c r="H221" s="183"/>
      <c r="I221" s="183"/>
      <c r="J221" s="183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</row>
    <row r="222" spans="1:22">
      <c r="A222" s="166">
        <v>1</v>
      </c>
      <c r="B222" s="167" t="s">
        <v>262</v>
      </c>
      <c r="C222" s="168" t="s">
        <v>83</v>
      </c>
      <c r="D222" s="97">
        <v>967439875.82368279</v>
      </c>
      <c r="E222" s="98">
        <f t="shared" ref="E222:E233" si="114">(D222/$D$234)</f>
        <v>7.4840734606815854E-2</v>
      </c>
      <c r="F222" s="94">
        <v>227.98158968391252</v>
      </c>
      <c r="G222" s="94">
        <v>230.86595853658537</v>
      </c>
      <c r="H222" s="99">
        <v>61</v>
      </c>
      <c r="I222" s="55">
        <v>2.9963455537076002E-2</v>
      </c>
      <c r="J222" s="55">
        <v>-5.944754974403943E-3</v>
      </c>
      <c r="K222" s="97">
        <v>980574882.33999801</v>
      </c>
      <c r="L222" s="98">
        <f t="shared" ref="L222:L233" si="115">(K222/$K$234)</f>
        <v>7.4625578080377578E-2</v>
      </c>
      <c r="M222" s="94">
        <v>231.08</v>
      </c>
      <c r="N222" s="94">
        <v>234.07</v>
      </c>
      <c r="O222" s="99">
        <v>61</v>
      </c>
      <c r="P222" s="55">
        <v>1.3590616331710548E-2</v>
      </c>
      <c r="Q222" s="55">
        <v>7.5650684732633255E-3</v>
      </c>
      <c r="R222" s="60">
        <f>((K222-D222)/D222)</f>
        <v>1.3577077857300451E-2</v>
      </c>
      <c r="S222" s="60">
        <f>((N222-G222)/G222)</f>
        <v>1.3878362508376828E-2</v>
      </c>
      <c r="T222" s="60">
        <f>((O222-H222)/H222)</f>
        <v>0</v>
      </c>
      <c r="U222" s="60">
        <f>P222-I222</f>
        <v>-1.6372839205365454E-2</v>
      </c>
      <c r="V222" s="61">
        <f>Q222-J222</f>
        <v>1.3509823447667269E-2</v>
      </c>
    </row>
    <row r="223" spans="1:22">
      <c r="A223" s="166">
        <v>2</v>
      </c>
      <c r="B223" s="167" t="s">
        <v>263</v>
      </c>
      <c r="C223" s="168" t="s">
        <v>235</v>
      </c>
      <c r="D223" s="97">
        <v>1078552250.6800001</v>
      </c>
      <c r="E223" s="98">
        <f t="shared" si="114"/>
        <v>8.3436340355518973E-2</v>
      </c>
      <c r="F223" s="94">
        <v>30.68</v>
      </c>
      <c r="G223" s="94">
        <v>33.909999999999997</v>
      </c>
      <c r="H223" s="99">
        <v>211</v>
      </c>
      <c r="I223" s="55">
        <v>-2.6800000000000001E-2</v>
      </c>
      <c r="J223" s="55">
        <v>4.0000000000000002E-4</v>
      </c>
      <c r="K223" s="97">
        <v>1082671305.03</v>
      </c>
      <c r="L223" s="98">
        <f t="shared" si="115"/>
        <v>8.2395514574160014E-2</v>
      </c>
      <c r="M223" s="94">
        <v>30.79</v>
      </c>
      <c r="N223" s="94">
        <v>34.04</v>
      </c>
      <c r="O223" s="99">
        <v>211</v>
      </c>
      <c r="P223" s="55">
        <v>3.8E-3</v>
      </c>
      <c r="Q223" s="55">
        <v>4.1999999999999997E-3</v>
      </c>
      <c r="R223" s="60">
        <f t="shared" ref="R223:R234" si="116">((K223-D223)/D223)</f>
        <v>3.8190586940993767E-3</v>
      </c>
      <c r="S223" s="60">
        <f t="shared" ref="S223:S234" si="117">((N223-G223)/G223)</f>
        <v>3.8336773813035263E-3</v>
      </c>
      <c r="T223" s="60">
        <f t="shared" ref="T223:T234" si="118">((O223-H223)/H223)</f>
        <v>0</v>
      </c>
      <c r="U223" s="60">
        <f t="shared" ref="U223:U234" si="119">P223-I223</f>
        <v>3.0600000000000002E-2</v>
      </c>
      <c r="V223" s="61">
        <f t="shared" ref="V223:V234" si="120">Q223-J223</f>
        <v>3.7999999999999996E-3</v>
      </c>
    </row>
    <row r="224" spans="1:22">
      <c r="A224" s="166">
        <v>3</v>
      </c>
      <c r="B224" s="167" t="s">
        <v>264</v>
      </c>
      <c r="C224" s="168" t="s">
        <v>43</v>
      </c>
      <c r="D224" s="97">
        <v>393137099.95999998</v>
      </c>
      <c r="E224" s="98">
        <f t="shared" si="114"/>
        <v>3.0412917740390844E-2</v>
      </c>
      <c r="F224" s="94">
        <v>29.332255</v>
      </c>
      <c r="G224" s="94">
        <v>29.643622000000001</v>
      </c>
      <c r="H224" s="99">
        <v>167</v>
      </c>
      <c r="I224" s="55">
        <v>2.1795439537976913E-2</v>
      </c>
      <c r="J224" s="55">
        <v>2.5693521393112428E-2</v>
      </c>
      <c r="K224" s="97">
        <v>410959469.33999997</v>
      </c>
      <c r="L224" s="98">
        <f t="shared" si="115"/>
        <v>3.1275620576694578E-2</v>
      </c>
      <c r="M224" s="94">
        <v>30.661995000000001</v>
      </c>
      <c r="N224" s="94">
        <v>30.979492</v>
      </c>
      <c r="O224" s="99">
        <v>167</v>
      </c>
      <c r="P224" s="55">
        <v>4.5333725516653933E-2</v>
      </c>
      <c r="Q224" s="55">
        <v>7.2192029956158033E-2</v>
      </c>
      <c r="R224" s="60">
        <f t="shared" si="116"/>
        <v>4.5333725516653975E-2</v>
      </c>
      <c r="S224" s="60">
        <f t="shared" si="117"/>
        <v>4.5064331207569704E-2</v>
      </c>
      <c r="T224" s="60">
        <f t="shared" si="118"/>
        <v>0</v>
      </c>
      <c r="U224" s="60">
        <f t="shared" si="119"/>
        <v>2.353828597867702E-2</v>
      </c>
      <c r="V224" s="61">
        <f t="shared" si="120"/>
        <v>4.6498508563045604E-2</v>
      </c>
    </row>
    <row r="225" spans="1:22">
      <c r="A225" s="166">
        <v>4</v>
      </c>
      <c r="B225" s="167" t="s">
        <v>265</v>
      </c>
      <c r="C225" s="168" t="s">
        <v>43</v>
      </c>
      <c r="D225" s="97">
        <v>891014519.67999995</v>
      </c>
      <c r="E225" s="98">
        <f t="shared" si="114"/>
        <v>6.8928501775281037E-2</v>
      </c>
      <c r="F225" s="94">
        <v>66.860393000000002</v>
      </c>
      <c r="G225" s="94">
        <v>67.301024999999996</v>
      </c>
      <c r="H225" s="99">
        <v>99</v>
      </c>
      <c r="I225" s="55">
        <v>5.5474443420902242E-2</v>
      </c>
      <c r="J225" s="55">
        <v>7.8718842336213957E-3</v>
      </c>
      <c r="K225" s="97">
        <v>911555179.09000003</v>
      </c>
      <c r="L225" s="98">
        <f t="shared" si="115"/>
        <v>6.9372909113703682E-2</v>
      </c>
      <c r="M225" s="94">
        <v>68.401732999999993</v>
      </c>
      <c r="N225" s="94">
        <v>68.856224999999995</v>
      </c>
      <c r="O225" s="99">
        <v>99</v>
      </c>
      <c r="P225" s="55">
        <v>2.3053114125880958E-2</v>
      </c>
      <c r="Q225" s="55">
        <v>3.1106469805125769E-2</v>
      </c>
      <c r="R225" s="60">
        <f t="shared" si="116"/>
        <v>2.3053114125881007E-2</v>
      </c>
      <c r="S225" s="60">
        <f t="shared" si="117"/>
        <v>2.3108117595534383E-2</v>
      </c>
      <c r="T225" s="60">
        <f t="shared" si="118"/>
        <v>0</v>
      </c>
      <c r="U225" s="60">
        <f t="shared" si="119"/>
        <v>-3.2421329295021284E-2</v>
      </c>
      <c r="V225" s="61">
        <f t="shared" si="120"/>
        <v>2.3234585571504374E-2</v>
      </c>
    </row>
    <row r="226" spans="1:22">
      <c r="A226" s="166">
        <v>5</v>
      </c>
      <c r="B226" s="167" t="s">
        <v>266</v>
      </c>
      <c r="C226" s="168" t="s">
        <v>267</v>
      </c>
      <c r="D226" s="97">
        <v>1318384379.3199999</v>
      </c>
      <c r="E226" s="98">
        <f t="shared" si="114"/>
        <v>0.10198965114855602</v>
      </c>
      <c r="F226" s="94">
        <v>37300</v>
      </c>
      <c r="G226" s="94">
        <v>42000</v>
      </c>
      <c r="H226" s="99">
        <v>219</v>
      </c>
      <c r="I226" s="55">
        <v>0.01</v>
      </c>
      <c r="J226" s="55">
        <v>0.05</v>
      </c>
      <c r="K226" s="97">
        <v>1332282703.9200001</v>
      </c>
      <c r="L226" s="98">
        <f t="shared" si="115"/>
        <v>0.10139191686132287</v>
      </c>
      <c r="M226" s="94">
        <v>37900</v>
      </c>
      <c r="N226" s="94">
        <v>42900</v>
      </c>
      <c r="O226" s="99">
        <v>219</v>
      </c>
      <c r="P226" s="55">
        <v>0.01</v>
      </c>
      <c r="Q226" s="55">
        <v>0.06</v>
      </c>
      <c r="R226" s="60">
        <f t="shared" si="116"/>
        <v>1.0541936644583623E-2</v>
      </c>
      <c r="S226" s="60">
        <f t="shared" si="117"/>
        <v>2.1428571428571429E-2</v>
      </c>
      <c r="T226" s="60">
        <f t="shared" si="118"/>
        <v>0</v>
      </c>
      <c r="U226" s="60">
        <f t="shared" si="119"/>
        <v>0</v>
      </c>
      <c r="V226" s="61">
        <f t="shared" si="120"/>
        <v>9.999999999999995E-3</v>
      </c>
    </row>
    <row r="227" spans="1:22">
      <c r="A227" s="166">
        <v>6</v>
      </c>
      <c r="B227" s="167" t="s">
        <v>268</v>
      </c>
      <c r="C227" s="168" t="s">
        <v>269</v>
      </c>
      <c r="D227" s="97">
        <v>1001179087.4</v>
      </c>
      <c r="E227" s="98">
        <f t="shared" si="114"/>
        <v>7.7450785569700253E-2</v>
      </c>
      <c r="F227" s="94">
        <v>700</v>
      </c>
      <c r="G227" s="94">
        <v>700</v>
      </c>
      <c r="H227" s="99">
        <v>132</v>
      </c>
      <c r="I227" s="55">
        <v>-2.12E-2</v>
      </c>
      <c r="J227" s="55">
        <v>3.5499999999999997E-2</v>
      </c>
      <c r="K227" s="97">
        <v>1023825928.79</v>
      </c>
      <c r="L227" s="98">
        <f t="shared" si="115"/>
        <v>7.7917151627734188E-2</v>
      </c>
      <c r="M227" s="94">
        <v>770</v>
      </c>
      <c r="N227" s="94">
        <v>770</v>
      </c>
      <c r="O227" s="99">
        <v>132</v>
      </c>
      <c r="P227" s="55">
        <v>2.2599999999999999E-2</v>
      </c>
      <c r="Q227" s="55">
        <v>5.8400000000000001E-2</v>
      </c>
      <c r="R227" s="60">
        <f t="shared" si="116"/>
        <v>2.2620170232293235E-2</v>
      </c>
      <c r="S227" s="60">
        <f t="shared" si="117"/>
        <v>0.1</v>
      </c>
      <c r="T227" s="60">
        <f t="shared" si="118"/>
        <v>0</v>
      </c>
      <c r="U227" s="60">
        <f t="shared" si="119"/>
        <v>4.3799999999999999E-2</v>
      </c>
      <c r="V227" s="61">
        <f t="shared" si="120"/>
        <v>2.2900000000000004E-2</v>
      </c>
    </row>
    <row r="228" spans="1:22">
      <c r="A228" s="166">
        <v>7</v>
      </c>
      <c r="B228" s="167" t="s">
        <v>270</v>
      </c>
      <c r="C228" s="168" t="s">
        <v>269</v>
      </c>
      <c r="D228" s="97">
        <v>840018960.99000001</v>
      </c>
      <c r="E228" s="98">
        <f t="shared" si="114"/>
        <v>6.4983507187586206E-2</v>
      </c>
      <c r="F228" s="94">
        <v>449</v>
      </c>
      <c r="G228" s="94">
        <v>449</v>
      </c>
      <c r="H228" s="99">
        <v>613</v>
      </c>
      <c r="I228" s="55">
        <v>-3.1800000000000002E-2</v>
      </c>
      <c r="J228" s="55">
        <v>3.7000000000000002E-3</v>
      </c>
      <c r="K228" s="97">
        <v>852499579.60000002</v>
      </c>
      <c r="L228" s="98">
        <f t="shared" si="115"/>
        <v>6.4878547356947577E-2</v>
      </c>
      <c r="M228" s="94">
        <v>448.99</v>
      </c>
      <c r="N228" s="94">
        <v>448.99</v>
      </c>
      <c r="O228" s="99">
        <v>613</v>
      </c>
      <c r="P228" s="55">
        <v>1.49E-2</v>
      </c>
      <c r="Q228" s="55">
        <v>1.8499999999999999E-2</v>
      </c>
      <c r="R228" s="60">
        <f t="shared" si="116"/>
        <v>1.4857543924116957E-2</v>
      </c>
      <c r="S228" s="60">
        <f t="shared" si="117"/>
        <v>-2.227171492202874E-5</v>
      </c>
      <c r="T228" s="60">
        <f t="shared" si="118"/>
        <v>0</v>
      </c>
      <c r="U228" s="60">
        <f t="shared" si="119"/>
        <v>4.6700000000000005E-2</v>
      </c>
      <c r="V228" s="61">
        <f t="shared" si="120"/>
        <v>1.4799999999999999E-2</v>
      </c>
    </row>
    <row r="229" spans="1:22">
      <c r="A229" s="166">
        <v>8</v>
      </c>
      <c r="B229" s="167" t="s">
        <v>271</v>
      </c>
      <c r="C229" s="168" t="s">
        <v>272</v>
      </c>
      <c r="D229" s="97">
        <v>61149351.890000001</v>
      </c>
      <c r="E229" s="98">
        <f t="shared" si="114"/>
        <v>4.7304876825362014E-3</v>
      </c>
      <c r="F229" s="94">
        <v>17.559999999999999</v>
      </c>
      <c r="G229" s="94">
        <v>17.66</v>
      </c>
      <c r="H229" s="99">
        <v>65</v>
      </c>
      <c r="I229" s="55">
        <v>0</v>
      </c>
      <c r="J229" s="55">
        <v>0.51139999999999997</v>
      </c>
      <c r="K229" s="97">
        <v>60282520.5</v>
      </c>
      <c r="L229" s="98">
        <f t="shared" si="115"/>
        <v>4.587735237230859E-3</v>
      </c>
      <c r="M229" s="94">
        <v>17.34</v>
      </c>
      <c r="N229" s="94">
        <v>17.440000000000001</v>
      </c>
      <c r="O229" s="99">
        <v>67</v>
      </c>
      <c r="P229" s="55">
        <v>0</v>
      </c>
      <c r="Q229" s="55">
        <v>0.51139999999999997</v>
      </c>
      <c r="R229" s="60">
        <f t="shared" si="116"/>
        <v>-1.4175643129616833E-2</v>
      </c>
      <c r="S229" s="60">
        <f t="shared" si="117"/>
        <v>-1.2457531143827794E-2</v>
      </c>
      <c r="T229" s="60">
        <f t="shared" si="118"/>
        <v>3.0769230769230771E-2</v>
      </c>
      <c r="U229" s="60">
        <f t="shared" si="119"/>
        <v>0</v>
      </c>
      <c r="V229" s="61">
        <f t="shared" si="120"/>
        <v>0</v>
      </c>
    </row>
    <row r="230" spans="1:22">
      <c r="A230" s="166">
        <v>9</v>
      </c>
      <c r="B230" s="167" t="s">
        <v>273</v>
      </c>
      <c r="C230" s="168" t="s">
        <v>272</v>
      </c>
      <c r="D230" s="100">
        <v>711213745.45000005</v>
      </c>
      <c r="E230" s="98">
        <f t="shared" si="114"/>
        <v>5.5019190858372036E-2</v>
      </c>
      <c r="F230" s="94">
        <v>11.1</v>
      </c>
      <c r="G230" s="94">
        <v>11.2</v>
      </c>
      <c r="H230" s="99">
        <v>110</v>
      </c>
      <c r="I230" s="55">
        <v>-8.9999999999999993E-3</v>
      </c>
      <c r="J230" s="55">
        <v>0.24579999999999999</v>
      </c>
      <c r="K230" s="100">
        <v>738940102.37</v>
      </c>
      <c r="L230" s="98">
        <f t="shared" si="115"/>
        <v>5.6236227644891307E-2</v>
      </c>
      <c r="M230" s="94">
        <v>11.56</v>
      </c>
      <c r="N230" s="94">
        <v>11.66</v>
      </c>
      <c r="O230" s="99">
        <v>112</v>
      </c>
      <c r="P230" s="55">
        <v>0</v>
      </c>
      <c r="Q230" s="55">
        <v>0.24579999999999999</v>
      </c>
      <c r="R230" s="60">
        <f t="shared" si="116"/>
        <v>3.8984562794771215E-2</v>
      </c>
      <c r="S230" s="60">
        <f t="shared" si="117"/>
        <v>4.1071428571428648E-2</v>
      </c>
      <c r="T230" s="60">
        <f t="shared" si="118"/>
        <v>1.8181818181818181E-2</v>
      </c>
      <c r="U230" s="60">
        <f t="shared" si="119"/>
        <v>8.9999999999999993E-3</v>
      </c>
      <c r="V230" s="61">
        <f t="shared" si="120"/>
        <v>0</v>
      </c>
    </row>
    <row r="231" spans="1:22" ht="15" customHeight="1">
      <c r="A231" s="166">
        <v>10</v>
      </c>
      <c r="B231" s="167" t="s">
        <v>274</v>
      </c>
      <c r="C231" s="168" t="s">
        <v>272</v>
      </c>
      <c r="D231" s="97">
        <v>94089797.280000001</v>
      </c>
      <c r="E231" s="98">
        <f t="shared" si="114"/>
        <v>7.2787464352202834E-3</v>
      </c>
      <c r="F231" s="94">
        <v>128.58000000000001</v>
      </c>
      <c r="G231" s="94">
        <v>130.58000000000001</v>
      </c>
      <c r="H231" s="99">
        <v>294</v>
      </c>
      <c r="I231" s="55">
        <v>-6.9199999999999998E-2</v>
      </c>
      <c r="J231" s="55">
        <v>0.63570000000000004</v>
      </c>
      <c r="K231" s="97">
        <v>92714432.599999994</v>
      </c>
      <c r="L231" s="98">
        <f t="shared" si="115"/>
        <v>7.0559304075363842E-3</v>
      </c>
      <c r="M231" s="94">
        <v>126.69</v>
      </c>
      <c r="N231" s="94">
        <v>128.69</v>
      </c>
      <c r="O231" s="99">
        <v>294</v>
      </c>
      <c r="P231" s="55">
        <v>6.7000000000000002E-3</v>
      </c>
      <c r="Q231" s="55">
        <v>0.64670000000000005</v>
      </c>
      <c r="R231" s="60">
        <f t="shared" si="116"/>
        <v>-1.4617575122487363E-2</v>
      </c>
      <c r="S231" s="60">
        <f t="shared" si="117"/>
        <v>-1.4473885740542309E-2</v>
      </c>
      <c r="T231" s="60">
        <f t="shared" si="118"/>
        <v>0</v>
      </c>
      <c r="U231" s="60">
        <f t="shared" si="119"/>
        <v>7.5899999999999995E-2</v>
      </c>
      <c r="V231" s="61">
        <f t="shared" si="120"/>
        <v>1.100000000000001E-2</v>
      </c>
    </row>
    <row r="232" spans="1:22">
      <c r="A232" s="166">
        <v>11</v>
      </c>
      <c r="B232" s="167" t="s">
        <v>275</v>
      </c>
      <c r="C232" s="168" t="s">
        <v>272</v>
      </c>
      <c r="D232" s="97">
        <v>5513564811.5699997</v>
      </c>
      <c r="E232" s="98">
        <f t="shared" si="114"/>
        <v>0.42652701331838949</v>
      </c>
      <c r="F232" s="94">
        <v>38.11</v>
      </c>
      <c r="G232" s="94">
        <v>38.31</v>
      </c>
      <c r="H232" s="99">
        <v>283</v>
      </c>
      <c r="I232" s="55">
        <v>-6.0999999999999999E-2</v>
      </c>
      <c r="J232" s="55">
        <v>0.4259</v>
      </c>
      <c r="K232" s="97">
        <v>5596782108.5900002</v>
      </c>
      <c r="L232" s="98">
        <f t="shared" si="115"/>
        <v>0.42593697612032611</v>
      </c>
      <c r="M232" s="94">
        <v>38.700000000000003</v>
      </c>
      <c r="N232" s="94">
        <v>38.9</v>
      </c>
      <c r="O232" s="99">
        <v>283</v>
      </c>
      <c r="P232" s="55">
        <v>0</v>
      </c>
      <c r="Q232" s="55">
        <v>0.4259</v>
      </c>
      <c r="R232" s="60">
        <f t="shared" si="116"/>
        <v>1.5093192855078482E-2</v>
      </c>
      <c r="S232" s="60">
        <f t="shared" si="117"/>
        <v>1.5400678673975366E-2</v>
      </c>
      <c r="T232" s="60">
        <f t="shared" si="118"/>
        <v>0</v>
      </c>
      <c r="U232" s="60">
        <f t="shared" si="119"/>
        <v>6.0999999999999999E-2</v>
      </c>
      <c r="V232" s="61">
        <f t="shared" si="120"/>
        <v>0</v>
      </c>
    </row>
    <row r="233" spans="1:22">
      <c r="A233" s="166">
        <v>12</v>
      </c>
      <c r="B233" s="167" t="s">
        <v>276</v>
      </c>
      <c r="C233" s="168" t="s">
        <v>272</v>
      </c>
      <c r="D233" s="100">
        <v>56904701.189999998</v>
      </c>
      <c r="E233" s="98">
        <f t="shared" si="114"/>
        <v>4.4021233216327733E-3</v>
      </c>
      <c r="F233" s="94">
        <v>32.71</v>
      </c>
      <c r="G233" s="94">
        <v>32.909999999999997</v>
      </c>
      <c r="H233" s="99">
        <v>63</v>
      </c>
      <c r="I233" s="55">
        <v>0</v>
      </c>
      <c r="J233" s="55">
        <v>0.50939999999999996</v>
      </c>
      <c r="K233" s="100">
        <v>56841923.899999999</v>
      </c>
      <c r="L233" s="98">
        <f t="shared" si="115"/>
        <v>4.3258923990748682E-3</v>
      </c>
      <c r="M233" s="94">
        <v>32.75</v>
      </c>
      <c r="N233" s="94">
        <v>32.950000000000003</v>
      </c>
      <c r="O233" s="99">
        <v>64</v>
      </c>
      <c r="P233" s="55">
        <v>2.5000000000000001E-2</v>
      </c>
      <c r="Q233" s="55">
        <v>0.54720000000000002</v>
      </c>
      <c r="R233" s="60">
        <f t="shared" si="116"/>
        <v>-1.1032004155577767E-3</v>
      </c>
      <c r="S233" s="60">
        <f t="shared" si="117"/>
        <v>1.2154360376787072E-3</v>
      </c>
      <c r="T233" s="60">
        <f t="shared" si="118"/>
        <v>1.5873015873015872E-2</v>
      </c>
      <c r="U233" s="60">
        <f t="shared" si="119"/>
        <v>2.5000000000000001E-2</v>
      </c>
      <c r="V233" s="61">
        <f t="shared" si="120"/>
        <v>3.7800000000000056E-2</v>
      </c>
    </row>
    <row r="234" spans="1:22">
      <c r="A234" s="134"/>
      <c r="B234" s="134"/>
      <c r="C234" s="135" t="s">
        <v>277</v>
      </c>
      <c r="D234" s="93">
        <f>SUM(D222:D233)</f>
        <v>12926648581.233683</v>
      </c>
      <c r="E234" s="95"/>
      <c r="F234" s="95"/>
      <c r="G234" s="96"/>
      <c r="H234" s="93">
        <f>SUM(H222:H233)</f>
        <v>2317</v>
      </c>
      <c r="I234" s="116"/>
      <c r="J234" s="116"/>
      <c r="K234" s="93">
        <f>SUM(K222:K233)</f>
        <v>13139930136.069998</v>
      </c>
      <c r="L234" s="95"/>
      <c r="M234" s="95"/>
      <c r="N234" s="96"/>
      <c r="O234" s="93">
        <f>SUM(O222:O233)</f>
        <v>2322</v>
      </c>
      <c r="P234" s="116"/>
      <c r="Q234" s="116"/>
      <c r="R234" s="60">
        <f t="shared" si="116"/>
        <v>1.6499369770595261E-2</v>
      </c>
      <c r="S234" s="60" t="e">
        <f t="shared" si="117"/>
        <v>#DIV/0!</v>
      </c>
      <c r="T234" s="60">
        <f t="shared" si="118"/>
        <v>2.1579628830384117E-3</v>
      </c>
      <c r="U234" s="60">
        <f t="shared" si="119"/>
        <v>0</v>
      </c>
      <c r="V234" s="61">
        <f t="shared" si="120"/>
        <v>0</v>
      </c>
    </row>
    <row r="235" spans="1:22">
      <c r="A235" s="101"/>
      <c r="B235" s="101"/>
      <c r="C235" s="102" t="s">
        <v>278</v>
      </c>
      <c r="D235" s="103">
        <f>SUM(D210,D214,D219,D234)</f>
        <v>4168825516653.0518</v>
      </c>
      <c r="E235" s="104"/>
      <c r="F235" s="104"/>
      <c r="G235" s="105"/>
      <c r="H235" s="103">
        <f>SUM(H210,H214,H219,H234)</f>
        <v>816973</v>
      </c>
      <c r="I235" s="117"/>
      <c r="J235" s="117"/>
      <c r="K235" s="103">
        <f>SUM(K210,K214,K219,K234)</f>
        <v>4268674003311.6929</v>
      </c>
      <c r="L235" s="104"/>
      <c r="M235" s="104"/>
      <c r="N235" s="103"/>
      <c r="O235" s="103">
        <f>SUM(O210,O214,O219,O234)</f>
        <v>822326</v>
      </c>
      <c r="P235" s="118"/>
      <c r="Q235" s="103"/>
      <c r="R235" s="124"/>
      <c r="S235" s="125"/>
      <c r="T235" s="125"/>
      <c r="U235" s="126"/>
      <c r="V235" s="126"/>
    </row>
    <row r="236" spans="1:22">
      <c r="A236" s="106" t="s">
        <v>279</v>
      </c>
      <c r="B236" s="132" t="s">
        <v>302</v>
      </c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</row>
    <row r="237" spans="1:22">
      <c r="B237" s="131"/>
    </row>
    <row r="238" spans="1:22">
      <c r="B238" s="136"/>
      <c r="C238" s="108"/>
      <c r="D238" s="109"/>
      <c r="K238" s="109"/>
    </row>
    <row r="239" spans="1:22" ht="15">
      <c r="B239" s="110"/>
      <c r="C239" s="111"/>
      <c r="D239" s="112"/>
      <c r="F239" s="113"/>
      <c r="G239" s="113"/>
      <c r="I239" s="119"/>
      <c r="J239" s="120"/>
    </row>
    <row r="242" spans="2:2">
      <c r="B242" s="108"/>
    </row>
  </sheetData>
  <sheetProtection algorithmName="SHA-512" hashValue="F2unSz+0wjrz3TXofgZuCwIJ2LBgrHpKa4qnAUfDwrSokzuI3XDtUs+8VJOjLmR8nD26SJFXcIrHGOlCDO0s/w==" saltValue="V8+aMyokGsI3ifteuqySjw==" spinCount="100000" sheet="1" objects="1" scenarios="1"/>
  <sortState ref="A150:C177">
    <sortCondition descending="1" ref="A149"/>
  </sortState>
  <mergeCells count="34">
    <mergeCell ref="A212:V212"/>
    <mergeCell ref="A216:V216"/>
    <mergeCell ref="B220:V220"/>
    <mergeCell ref="A221:V221"/>
    <mergeCell ref="B191:V191"/>
    <mergeCell ref="A192:V192"/>
    <mergeCell ref="B206:V206"/>
    <mergeCell ref="A207:V207"/>
    <mergeCell ref="B211:U211"/>
    <mergeCell ref="B180:V180"/>
    <mergeCell ref="A181:V181"/>
    <mergeCell ref="B186:V186"/>
    <mergeCell ref="A187:V187"/>
    <mergeCell ref="A188:V188"/>
    <mergeCell ref="A125:V125"/>
    <mergeCell ref="B141:V141"/>
    <mergeCell ref="A142:V142"/>
    <mergeCell ref="B149:V149"/>
    <mergeCell ref="A150:V150"/>
    <mergeCell ref="A67:V67"/>
    <mergeCell ref="B105:V105"/>
    <mergeCell ref="A106:V106"/>
    <mergeCell ref="A107:V107"/>
    <mergeCell ref="B124:V124"/>
    <mergeCell ref="B4:V4"/>
    <mergeCell ref="A5:V5"/>
    <mergeCell ref="B25:V25"/>
    <mergeCell ref="A26:V26"/>
    <mergeCell ref="B66:V66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0 E90 E72 L46 E46 L32 E32" formula="1"/>
    <ignoredError sqref="S148 S24 T37 S65 S104 S140 S179 S185 S209 S234 T217:T218 R47:T47" evalError="1"/>
    <ignoredError sqref="P116:Q1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F7" sqref="F7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5">
      <c r="A1" s="138"/>
      <c r="B1" s="138"/>
      <c r="C1" s="138"/>
      <c r="D1" s="138"/>
      <c r="E1" s="19"/>
    </row>
    <row r="2" spans="1:5" ht="27.6">
      <c r="A2" s="139" t="s">
        <v>280</v>
      </c>
      <c r="B2" s="140" t="s">
        <v>299</v>
      </c>
      <c r="C2" s="140" t="s">
        <v>304</v>
      </c>
      <c r="D2" s="141"/>
      <c r="E2" s="19"/>
    </row>
    <row r="3" spans="1:5">
      <c r="A3" s="142" t="s">
        <v>17</v>
      </c>
      <c r="B3" s="143">
        <f t="shared" ref="B3:C10" si="0">B13</f>
        <v>33.055654590010001</v>
      </c>
      <c r="C3" s="143">
        <f t="shared" si="0"/>
        <v>33.667453981210002</v>
      </c>
      <c r="D3" s="141"/>
      <c r="E3" s="19"/>
    </row>
    <row r="4" spans="1:5" ht="17.25" customHeight="1">
      <c r="A4" s="139" t="s">
        <v>54</v>
      </c>
      <c r="B4" s="144">
        <f t="shared" si="0"/>
        <v>1833.4943338316871</v>
      </c>
      <c r="C4" s="144">
        <f t="shared" si="0"/>
        <v>1887.2726802340167</v>
      </c>
      <c r="D4" s="141"/>
      <c r="E4" s="19"/>
    </row>
    <row r="5" spans="1:5" ht="19.5" customHeight="1">
      <c r="A5" s="139" t="s">
        <v>281</v>
      </c>
      <c r="B5" s="143">
        <f t="shared" si="0"/>
        <v>199.57294490079062</v>
      </c>
      <c r="C5" s="143">
        <f t="shared" si="0"/>
        <v>193.29511705489386</v>
      </c>
      <c r="D5" s="141"/>
      <c r="E5" s="19"/>
    </row>
    <row r="6" spans="1:5">
      <c r="A6" s="139" t="s">
        <v>158</v>
      </c>
      <c r="B6" s="144">
        <f t="shared" si="0"/>
        <v>1738.4597624644448</v>
      </c>
      <c r="C6" s="144">
        <f t="shared" si="0"/>
        <v>1788.0254439223008</v>
      </c>
      <c r="D6" s="141"/>
      <c r="E6" s="19"/>
    </row>
    <row r="7" spans="1:5">
      <c r="A7" s="139" t="s">
        <v>282</v>
      </c>
      <c r="B7" s="143">
        <f t="shared" si="0"/>
        <v>100.84819703593321</v>
      </c>
      <c r="C7" s="143">
        <f t="shared" si="0"/>
        <v>100.88315171523095</v>
      </c>
      <c r="D7" s="141"/>
      <c r="E7" s="19"/>
    </row>
    <row r="8" spans="1:5">
      <c r="A8" s="139" t="s">
        <v>196</v>
      </c>
      <c r="B8" s="145">
        <f t="shared" si="0"/>
        <v>54.483397031599196</v>
      </c>
      <c r="C8" s="145">
        <f t="shared" si="0"/>
        <v>55.157132700650408</v>
      </c>
      <c r="D8" s="141"/>
      <c r="E8" s="19"/>
    </row>
    <row r="9" spans="1:5">
      <c r="A9" s="139" t="s">
        <v>227</v>
      </c>
      <c r="B9" s="143">
        <f t="shared" si="0"/>
        <v>6.02151531135</v>
      </c>
      <c r="C9" s="143">
        <f t="shared" si="0"/>
        <v>6.1473936605699997</v>
      </c>
      <c r="D9" s="141"/>
      <c r="E9" s="19"/>
    </row>
    <row r="10" spans="1:5">
      <c r="A10" s="139" t="s">
        <v>283</v>
      </c>
      <c r="B10" s="143">
        <f t="shared" si="0"/>
        <v>53.769824668250124</v>
      </c>
      <c r="C10" s="143">
        <f t="shared" si="0"/>
        <v>54.941389819284474</v>
      </c>
      <c r="D10" s="141"/>
      <c r="E10" s="19"/>
    </row>
    <row r="11" spans="1:5">
      <c r="A11" s="139"/>
      <c r="B11" s="143"/>
      <c r="C11" s="143"/>
      <c r="D11" s="141"/>
      <c r="E11" s="19"/>
    </row>
    <row r="12" spans="1:5">
      <c r="A12" s="138"/>
      <c r="B12" s="138"/>
      <c r="C12" s="138"/>
      <c r="D12" s="138"/>
      <c r="E12" s="19"/>
    </row>
    <row r="13" spans="1:5">
      <c r="A13" s="146" t="s">
        <v>17</v>
      </c>
      <c r="B13" s="147">
        <f>'Weekly Valuation'!D24/1000000000</f>
        <v>33.055654590010001</v>
      </c>
      <c r="C13" s="148">
        <f>'Weekly Valuation'!K24/1000000000</f>
        <v>33.667453981210002</v>
      </c>
      <c r="D13" s="138"/>
      <c r="E13" s="19"/>
    </row>
    <row r="14" spans="1:5">
      <c r="A14" s="149" t="s">
        <v>54</v>
      </c>
      <c r="B14" s="147">
        <f>'Weekly Valuation'!D65/1000000000</f>
        <v>1833.4943338316871</v>
      </c>
      <c r="C14" s="150">
        <f>'Weekly Valuation'!K65/1000000000</f>
        <v>1887.2726802340167</v>
      </c>
      <c r="D14" s="138"/>
      <c r="E14" s="19"/>
    </row>
    <row r="15" spans="1:5">
      <c r="A15" s="149" t="s">
        <v>281</v>
      </c>
      <c r="B15" s="147">
        <f>'Weekly Valuation'!D104/1000000000</f>
        <v>199.57294490079062</v>
      </c>
      <c r="C15" s="148">
        <f>'Weekly Valuation'!K104/1000000000</f>
        <v>193.29511705489386</v>
      </c>
      <c r="D15" s="138"/>
      <c r="E15" s="19"/>
    </row>
    <row r="16" spans="1:5">
      <c r="A16" s="149" t="s">
        <v>158</v>
      </c>
      <c r="B16" s="147">
        <f>'Weekly Valuation'!D140/1000000000</f>
        <v>1738.4597624644448</v>
      </c>
      <c r="C16" s="150">
        <f>'Weekly Valuation'!K140/1000000000</f>
        <v>1788.0254439223008</v>
      </c>
      <c r="D16" s="138"/>
      <c r="E16" s="19"/>
    </row>
    <row r="17" spans="1:5">
      <c r="A17" s="149" t="s">
        <v>282</v>
      </c>
      <c r="B17" s="147">
        <f>'Weekly Valuation'!D148/1000000000</f>
        <v>100.84819703593321</v>
      </c>
      <c r="C17" s="148">
        <f>'Weekly Valuation'!K148/1000000000</f>
        <v>100.88315171523095</v>
      </c>
      <c r="D17" s="138"/>
      <c r="E17" s="19"/>
    </row>
    <row r="18" spans="1:5">
      <c r="A18" s="149" t="s">
        <v>196</v>
      </c>
      <c r="B18" s="147">
        <f>'Weekly Valuation'!D179/1000000000</f>
        <v>54.483397031599196</v>
      </c>
      <c r="C18" s="151">
        <f>'Weekly Valuation'!K179/1000000000</f>
        <v>55.157132700650408</v>
      </c>
      <c r="D18" s="138"/>
      <c r="E18" s="19"/>
    </row>
    <row r="19" spans="1:5">
      <c r="A19" s="149" t="s">
        <v>227</v>
      </c>
      <c r="B19" s="147">
        <f>'Weekly Valuation'!D185/1000000000</f>
        <v>6.02151531135</v>
      </c>
      <c r="C19" s="148">
        <f>'Weekly Valuation'!K185/1000000000</f>
        <v>6.1473936605699997</v>
      </c>
      <c r="D19" s="138"/>
      <c r="E19" s="19"/>
    </row>
    <row r="20" spans="1:5">
      <c r="A20" s="149" t="s">
        <v>283</v>
      </c>
      <c r="B20" s="147">
        <f>'Weekly Valuation'!D209/1000000000</f>
        <v>53.769824668250124</v>
      </c>
      <c r="C20" s="148">
        <f>'Weekly Valuation'!K209/1000000000</f>
        <v>54.941389819284474</v>
      </c>
      <c r="D20" s="138"/>
      <c r="E20" s="19"/>
    </row>
    <row r="21" spans="1:5">
      <c r="A21" s="152"/>
      <c r="B21" s="138"/>
      <c r="C21" s="153"/>
      <c r="D21" s="138"/>
      <c r="E21" s="19"/>
    </row>
    <row r="22" spans="1:5">
      <c r="A22" s="152"/>
      <c r="B22" s="138"/>
      <c r="C22" s="154"/>
      <c r="D22" s="138"/>
      <c r="E22" s="19"/>
    </row>
    <row r="23" spans="1:5">
      <c r="A23" s="155"/>
      <c r="B23" s="156"/>
      <c r="C23" s="157"/>
      <c r="D23" s="19"/>
      <c r="E23" s="19"/>
    </row>
    <row r="24" spans="1:5">
      <c r="A24" s="155"/>
      <c r="B24" s="156"/>
      <c r="C24" s="156"/>
      <c r="D24" s="19"/>
      <c r="E24" s="19"/>
    </row>
    <row r="25" spans="1:5">
      <c r="A25" s="155"/>
      <c r="B25" s="156"/>
      <c r="C25" s="156"/>
      <c r="D25" s="19"/>
      <c r="E25" s="19"/>
    </row>
    <row r="26" spans="1:5">
      <c r="A26" s="21"/>
      <c r="B26" s="22"/>
      <c r="C26" s="22"/>
      <c r="D26" s="15"/>
      <c r="E26" s="15"/>
    </row>
    <row r="27" spans="1:5">
      <c r="A27" s="21"/>
      <c r="B27" s="22"/>
      <c r="C27" s="22"/>
      <c r="D27" s="15"/>
      <c r="E27" s="15"/>
    </row>
    <row r="28" spans="1:5">
      <c r="A28" s="15"/>
      <c r="B28" s="15"/>
      <c r="C28" s="15"/>
      <c r="D28" s="15"/>
      <c r="E28" s="15"/>
    </row>
    <row r="29" spans="1:5">
      <c r="A29" s="15"/>
      <c r="B29" s="15"/>
      <c r="C29" s="15"/>
      <c r="D29" s="15"/>
    </row>
  </sheetData>
  <sheetProtection algorithmName="SHA-512" hashValue="8kYFqa1x5epjNZAHGV3zfFYPRbMtx5C4BH2DnW54xKew7YKyarHa5Q6aAL68I/scM7+TH0z94hAjApr9MLeqDg==" saltValue="JvTt2r5l/RJKd7vdSsJ1k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0" sqref="J10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7" ht="15.6">
      <c r="A1" s="158" t="s">
        <v>280</v>
      </c>
      <c r="B1" s="159">
        <v>45681</v>
      </c>
      <c r="C1" s="19"/>
      <c r="D1" s="19"/>
      <c r="E1" s="15"/>
      <c r="F1" s="15"/>
      <c r="G1" s="15"/>
    </row>
    <row r="2" spans="1:7">
      <c r="A2" s="152" t="s">
        <v>227</v>
      </c>
      <c r="B2" s="154">
        <f>'Weekly Valuation'!K185</f>
        <v>6147393660.5699997</v>
      </c>
      <c r="C2" s="19"/>
      <c r="D2" s="19"/>
      <c r="E2" s="15"/>
      <c r="F2" s="15"/>
      <c r="G2" s="15"/>
    </row>
    <row r="3" spans="1:7">
      <c r="A3" s="152" t="s">
        <v>17</v>
      </c>
      <c r="B3" s="154">
        <f>'Weekly Valuation'!K24</f>
        <v>33667453981.210003</v>
      </c>
      <c r="C3" s="19"/>
      <c r="D3" s="19"/>
      <c r="E3" s="15"/>
      <c r="F3" s="15"/>
      <c r="G3" s="15"/>
    </row>
    <row r="4" spans="1:7">
      <c r="A4" s="152" t="s">
        <v>283</v>
      </c>
      <c r="B4" s="157">
        <f>'Weekly Valuation'!K209</f>
        <v>54941389819.284477</v>
      </c>
      <c r="C4" s="19"/>
      <c r="D4" s="19"/>
      <c r="E4" s="15"/>
      <c r="F4" s="15"/>
      <c r="G4" s="15"/>
    </row>
    <row r="5" spans="1:7">
      <c r="A5" s="152" t="s">
        <v>196</v>
      </c>
      <c r="B5" s="154">
        <f>'Weekly Valuation'!K179</f>
        <v>55157132700.650406</v>
      </c>
      <c r="C5" s="19"/>
      <c r="D5" s="19"/>
      <c r="E5" s="15"/>
      <c r="F5" s="15"/>
      <c r="G5" s="15"/>
    </row>
    <row r="6" spans="1:7">
      <c r="A6" s="152" t="s">
        <v>282</v>
      </c>
      <c r="B6" s="154">
        <f>'Weekly Valuation'!K148</f>
        <v>100883151715.23096</v>
      </c>
      <c r="C6" s="19"/>
      <c r="D6" s="19"/>
      <c r="E6" s="15"/>
      <c r="F6" s="15"/>
      <c r="G6" s="15"/>
    </row>
    <row r="7" spans="1:7">
      <c r="A7" s="152" t="s">
        <v>281</v>
      </c>
      <c r="B7" s="154">
        <f>'Weekly Valuation'!K104</f>
        <v>193295117054.89386</v>
      </c>
      <c r="C7" s="19"/>
      <c r="D7" s="19"/>
      <c r="E7" s="15"/>
      <c r="F7" s="15"/>
      <c r="G7" s="15"/>
    </row>
    <row r="8" spans="1:7">
      <c r="A8" s="152" t="s">
        <v>54</v>
      </c>
      <c r="B8" s="153">
        <f>'Weekly Valuation'!K65</f>
        <v>1887272680234.0166</v>
      </c>
      <c r="C8" s="19"/>
      <c r="D8" s="19"/>
      <c r="E8" s="15"/>
      <c r="F8" s="15"/>
      <c r="G8" s="15"/>
    </row>
    <row r="9" spans="1:7">
      <c r="A9" s="152" t="s">
        <v>158</v>
      </c>
      <c r="B9" s="153">
        <f>'Weekly Valuation'!K140</f>
        <v>1788025443922.3008</v>
      </c>
      <c r="C9" s="19"/>
      <c r="D9" s="19"/>
      <c r="E9" s="15"/>
      <c r="F9" s="15"/>
      <c r="G9" s="15"/>
    </row>
    <row r="10" spans="1:7">
      <c r="A10" s="138"/>
      <c r="B10" s="138"/>
      <c r="C10" s="19"/>
      <c r="D10" s="19"/>
      <c r="E10" s="15"/>
      <c r="F10" s="15"/>
      <c r="G10" s="15"/>
    </row>
    <row r="11" spans="1:7">
      <c r="A11" s="152"/>
      <c r="B11" s="160"/>
      <c r="C11" s="19"/>
      <c r="D11" s="19"/>
      <c r="E11" s="15"/>
      <c r="F11" s="15"/>
      <c r="G11" s="15"/>
    </row>
    <row r="12" spans="1:7">
      <c r="A12" s="152"/>
      <c r="B12" s="19"/>
      <c r="C12" s="19"/>
      <c r="D12" s="19"/>
      <c r="E12" s="15"/>
      <c r="F12" s="15"/>
      <c r="G12" s="15"/>
    </row>
    <row r="13" spans="1:7">
      <c r="A13" s="156"/>
      <c r="B13" s="156"/>
      <c r="C13" s="19"/>
      <c r="D13" s="19"/>
      <c r="E13" s="15"/>
      <c r="F13" s="15"/>
      <c r="G13" s="15"/>
    </row>
    <row r="14" spans="1:7">
      <c r="A14" s="156"/>
      <c r="B14" s="156"/>
      <c r="C14" s="19"/>
      <c r="D14" s="19"/>
      <c r="E14" s="15"/>
      <c r="F14" s="15"/>
      <c r="G14" s="15"/>
    </row>
    <row r="15" spans="1:7" ht="16.5" customHeight="1">
      <c r="A15" s="157"/>
      <c r="B15" s="157"/>
      <c r="C15" s="19"/>
      <c r="D15" s="19"/>
      <c r="E15" s="15"/>
      <c r="F15" s="15"/>
      <c r="G15" s="15"/>
    </row>
    <row r="16" spans="1:7">
      <c r="A16" s="156"/>
      <c r="B16" s="156"/>
      <c r="C16" s="19"/>
      <c r="D16" s="19"/>
      <c r="E16" s="15"/>
      <c r="F16" s="15"/>
      <c r="G16" s="15"/>
    </row>
    <row r="17" spans="1:17">
      <c r="A17" s="22"/>
      <c r="B17" s="22"/>
      <c r="C17" s="15"/>
      <c r="D17" s="15"/>
      <c r="E17" s="15"/>
      <c r="F17" s="15"/>
      <c r="G17" s="15"/>
    </row>
    <row r="18" spans="1:17">
      <c r="A18" s="129"/>
      <c r="B18" s="22"/>
      <c r="C18" s="15"/>
      <c r="D18" s="15"/>
      <c r="E18" s="15"/>
      <c r="F18" s="15"/>
      <c r="G18" s="15"/>
    </row>
    <row r="19" spans="1:17">
      <c r="A19" s="129"/>
      <c r="B19" s="129"/>
      <c r="C19" s="15"/>
      <c r="D19" s="15"/>
      <c r="E19" s="15"/>
      <c r="F19" s="15"/>
      <c r="G19" s="15"/>
    </row>
    <row r="20" spans="1:17">
      <c r="A20" s="129"/>
      <c r="B20" s="129"/>
      <c r="C20" s="15"/>
      <c r="D20" s="15"/>
      <c r="E20" s="15"/>
      <c r="F20" s="15"/>
      <c r="G20" s="15"/>
    </row>
    <row r="21" spans="1:17">
      <c r="A21" s="21"/>
      <c r="B21" s="129"/>
      <c r="C21" s="15"/>
      <c r="D21" s="15"/>
      <c r="E21" s="15"/>
      <c r="F21" s="15"/>
      <c r="G21" s="15"/>
    </row>
    <row r="22" spans="1:17">
      <c r="A22" s="15"/>
      <c r="B22" s="129"/>
      <c r="C22" s="15"/>
      <c r="D22" s="15"/>
      <c r="E22" s="15"/>
      <c r="F22" s="15"/>
      <c r="G22" s="15"/>
    </row>
    <row r="23" spans="1:17">
      <c r="A23" s="15"/>
      <c r="B23" s="15"/>
      <c r="C23" s="15"/>
      <c r="D23" s="15"/>
      <c r="E23" s="15"/>
      <c r="F23" s="15"/>
      <c r="G23" s="15"/>
    </row>
    <row r="24" spans="1:17">
      <c r="A24" s="15"/>
      <c r="B24" s="15"/>
      <c r="C24" s="15"/>
      <c r="D24" s="15"/>
      <c r="E24" s="15"/>
      <c r="F24" s="15"/>
      <c r="G24" s="15"/>
    </row>
    <row r="25" spans="1:17">
      <c r="A25" s="15"/>
      <c r="B25" s="15"/>
      <c r="C25" s="15"/>
      <c r="D25" s="15"/>
      <c r="E25" s="15"/>
      <c r="F25" s="15"/>
      <c r="G25" s="15"/>
    </row>
    <row r="26" spans="1:17">
      <c r="A26" s="15"/>
      <c r="B26" s="15"/>
      <c r="C26" s="15"/>
      <c r="D26" s="15"/>
      <c r="E26" s="15"/>
      <c r="F26" s="15"/>
      <c r="G26" s="15"/>
    </row>
    <row r="27" spans="1:17">
      <c r="A27" s="15"/>
      <c r="B27" s="15"/>
      <c r="C27" s="15"/>
      <c r="D27" s="15"/>
      <c r="E27" s="15"/>
      <c r="F27" s="15"/>
      <c r="G27" s="15"/>
    </row>
    <row r="28" spans="1:17">
      <c r="A28" s="15"/>
      <c r="B28" s="15"/>
      <c r="C28" s="15"/>
      <c r="D28" s="15"/>
      <c r="E28" s="15"/>
      <c r="F28" s="15"/>
      <c r="G28" s="15"/>
    </row>
    <row r="29" spans="1:17">
      <c r="A29" s="15"/>
      <c r="B29" s="15"/>
      <c r="C29" s="15"/>
      <c r="D29" s="15"/>
    </row>
    <row r="32" spans="1:17" ht="16.5" customHeight="1">
      <c r="A32" s="187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20"/>
    </row>
    <row r="33" spans="1:17" ht="15" customHeight="1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20"/>
    </row>
  </sheetData>
  <sheetProtection algorithmName="SHA-512" hashValue="mCg/+bWDF6fFEx4Xcde9ZpF/Sw1PZoDCyr3JaoRSKneGDhnzqkkah9iVKBtkf8BOgtNUBOfEXf52uOcua9cIHQ==" saltValue="1t6xf/mHMm5a5rkL/RtWpw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0"/>
  <sheetViews>
    <sheetView zoomScale="110" zoomScaleNormal="110" workbookViewId="0">
      <selection activeCell="G6" sqref="G6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61" t="s">
        <v>284</v>
      </c>
      <c r="B2" s="162">
        <v>45632</v>
      </c>
      <c r="C2" s="162">
        <v>45639</v>
      </c>
      <c r="D2" s="162">
        <v>45646</v>
      </c>
      <c r="E2" s="162">
        <v>45653</v>
      </c>
      <c r="F2" s="162">
        <v>45660</v>
      </c>
      <c r="G2" s="162">
        <v>45667</v>
      </c>
      <c r="H2" s="162">
        <v>45674</v>
      </c>
      <c r="I2" s="162">
        <v>45681</v>
      </c>
      <c r="J2" s="19"/>
      <c r="K2" s="19"/>
      <c r="L2" s="15"/>
      <c r="M2" s="15"/>
    </row>
    <row r="3" spans="1:13">
      <c r="A3" s="161" t="s">
        <v>285</v>
      </c>
      <c r="B3" s="163">
        <f t="shared" ref="B3:I3" si="0">B4</f>
        <v>3767.9650755489829</v>
      </c>
      <c r="C3" s="163">
        <f t="shared" si="0"/>
        <v>3751.2644931970517</v>
      </c>
      <c r="D3" s="163">
        <f t="shared" si="0"/>
        <v>3792.1276820114672</v>
      </c>
      <c r="E3" s="163">
        <f t="shared" si="0"/>
        <v>3829.831201863391</v>
      </c>
      <c r="F3" s="163">
        <f t="shared" si="0"/>
        <v>3883.4933818535656</v>
      </c>
      <c r="G3" s="163">
        <f t="shared" si="0"/>
        <v>3964.1148250792808</v>
      </c>
      <c r="H3" s="163">
        <f t="shared" si="0"/>
        <v>4019.7056298340649</v>
      </c>
      <c r="I3" s="163">
        <f t="shared" si="0"/>
        <v>4119.3897630881565</v>
      </c>
      <c r="J3" s="19"/>
      <c r="K3" s="19"/>
      <c r="L3" s="15"/>
      <c r="M3" s="15"/>
    </row>
    <row r="4" spans="1:13">
      <c r="A4" s="19"/>
      <c r="B4" s="164">
        <f>'NAV Trend'!C10/1000000000</f>
        <v>3767.9650755489829</v>
      </c>
      <c r="C4" s="164">
        <f>'NAV Trend'!D10/1000000000</f>
        <v>3751.2644931970517</v>
      </c>
      <c r="D4" s="164">
        <f>'NAV Trend'!E10/1000000000</f>
        <v>3792.1276820114672</v>
      </c>
      <c r="E4" s="164">
        <f>'NAV Trend'!F10/1000000000</f>
        <v>3829.831201863391</v>
      </c>
      <c r="F4" s="164">
        <f>'NAV Trend'!G10/1000000000</f>
        <v>3883.4933818535656</v>
      </c>
      <c r="G4" s="164">
        <f>'NAV Trend'!H10/1000000000</f>
        <v>3964.1148250792808</v>
      </c>
      <c r="H4" s="165">
        <f>'NAV Trend'!I10/1000000000</f>
        <v>4019.7056298340649</v>
      </c>
      <c r="I4" s="165">
        <f>'NAV Trend'!J10/1000000000</f>
        <v>4119.3897630881565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5"/>
    </row>
  </sheetData>
  <sheetProtection algorithmName="SHA-512" hashValue="i/oz82bD8QZ5oo/OIHo+5U75JP/2ThfA147c11HqmdqD09TeJeXWlRf31Qlofma6nktRIKAjjgIC+L7HJtZYiQ==" saltValue="WFthMgzYRvAcG2LkltJ0+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0"/>
  <sheetViews>
    <sheetView workbookViewId="0">
      <selection activeCell="D8" sqref="D8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</row>
    <row r="2" spans="1:12">
      <c r="A2" s="161" t="s">
        <v>284</v>
      </c>
      <c r="B2" s="162">
        <v>45632</v>
      </c>
      <c r="C2" s="162">
        <v>45639</v>
      </c>
      <c r="D2" s="162">
        <v>45646</v>
      </c>
      <c r="E2" s="162">
        <v>45653</v>
      </c>
      <c r="F2" s="162">
        <v>45660</v>
      </c>
      <c r="G2" s="162">
        <v>45667</v>
      </c>
      <c r="H2" s="162">
        <v>45674</v>
      </c>
      <c r="I2" s="162">
        <v>45681</v>
      </c>
      <c r="J2" s="19"/>
      <c r="K2" s="19"/>
      <c r="L2" s="15"/>
    </row>
    <row r="3" spans="1:12">
      <c r="A3" s="161" t="s">
        <v>286</v>
      </c>
      <c r="B3" s="163">
        <f t="shared" ref="B3:I3" si="0">B4</f>
        <v>12.480727319636602</v>
      </c>
      <c r="C3" s="163">
        <f t="shared" si="0"/>
        <v>12.494363671946113</v>
      </c>
      <c r="D3" s="163">
        <f t="shared" si="0"/>
        <v>12.568890044927004</v>
      </c>
      <c r="E3" s="163">
        <f t="shared" si="0"/>
        <v>12.767135898969396</v>
      </c>
      <c r="F3" s="163">
        <f t="shared" si="0"/>
        <v>12.486443329167654</v>
      </c>
      <c r="G3" s="163">
        <f t="shared" si="0"/>
        <v>13.126291240540001</v>
      </c>
      <c r="H3" s="163">
        <f t="shared" si="0"/>
        <v>12.926648581233682</v>
      </c>
      <c r="I3" s="163">
        <f t="shared" si="0"/>
        <v>13.139930136069998</v>
      </c>
      <c r="J3" s="19"/>
      <c r="K3" s="19"/>
      <c r="L3" s="15"/>
    </row>
    <row r="4" spans="1:12">
      <c r="A4" s="19"/>
      <c r="B4" s="164">
        <f>'NAV Trend'!C16/1000000000</f>
        <v>12.480727319636602</v>
      </c>
      <c r="C4" s="164">
        <f>'NAV Trend'!D16/1000000000</f>
        <v>12.494363671946113</v>
      </c>
      <c r="D4" s="164">
        <f>'NAV Trend'!E16/1000000000</f>
        <v>12.568890044927004</v>
      </c>
      <c r="E4" s="164">
        <f>'NAV Trend'!F16/1000000000</f>
        <v>12.767135898969396</v>
      </c>
      <c r="F4" s="164">
        <f>'NAV Trend'!G16/1000000000</f>
        <v>12.486443329167654</v>
      </c>
      <c r="G4" s="164">
        <f>'NAV Trend'!H16/1000000000</f>
        <v>13.126291240540001</v>
      </c>
      <c r="H4" s="164">
        <f>'NAV Trend'!I16/1000000000</f>
        <v>12.926648581233682</v>
      </c>
      <c r="I4" s="165">
        <f>'NAV Trend'!J16/1000000000</f>
        <v>13.139930136069998</v>
      </c>
      <c r="J4" s="19"/>
      <c r="K4" s="19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sheetProtection algorithmName="SHA-512" hashValue="GyWpOqm9UGSO0ybbh0gNyquBV4Dx5+qQ70VTnvcyMWjVEuq5ksAhRxARzKDBJREcnE/WFK5uQL2up7FxCMdB+w==" saltValue="MdPN2WbUot/G9nMiPg3JD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280</v>
      </c>
      <c r="B1" s="2">
        <v>45625</v>
      </c>
      <c r="C1" s="2">
        <v>45632</v>
      </c>
      <c r="D1" s="2">
        <v>45639</v>
      </c>
      <c r="E1" s="2">
        <v>45646</v>
      </c>
      <c r="F1" s="2">
        <v>45653</v>
      </c>
      <c r="G1" s="2">
        <v>45660</v>
      </c>
      <c r="H1" s="2">
        <v>45667</v>
      </c>
      <c r="I1" s="2">
        <v>45674</v>
      </c>
      <c r="J1" s="2">
        <v>45681</v>
      </c>
    </row>
    <row r="2" spans="1:11">
      <c r="A2" s="3" t="s">
        <v>17</v>
      </c>
      <c r="B2" s="4">
        <v>29963223384.749996</v>
      </c>
      <c r="C2" s="4">
        <v>30290917801.960003</v>
      </c>
      <c r="D2" s="4">
        <v>30219679979.860001</v>
      </c>
      <c r="E2" s="4">
        <v>30560198280.420002</v>
      </c>
      <c r="F2" s="4">
        <v>31203064609.43</v>
      </c>
      <c r="G2" s="4">
        <v>32261498393.230003</v>
      </c>
      <c r="H2" s="4">
        <v>33411621797.110004</v>
      </c>
      <c r="I2" s="4">
        <v>33055654590.010002</v>
      </c>
      <c r="J2" s="4">
        <v>33667453981.210003</v>
      </c>
    </row>
    <row r="3" spans="1:11">
      <c r="A3" s="3" t="s">
        <v>54</v>
      </c>
      <c r="B3" s="4">
        <v>1581147259519.7791</v>
      </c>
      <c r="C3" s="4">
        <v>1605147165407.8784</v>
      </c>
      <c r="D3" s="4">
        <v>1617261517557.7881</v>
      </c>
      <c r="E3" s="4">
        <v>1651994114175.4978</v>
      </c>
      <c r="F3" s="4">
        <v>1680789898381.158</v>
      </c>
      <c r="G3" s="4">
        <v>1731331455377.9688</v>
      </c>
      <c r="H3" s="4">
        <v>1796163520217.4673</v>
      </c>
      <c r="I3" s="4">
        <v>1833494333831.687</v>
      </c>
      <c r="J3" s="4">
        <v>1887272680234.0166</v>
      </c>
    </row>
    <row r="4" spans="1:11">
      <c r="A4" s="3" t="s">
        <v>281</v>
      </c>
      <c r="B4" s="5">
        <v>211817086273.75339</v>
      </c>
      <c r="C4" s="5">
        <v>200489400850.13455</v>
      </c>
      <c r="D4" s="5">
        <v>199225882213.46936</v>
      </c>
      <c r="E4" s="5">
        <v>198371804922.96381</v>
      </c>
      <c r="F4" s="5">
        <v>196299640514.55566</v>
      </c>
      <c r="G4" s="5">
        <v>196558953968.70349</v>
      </c>
      <c r="H4" s="5">
        <v>198624219481.39801</v>
      </c>
      <c r="I4" s="5">
        <v>199572944900.79062</v>
      </c>
      <c r="J4" s="5">
        <v>193295117054.89386</v>
      </c>
    </row>
    <row r="5" spans="1:11">
      <c r="A5" s="3" t="s">
        <v>158</v>
      </c>
      <c r="B5" s="4">
        <v>1817826880103.7505</v>
      </c>
      <c r="C5" s="4">
        <v>1721227403889.6946</v>
      </c>
      <c r="D5" s="4">
        <v>1693020111552.7451</v>
      </c>
      <c r="E5" s="4">
        <v>1699042162793.3723</v>
      </c>
      <c r="F5" s="4">
        <v>1708643961742.885</v>
      </c>
      <c r="G5" s="4">
        <v>1710039312371.6768</v>
      </c>
      <c r="H5" s="4">
        <v>1721273790884.4595</v>
      </c>
      <c r="I5" s="4">
        <v>1738459762464.4448</v>
      </c>
      <c r="J5" s="4">
        <v>1788025443922.3008</v>
      </c>
    </row>
    <row r="6" spans="1:11">
      <c r="A6" s="3" t="s">
        <v>282</v>
      </c>
      <c r="B6" s="6">
        <v>99287613486.429764</v>
      </c>
      <c r="C6" s="6">
        <v>99753756571.315765</v>
      </c>
      <c r="D6" s="6">
        <v>99992536244.061172</v>
      </c>
      <c r="E6" s="6">
        <v>100248262192.26375</v>
      </c>
      <c r="F6" s="6">
        <v>99946034003.712875</v>
      </c>
      <c r="G6" s="6">
        <v>100165676341.88785</v>
      </c>
      <c r="H6" s="6">
        <v>100814525942.29248</v>
      </c>
      <c r="I6" s="6">
        <v>100848197035.93321</v>
      </c>
      <c r="J6" s="6">
        <v>100883151715.23096</v>
      </c>
    </row>
    <row r="7" spans="1:11">
      <c r="A7" s="3" t="s">
        <v>196</v>
      </c>
      <c r="B7" s="7">
        <v>53277880968.774506</v>
      </c>
      <c r="C7" s="7">
        <v>53833340267.497757</v>
      </c>
      <c r="D7" s="7">
        <v>53880440218.66169</v>
      </c>
      <c r="E7" s="7">
        <v>54152150309.321541</v>
      </c>
      <c r="F7" s="7">
        <v>54717751907.536263</v>
      </c>
      <c r="G7" s="7">
        <v>54655185610.452072</v>
      </c>
      <c r="H7" s="7">
        <v>55198098021.346275</v>
      </c>
      <c r="I7" s="7">
        <v>54483397031.599197</v>
      </c>
      <c r="J7" s="7">
        <v>55157132700.650406</v>
      </c>
    </row>
    <row r="8" spans="1:11">
      <c r="A8" s="3" t="s">
        <v>227</v>
      </c>
      <c r="B8" s="6">
        <v>5645387282.9300003</v>
      </c>
      <c r="C8" s="6">
        <v>5746085220.3999996</v>
      </c>
      <c r="D8" s="6">
        <v>5750433945.7299995</v>
      </c>
      <c r="E8" s="6">
        <v>5821851798.3900003</v>
      </c>
      <c r="F8" s="6">
        <v>5883795695.79</v>
      </c>
      <c r="G8" s="6">
        <v>5956758809.29</v>
      </c>
      <c r="H8" s="6">
        <v>6053117697.3000002</v>
      </c>
      <c r="I8" s="6">
        <v>6021515311.3500004</v>
      </c>
      <c r="J8" s="6">
        <v>6147393660.5699997</v>
      </c>
    </row>
    <row r="9" spans="1:11">
      <c r="A9" s="3" t="s">
        <v>283</v>
      </c>
      <c r="B9" s="6">
        <v>51417030730.333893</v>
      </c>
      <c r="C9" s="6">
        <v>51477005540.102272</v>
      </c>
      <c r="D9" s="6">
        <v>51913891484.736198</v>
      </c>
      <c r="E9" s="6">
        <v>51937137539.237915</v>
      </c>
      <c r="F9" s="6">
        <v>52347055008.3237</v>
      </c>
      <c r="G9" s="6">
        <v>52524540980.356323</v>
      </c>
      <c r="H9" s="6">
        <v>52575931037.907692</v>
      </c>
      <c r="I9" s="6">
        <v>53769824668.250122</v>
      </c>
      <c r="J9" s="6">
        <v>54941389819.284477</v>
      </c>
    </row>
    <row r="10" spans="1:11" ht="15.6">
      <c r="A10" s="8" t="s">
        <v>287</v>
      </c>
      <c r="B10" s="9">
        <f t="shared" ref="B10:J10" si="0">SUM(B2:B9)</f>
        <v>3850382361750.5015</v>
      </c>
      <c r="C10" s="9">
        <f t="shared" si="0"/>
        <v>3767965075548.9829</v>
      </c>
      <c r="D10" s="9">
        <f t="shared" si="0"/>
        <v>3751264493197.0518</v>
      </c>
      <c r="E10" s="9">
        <f t="shared" si="0"/>
        <v>3792127682011.4673</v>
      </c>
      <c r="F10" s="9">
        <f t="shared" si="0"/>
        <v>3829831201863.3911</v>
      </c>
      <c r="G10" s="9">
        <f t="shared" si="0"/>
        <v>3883493381853.5654</v>
      </c>
      <c r="H10" s="9">
        <f t="shared" si="0"/>
        <v>3964114825079.2808</v>
      </c>
      <c r="I10" s="9">
        <f t="shared" si="0"/>
        <v>4019705629834.0649</v>
      </c>
      <c r="J10" s="9">
        <f t="shared" si="0"/>
        <v>4119389763088.1567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288</v>
      </c>
      <c r="B12" s="127" t="s">
        <v>289</v>
      </c>
      <c r="C12" s="13">
        <f>(B10+C10)/2</f>
        <v>3809173718649.7422</v>
      </c>
      <c r="D12" s="14">
        <f t="shared" ref="D12:J12" si="1">(C10+D10)/2</f>
        <v>3759614784373.0176</v>
      </c>
      <c r="E12" s="14">
        <f t="shared" si="1"/>
        <v>3771696087604.2598</v>
      </c>
      <c r="F12" s="14">
        <f t="shared" si="1"/>
        <v>3810979441937.4292</v>
      </c>
      <c r="G12" s="14">
        <f t="shared" si="1"/>
        <v>3856662291858.4785</v>
      </c>
      <c r="H12" s="14">
        <f t="shared" si="1"/>
        <v>3923804103466.4229</v>
      </c>
      <c r="I12" s="14">
        <f t="shared" si="1"/>
        <v>3991910227456.6729</v>
      </c>
      <c r="J12" s="14">
        <f t="shared" si="1"/>
        <v>4069547696461.1108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45625</v>
      </c>
      <c r="C15" s="2">
        <v>45632</v>
      </c>
      <c r="D15" s="2">
        <v>45639</v>
      </c>
      <c r="E15" s="2">
        <v>45646</v>
      </c>
      <c r="F15" s="2">
        <v>45653</v>
      </c>
      <c r="G15" s="2">
        <v>45660</v>
      </c>
      <c r="H15" s="2">
        <v>45667</v>
      </c>
      <c r="I15" s="2">
        <v>45674</v>
      </c>
      <c r="J15" s="2">
        <v>45681</v>
      </c>
      <c r="K15" s="15"/>
    </row>
    <row r="16" spans="1:11">
      <c r="A16" s="16" t="s">
        <v>290</v>
      </c>
      <c r="B16" s="17">
        <v>12578926303.585625</v>
      </c>
      <c r="C16" s="17">
        <v>12480727319.636602</v>
      </c>
      <c r="D16" s="17">
        <v>12494363671.946114</v>
      </c>
      <c r="E16" s="17">
        <v>12568890044.927004</v>
      </c>
      <c r="F16" s="17">
        <v>12767135898.969397</v>
      </c>
      <c r="G16" s="17">
        <v>12486443329.167654</v>
      </c>
      <c r="H16" s="17">
        <v>13126291240.540001</v>
      </c>
      <c r="I16" s="17">
        <v>12926648581.233683</v>
      </c>
      <c r="J16" s="17">
        <v>13139930136.069998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7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9wEhiaXMAB5q4jK0UEYhPTnaesR5mZ7i92rCiGJvkqdNz+ARsXelzjP7+bPPsw8OLdSPtca25/b32YThss5eHQ==" saltValue="D3+IIsjREhvKdKSdrKT3L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2025-02-05T15:06:05Z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