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F19A4018-8CAA-49FC-A4B2-F449E1E575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2" i="1" l="1"/>
  <c r="C12" i="2"/>
  <c r="C11" i="2"/>
  <c r="C10" i="2"/>
  <c r="C9" i="2"/>
  <c r="C8" i="2"/>
  <c r="C7" i="2"/>
  <c r="C6" i="2"/>
  <c r="C5" i="2"/>
  <c r="D3" i="5"/>
  <c r="I3" i="5"/>
  <c r="H3" i="5"/>
  <c r="G3" i="5"/>
  <c r="F3" i="5"/>
  <c r="E3" i="5"/>
  <c r="C3" i="5"/>
  <c r="B3" i="5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N97" i="1" l="1"/>
  <c r="M97" i="1"/>
  <c r="K97" i="1"/>
  <c r="N117" i="1" l="1"/>
  <c r="M117" i="1"/>
  <c r="N112" i="1"/>
  <c r="M112" i="1"/>
  <c r="N103" i="1"/>
  <c r="M103" i="1"/>
  <c r="K103" i="1"/>
  <c r="R115" i="1" l="1"/>
  <c r="N102" i="1" l="1"/>
  <c r="M102" i="1"/>
  <c r="K102" i="1"/>
  <c r="N94" i="1" l="1"/>
  <c r="M94" i="1"/>
  <c r="N109" i="1"/>
  <c r="M109" i="1"/>
  <c r="K109" i="1"/>
  <c r="N114" i="1" l="1"/>
  <c r="M114" i="1"/>
  <c r="N104" i="1"/>
  <c r="M104" i="1"/>
  <c r="K104" i="1"/>
  <c r="V144" i="1" l="1"/>
  <c r="N113" i="1"/>
  <c r="M113" i="1"/>
  <c r="N96" i="1" l="1"/>
  <c r="M96" i="1"/>
  <c r="K96" i="1"/>
  <c r="N101" i="1"/>
  <c r="M101" i="1"/>
  <c r="K101" i="1"/>
  <c r="N95" i="1"/>
  <c r="M95" i="1"/>
  <c r="K95" i="1"/>
  <c r="G117" i="1" l="1"/>
  <c r="F117" i="1"/>
  <c r="G114" i="1"/>
  <c r="F114" i="1"/>
  <c r="G113" i="1"/>
  <c r="F113" i="1"/>
  <c r="G109" i="1"/>
  <c r="F109" i="1"/>
  <c r="D109" i="1"/>
  <c r="G104" i="1"/>
  <c r="F104" i="1"/>
  <c r="G103" i="1"/>
  <c r="F103" i="1"/>
  <c r="G102" i="1"/>
  <c r="F102" i="1"/>
  <c r="G101" i="1"/>
  <c r="F101" i="1"/>
  <c r="G97" i="1"/>
  <c r="F97" i="1"/>
  <c r="G96" i="1"/>
  <c r="F96" i="1"/>
  <c r="G95" i="1"/>
  <c r="F95" i="1"/>
  <c r="D104" i="1"/>
  <c r="D103" i="1"/>
  <c r="D102" i="1"/>
  <c r="D101" i="1"/>
  <c r="D97" i="1"/>
  <c r="D96" i="1"/>
  <c r="D95" i="1"/>
  <c r="T136" i="1"/>
  <c r="R130" i="1"/>
  <c r="S130" i="1"/>
  <c r="T130" i="1"/>
  <c r="U130" i="1"/>
  <c r="V130" i="1"/>
  <c r="R150" i="1"/>
  <c r="S150" i="1"/>
  <c r="T150" i="1"/>
  <c r="U150" i="1"/>
  <c r="V150" i="1"/>
  <c r="B12" i="2" l="1"/>
  <c r="B11" i="2"/>
  <c r="B10" i="2"/>
  <c r="B9" i="2"/>
  <c r="B8" i="2"/>
  <c r="B7" i="2"/>
  <c r="B6" i="2"/>
  <c r="B5" i="2"/>
  <c r="R112" i="1" l="1"/>
  <c r="S112" i="1"/>
  <c r="S172" i="1" l="1"/>
  <c r="V112" i="1"/>
  <c r="U112" i="1"/>
  <c r="T112" i="1"/>
  <c r="R191" i="1" l="1"/>
  <c r="R192" i="1"/>
  <c r="R65" i="1" l="1"/>
  <c r="V73" i="1" l="1"/>
  <c r="U73" i="1"/>
  <c r="T73" i="1"/>
  <c r="S73" i="1"/>
  <c r="R73" i="1"/>
  <c r="V78" i="1" l="1"/>
  <c r="U78" i="1"/>
  <c r="T78" i="1"/>
  <c r="S78" i="1"/>
  <c r="R78" i="1"/>
  <c r="I10" i="4" l="1"/>
  <c r="H10" i="4"/>
  <c r="G10" i="4"/>
  <c r="F10" i="4"/>
  <c r="E10" i="4"/>
  <c r="D10" i="4"/>
  <c r="C10" i="4"/>
  <c r="B10" i="4"/>
  <c r="V173" i="1" l="1"/>
  <c r="U173" i="1"/>
  <c r="T173" i="1"/>
  <c r="S173" i="1"/>
  <c r="R173" i="1"/>
  <c r="T32" i="1" l="1"/>
  <c r="S21" i="1" l="1"/>
  <c r="T21" i="1"/>
  <c r="V96" i="1" l="1"/>
  <c r="R96" i="1"/>
  <c r="S96" i="1"/>
  <c r="T96" i="1"/>
  <c r="U96" i="1"/>
  <c r="R12" i="1" l="1"/>
  <c r="R48" i="1" l="1"/>
  <c r="V48" i="1"/>
  <c r="U48" i="1"/>
  <c r="T48" i="1"/>
  <c r="S48" i="1"/>
  <c r="V97" i="1" l="1"/>
  <c r="U97" i="1"/>
  <c r="T97" i="1"/>
  <c r="S97" i="1"/>
  <c r="R97" i="1"/>
  <c r="V122" i="1" l="1"/>
  <c r="U122" i="1"/>
  <c r="T122" i="1"/>
  <c r="S122" i="1"/>
  <c r="R122" i="1"/>
  <c r="R70" i="1" l="1"/>
  <c r="V178" i="1" l="1"/>
  <c r="U178" i="1"/>
  <c r="T178" i="1"/>
  <c r="S178" i="1"/>
  <c r="R178" i="1"/>
  <c r="S166" i="1" l="1"/>
  <c r="D161" i="1" l="1"/>
  <c r="D118" i="1"/>
  <c r="E109" i="1" s="1"/>
  <c r="E97" i="1" l="1"/>
  <c r="E112" i="1"/>
  <c r="R88" i="1"/>
  <c r="S88" i="1"/>
  <c r="T88" i="1"/>
  <c r="U88" i="1"/>
  <c r="V88" i="1"/>
  <c r="D201" i="1"/>
  <c r="D180" i="1"/>
  <c r="D126" i="1"/>
  <c r="E122" i="1" s="1"/>
  <c r="D55" i="1"/>
  <c r="E170" i="1" l="1"/>
  <c r="E171" i="1"/>
  <c r="E172" i="1"/>
  <c r="E173" i="1"/>
  <c r="E174" i="1"/>
  <c r="E175" i="1"/>
  <c r="E176" i="1"/>
  <c r="E177" i="1"/>
  <c r="E178" i="1"/>
  <c r="E179" i="1"/>
  <c r="R159" i="1"/>
  <c r="R80" i="1" l="1"/>
  <c r="S80" i="1"/>
  <c r="T80" i="1"/>
  <c r="V80" i="1"/>
  <c r="U80" i="1"/>
  <c r="D22" i="1" l="1"/>
  <c r="R110" i="1" l="1"/>
  <c r="R19" i="1" l="1"/>
  <c r="R190" i="1" l="1"/>
  <c r="S190" i="1"/>
  <c r="T190" i="1"/>
  <c r="U190" i="1"/>
  <c r="V190" i="1"/>
  <c r="S191" i="1"/>
  <c r="T191" i="1"/>
  <c r="U191" i="1"/>
  <c r="V191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R197" i="1"/>
  <c r="S197" i="1"/>
  <c r="T197" i="1"/>
  <c r="U197" i="1"/>
  <c r="V197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S201" i="1"/>
  <c r="U201" i="1"/>
  <c r="V201" i="1"/>
  <c r="V189" i="1"/>
  <c r="U189" i="1"/>
  <c r="T189" i="1"/>
  <c r="S189" i="1"/>
  <c r="R189" i="1"/>
  <c r="V185" i="1"/>
  <c r="U185" i="1"/>
  <c r="T185" i="1"/>
  <c r="S185" i="1"/>
  <c r="R185" i="1"/>
  <c r="V184" i="1"/>
  <c r="U184" i="1"/>
  <c r="T184" i="1"/>
  <c r="S184" i="1"/>
  <c r="R184" i="1"/>
  <c r="R170" i="1"/>
  <c r="S170" i="1"/>
  <c r="T170" i="1"/>
  <c r="U170" i="1"/>
  <c r="V170" i="1"/>
  <c r="R171" i="1"/>
  <c r="S171" i="1"/>
  <c r="T171" i="1"/>
  <c r="U171" i="1"/>
  <c r="V171" i="1"/>
  <c r="R172" i="1"/>
  <c r="T172" i="1"/>
  <c r="U172" i="1"/>
  <c r="V172" i="1"/>
  <c r="R174" i="1"/>
  <c r="S174" i="1"/>
  <c r="T174" i="1"/>
  <c r="U174" i="1"/>
  <c r="V174" i="1"/>
  <c r="R175" i="1"/>
  <c r="S175" i="1"/>
  <c r="T175" i="1"/>
  <c r="U175" i="1"/>
  <c r="V175" i="1"/>
  <c r="R176" i="1"/>
  <c r="S176" i="1"/>
  <c r="T176" i="1"/>
  <c r="U176" i="1"/>
  <c r="V176" i="1"/>
  <c r="R177" i="1"/>
  <c r="S177" i="1"/>
  <c r="T177" i="1"/>
  <c r="U177" i="1"/>
  <c r="V177" i="1"/>
  <c r="R179" i="1"/>
  <c r="S179" i="1"/>
  <c r="T179" i="1"/>
  <c r="U179" i="1"/>
  <c r="V179" i="1"/>
  <c r="S180" i="1"/>
  <c r="U180" i="1"/>
  <c r="V180" i="1"/>
  <c r="V169" i="1"/>
  <c r="U169" i="1"/>
  <c r="T169" i="1"/>
  <c r="S169" i="1"/>
  <c r="R169" i="1"/>
  <c r="V166" i="1"/>
  <c r="U166" i="1"/>
  <c r="T166" i="1"/>
  <c r="R166" i="1"/>
  <c r="V165" i="1"/>
  <c r="U165" i="1"/>
  <c r="T165" i="1"/>
  <c r="S165" i="1"/>
  <c r="R165" i="1"/>
  <c r="S159" i="1"/>
  <c r="T159" i="1"/>
  <c r="U159" i="1"/>
  <c r="V159" i="1"/>
  <c r="R160" i="1"/>
  <c r="S160" i="1"/>
  <c r="T160" i="1"/>
  <c r="U160" i="1"/>
  <c r="V160" i="1"/>
  <c r="S161" i="1"/>
  <c r="U161" i="1"/>
  <c r="V161" i="1"/>
  <c r="V158" i="1"/>
  <c r="U158" i="1"/>
  <c r="T158" i="1"/>
  <c r="S158" i="1"/>
  <c r="R158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U148" i="1"/>
  <c r="V148" i="1"/>
  <c r="R149" i="1"/>
  <c r="S149" i="1"/>
  <c r="T149" i="1"/>
  <c r="U149" i="1"/>
  <c r="V149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S155" i="1"/>
  <c r="U155" i="1"/>
  <c r="V155" i="1"/>
  <c r="V129" i="1"/>
  <c r="U129" i="1"/>
  <c r="T129" i="1"/>
  <c r="S129" i="1"/>
  <c r="R129" i="1"/>
  <c r="R123" i="1"/>
  <c r="S123" i="1"/>
  <c r="T123" i="1"/>
  <c r="U123" i="1"/>
  <c r="V123" i="1"/>
  <c r="R124" i="1"/>
  <c r="S124" i="1"/>
  <c r="T124" i="1"/>
  <c r="U124" i="1"/>
  <c r="V124" i="1"/>
  <c r="R125" i="1"/>
  <c r="S125" i="1"/>
  <c r="T125" i="1"/>
  <c r="U125" i="1"/>
  <c r="V125" i="1"/>
  <c r="S126" i="1"/>
  <c r="U126" i="1"/>
  <c r="V126" i="1"/>
  <c r="V121" i="1"/>
  <c r="U121" i="1"/>
  <c r="T121" i="1"/>
  <c r="S121" i="1"/>
  <c r="R121" i="1"/>
  <c r="R109" i="1"/>
  <c r="S109" i="1"/>
  <c r="T109" i="1"/>
  <c r="U109" i="1"/>
  <c r="V109" i="1"/>
  <c r="S110" i="1"/>
  <c r="T110" i="1"/>
  <c r="U110" i="1"/>
  <c r="V110" i="1"/>
  <c r="R111" i="1"/>
  <c r="S111" i="1"/>
  <c r="T111" i="1"/>
  <c r="U111" i="1"/>
  <c r="V111" i="1"/>
  <c r="R113" i="1"/>
  <c r="S113" i="1"/>
  <c r="T113" i="1"/>
  <c r="U113" i="1"/>
  <c r="V113" i="1"/>
  <c r="R114" i="1"/>
  <c r="S114" i="1"/>
  <c r="T114" i="1"/>
  <c r="U114" i="1"/>
  <c r="V114" i="1"/>
  <c r="S115" i="1"/>
  <c r="T115" i="1"/>
  <c r="U115" i="1"/>
  <c r="V115" i="1"/>
  <c r="R116" i="1"/>
  <c r="S116" i="1"/>
  <c r="T116" i="1"/>
  <c r="U116" i="1"/>
  <c r="V116" i="1"/>
  <c r="R117" i="1"/>
  <c r="S117" i="1"/>
  <c r="T117" i="1"/>
  <c r="U117" i="1"/>
  <c r="V117" i="1"/>
  <c r="S118" i="1"/>
  <c r="U118" i="1"/>
  <c r="V118" i="1"/>
  <c r="V108" i="1"/>
  <c r="U108" i="1"/>
  <c r="T108" i="1"/>
  <c r="S108" i="1"/>
  <c r="R108" i="1"/>
  <c r="R95" i="1"/>
  <c r="S95" i="1"/>
  <c r="T95" i="1"/>
  <c r="U95" i="1"/>
  <c r="V95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V94" i="1"/>
  <c r="U94" i="1"/>
  <c r="T94" i="1"/>
  <c r="S94" i="1"/>
  <c r="R94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R64" i="1"/>
  <c r="S64" i="1"/>
  <c r="T64" i="1"/>
  <c r="U64" i="1"/>
  <c r="V64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9" i="1"/>
  <c r="S89" i="1"/>
  <c r="T89" i="1"/>
  <c r="U89" i="1"/>
  <c r="V89" i="1"/>
  <c r="S90" i="1"/>
  <c r="U90" i="1"/>
  <c r="V90" i="1"/>
  <c r="V58" i="1"/>
  <c r="U58" i="1"/>
  <c r="T58" i="1"/>
  <c r="S58" i="1"/>
  <c r="R58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55" i="1"/>
  <c r="U55" i="1"/>
  <c r="V55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3" i="1" l="1"/>
  <c r="V133" i="1"/>
  <c r="O180" i="1" l="1"/>
  <c r="O201" i="1"/>
  <c r="K201" i="1"/>
  <c r="H201" i="1"/>
  <c r="K186" i="1"/>
  <c r="H186" i="1"/>
  <c r="D186" i="1"/>
  <c r="H180" i="1"/>
  <c r="K180" i="1"/>
  <c r="H161" i="1"/>
  <c r="O161" i="1"/>
  <c r="K161" i="1"/>
  <c r="O155" i="1"/>
  <c r="K155" i="1"/>
  <c r="H155" i="1"/>
  <c r="D155" i="1"/>
  <c r="O126" i="1"/>
  <c r="K126" i="1"/>
  <c r="L122" i="1" s="1"/>
  <c r="H126" i="1"/>
  <c r="T126" i="1" s="1"/>
  <c r="H118" i="1"/>
  <c r="O118" i="1"/>
  <c r="K118" i="1"/>
  <c r="L112" i="1" s="1"/>
  <c r="O90" i="1"/>
  <c r="K90" i="1"/>
  <c r="L82" i="1" s="1"/>
  <c r="H90" i="1"/>
  <c r="D90" i="1"/>
  <c r="E73" i="1" s="1"/>
  <c r="O55" i="1"/>
  <c r="K55" i="1"/>
  <c r="H55" i="1"/>
  <c r="O22" i="1"/>
  <c r="H22" i="1"/>
  <c r="L73" i="1" l="1"/>
  <c r="L130" i="1"/>
  <c r="L150" i="1"/>
  <c r="E130" i="1"/>
  <c r="E150" i="1"/>
  <c r="L170" i="1"/>
  <c r="L171" i="1"/>
  <c r="L172" i="1"/>
  <c r="L173" i="1"/>
  <c r="L174" i="1"/>
  <c r="L175" i="1"/>
  <c r="L176" i="1"/>
  <c r="L177" i="1"/>
  <c r="L178" i="1"/>
  <c r="L179" i="1"/>
  <c r="L97" i="1"/>
  <c r="L110" i="1"/>
  <c r="L169" i="1"/>
  <c r="E78" i="1"/>
  <c r="L78" i="1"/>
  <c r="L52" i="1"/>
  <c r="L35" i="1"/>
  <c r="L199" i="1"/>
  <c r="L200" i="1"/>
  <c r="E48" i="1"/>
  <c r="L47" i="1"/>
  <c r="L49" i="1"/>
  <c r="L48" i="1"/>
  <c r="L50" i="1"/>
  <c r="L94" i="1"/>
  <c r="L108" i="1"/>
  <c r="L145" i="1"/>
  <c r="L151" i="1"/>
  <c r="L83" i="1"/>
  <c r="L61" i="1"/>
  <c r="L149" i="1"/>
  <c r="L96" i="1"/>
  <c r="L25" i="1"/>
  <c r="L38" i="1"/>
  <c r="T180" i="1"/>
  <c r="L87" i="1"/>
  <c r="L88" i="1"/>
  <c r="E80" i="1"/>
  <c r="E88" i="1"/>
  <c r="T201" i="1"/>
  <c r="L80" i="1"/>
  <c r="T55" i="1"/>
  <c r="T161" i="1"/>
  <c r="R161" i="1"/>
  <c r="T90" i="1"/>
  <c r="T155" i="1"/>
  <c r="T22" i="1"/>
  <c r="R126" i="1"/>
  <c r="R201" i="1"/>
  <c r="T118" i="1"/>
  <c r="O181" i="1"/>
  <c r="O202" i="1" s="1"/>
  <c r="R155" i="1"/>
  <c r="L144" i="1"/>
  <c r="R118" i="1"/>
  <c r="R90" i="1"/>
  <c r="L60" i="1"/>
  <c r="L62" i="1"/>
  <c r="L64" i="1"/>
  <c r="L66" i="1"/>
  <c r="L68" i="1"/>
  <c r="L70" i="1"/>
  <c r="L72" i="1"/>
  <c r="L75" i="1"/>
  <c r="L77" i="1"/>
  <c r="L81" i="1"/>
  <c r="L85" i="1"/>
  <c r="L89" i="1"/>
  <c r="L59" i="1"/>
  <c r="L63" i="1"/>
  <c r="L65" i="1"/>
  <c r="L67" i="1"/>
  <c r="L69" i="1"/>
  <c r="L71" i="1"/>
  <c r="L74" i="1"/>
  <c r="L76" i="1"/>
  <c r="L79" i="1"/>
  <c r="L84" i="1"/>
  <c r="L86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R180" i="1"/>
  <c r="H181" i="1"/>
  <c r="H202" i="1" s="1"/>
  <c r="J10" i="4"/>
  <c r="J12" i="4" s="1"/>
  <c r="I12" i="4"/>
  <c r="H12" i="4"/>
  <c r="G12" i="4"/>
  <c r="F12" i="4"/>
  <c r="E12" i="4"/>
  <c r="C12" i="4"/>
  <c r="E197" i="1"/>
  <c r="L198" i="1"/>
  <c r="L197" i="1"/>
  <c r="L195" i="1"/>
  <c r="L194" i="1"/>
  <c r="L193" i="1"/>
  <c r="L191" i="1"/>
  <c r="L190" i="1"/>
  <c r="L189" i="1"/>
  <c r="V186" i="1"/>
  <c r="U186" i="1"/>
  <c r="L184" i="1"/>
  <c r="E184" i="1"/>
  <c r="L166" i="1"/>
  <c r="L158" i="1"/>
  <c r="E160" i="1"/>
  <c r="E154" i="1"/>
  <c r="E151" i="1"/>
  <c r="L143" i="1"/>
  <c r="L141" i="1"/>
  <c r="L138" i="1"/>
  <c r="L135" i="1"/>
  <c r="L133" i="1"/>
  <c r="L129" i="1"/>
  <c r="L124" i="1"/>
  <c r="E125" i="1"/>
  <c r="L125" i="1"/>
  <c r="E87" i="1"/>
  <c r="E86" i="1"/>
  <c r="E84" i="1"/>
  <c r="E82" i="1"/>
  <c r="E79" i="1"/>
  <c r="E76" i="1"/>
  <c r="E74" i="1"/>
  <c r="E71" i="1"/>
  <c r="E69" i="1"/>
  <c r="E67" i="1"/>
  <c r="E65" i="1"/>
  <c r="E63" i="1"/>
  <c r="E61" i="1"/>
  <c r="E59" i="1"/>
  <c r="L51" i="1"/>
  <c r="R55" i="1"/>
  <c r="L32" i="1"/>
  <c r="K22" i="1"/>
  <c r="E14" i="1"/>
  <c r="S6" i="1"/>
  <c r="R6" i="1"/>
  <c r="E8" i="1" l="1"/>
  <c r="E6" i="1"/>
  <c r="E10" i="1"/>
  <c r="E9" i="1"/>
  <c r="E19" i="1"/>
  <c r="R22" i="1"/>
  <c r="L6" i="1"/>
  <c r="L40" i="1"/>
  <c r="L121" i="1"/>
  <c r="L131" i="1"/>
  <c r="L134" i="1"/>
  <c r="L137" i="1"/>
  <c r="L139" i="1"/>
  <c r="L142" i="1"/>
  <c r="L146" i="1"/>
  <c r="E18" i="1"/>
  <c r="L58" i="1"/>
  <c r="E62" i="1"/>
  <c r="E121" i="1"/>
  <c r="E129" i="1"/>
  <c r="E131" i="1"/>
  <c r="E132" i="1"/>
  <c r="E137" i="1"/>
  <c r="E138" i="1"/>
  <c r="E139" i="1"/>
  <c r="E140" i="1"/>
  <c r="E145" i="1"/>
  <c r="E148" i="1"/>
  <c r="E153" i="1"/>
  <c r="E11" i="1"/>
  <c r="E13" i="1"/>
  <c r="E16" i="1"/>
  <c r="E20" i="1"/>
  <c r="L29" i="1"/>
  <c r="L37" i="1"/>
  <c r="L43" i="1"/>
  <c r="K181" i="1"/>
  <c r="L123" i="1"/>
  <c r="E133" i="1"/>
  <c r="E134" i="1"/>
  <c r="E135" i="1"/>
  <c r="E136" i="1"/>
  <c r="E141" i="1"/>
  <c r="E142" i="1"/>
  <c r="E143" i="1"/>
  <c r="E144" i="1"/>
  <c r="E146" i="1"/>
  <c r="E147" i="1"/>
  <c r="E149" i="1"/>
  <c r="E152" i="1"/>
  <c r="L165" i="1"/>
  <c r="L101" i="1"/>
  <c r="L100" i="1"/>
  <c r="L33" i="1"/>
  <c r="L44" i="1"/>
  <c r="L53" i="1"/>
  <c r="E124" i="1"/>
  <c r="L148" i="1"/>
  <c r="L153" i="1"/>
  <c r="L160" i="1"/>
  <c r="E192" i="1"/>
  <c r="E196" i="1"/>
  <c r="E200" i="1"/>
  <c r="D12" i="4"/>
  <c r="E95" i="1"/>
  <c r="L36" i="1"/>
  <c r="L39" i="1"/>
  <c r="L30" i="1"/>
  <c r="L41" i="1"/>
  <c r="L132" i="1"/>
  <c r="L136" i="1"/>
  <c r="L140" i="1"/>
  <c r="E159" i="1"/>
  <c r="E169" i="1"/>
  <c r="E185" i="1"/>
  <c r="L192" i="1"/>
  <c r="L196" i="1"/>
  <c r="L28" i="1"/>
  <c r="E7" i="1"/>
  <c r="E17" i="1"/>
  <c r="E21" i="1"/>
  <c r="L27" i="1"/>
  <c r="L46" i="1"/>
  <c r="E58" i="1"/>
  <c r="E66" i="1"/>
  <c r="E70" i="1"/>
  <c r="E75" i="1"/>
  <c r="E81" i="1"/>
  <c r="E85" i="1"/>
  <c r="E89" i="1"/>
  <c r="E123" i="1"/>
  <c r="L147" i="1"/>
  <c r="L152" i="1"/>
  <c r="L159" i="1"/>
  <c r="L185" i="1"/>
  <c r="R186" i="1"/>
  <c r="E191" i="1"/>
  <c r="E195" i="1"/>
  <c r="E199" i="1"/>
  <c r="E158" i="1"/>
  <c r="E166" i="1"/>
  <c r="E190" i="1"/>
  <c r="E194" i="1"/>
  <c r="E198" i="1"/>
  <c r="L45" i="1"/>
  <c r="L54" i="1"/>
  <c r="L26" i="1"/>
  <c r="L34" i="1"/>
  <c r="E165" i="1"/>
  <c r="E12" i="1"/>
  <c r="E15" i="1"/>
  <c r="L31" i="1"/>
  <c r="L42" i="1"/>
  <c r="E60" i="1"/>
  <c r="E64" i="1"/>
  <c r="E68" i="1"/>
  <c r="E72" i="1"/>
  <c r="E77" i="1"/>
  <c r="E83" i="1"/>
  <c r="L154" i="1"/>
  <c r="E189" i="1"/>
  <c r="E193" i="1"/>
  <c r="L111" i="1" l="1"/>
  <c r="L95" i="1"/>
  <c r="L98" i="1"/>
  <c r="L104" i="1"/>
  <c r="L114" i="1"/>
  <c r="L99" i="1"/>
  <c r="K202" i="1"/>
  <c r="L22" i="1"/>
  <c r="L155" i="1"/>
  <c r="L55" i="1"/>
  <c r="L126" i="1"/>
  <c r="L90" i="1"/>
  <c r="L118" i="1"/>
  <c r="L180" i="1"/>
  <c r="L161" i="1"/>
  <c r="L103" i="1"/>
  <c r="L102" i="1"/>
  <c r="L117" i="1"/>
  <c r="L113" i="1"/>
  <c r="L115" i="1"/>
  <c r="L105" i="1"/>
  <c r="L116" i="1"/>
  <c r="L109" i="1"/>
  <c r="E116" i="1"/>
  <c r="E113" i="1"/>
  <c r="E105" i="1"/>
  <c r="E102" i="1"/>
  <c r="E99" i="1"/>
  <c r="E104" i="1"/>
  <c r="E100" i="1"/>
  <c r="E110" i="1"/>
  <c r="E101" i="1"/>
  <c r="D181" i="1"/>
  <c r="E117" i="1"/>
  <c r="E94" i="1"/>
  <c r="E103" i="1"/>
  <c r="E98" i="1"/>
  <c r="E115" i="1"/>
  <c r="E114" i="1"/>
  <c r="E111" i="1"/>
  <c r="E108" i="1"/>
  <c r="E118" i="1" l="1"/>
  <c r="R181" i="1"/>
  <c r="E55" i="1"/>
  <c r="E155" i="1"/>
  <c r="D202" i="1"/>
  <c r="E90" i="1"/>
  <c r="E22" i="1"/>
  <c r="E180" i="1"/>
  <c r="E126" i="1"/>
  <c r="E161" i="1"/>
</calcChain>
</file>

<file path=xl/sharedStrings.xml><?xml version="1.0" encoding="utf-8"?>
<sst xmlns="http://schemas.openxmlformats.org/spreadsheetml/2006/main" count="415" uniqueCount="268">
  <si>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</si>
  <si>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</si>
  <si>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</si>
  <si>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</si>
  <si>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</si>
  <si>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</si>
  <si>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</si>
  <si>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</si>
  <si>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</si>
  <si>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</si>
  <si>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</si>
  <si>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</si>
  <si>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</si>
  <si>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</si>
  <si>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</si>
  <si>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</si>
  <si>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</si>
  <si>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</si>
  <si>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</si>
  <si>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</si>
  <si>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</si>
  <si>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</si>
  <si>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</si>
  <si>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</si>
  <si>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</si>
  <si>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</si>
  <si>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</si>
  <si>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</si>
  <si>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</si>
  <si>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</si>
  <si>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</si>
  <si>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</si>
  <si>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</si>
  <si>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</si>
  <si>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</si>
  <si>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</si>
  <si>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</si>
  <si>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</si>
  <si>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</si>
  <si>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</si>
  <si>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</si>
  <si>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</si>
  <si>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</si>
  <si>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</si>
  <si>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</si>
  <si>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</si>
  <si>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</si>
  <si>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</si>
  <si>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</si>
  <si>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</si>
  <si>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</si>
  <si>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</si>
  <si>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</si>
  <si>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</si>
  <si>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</si>
  <si>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</si>
  <si>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</si>
  <si>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</si>
  <si>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</si>
  <si>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</si>
  <si>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</si>
  <si>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</si>
  <si>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</si>
  <si>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</si>
  <si>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</si>
  <si>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</si>
  <si>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</si>
  <si>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</si>
  <si>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</si>
  <si>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</si>
  <si>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</si>
  <si>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</si>
  <si>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</si>
  <si>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</si>
  <si>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</si>
  <si>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</si>
  <si>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</si>
  <si>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</si>
  <si>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</si>
  <si>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</si>
  <si>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</si>
  <si>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</si>
  <si>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</si>
  <si>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</si>
  <si>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</si>
  <si>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</si>
  <si>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</si>
  <si>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</si>
  <si>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</si>
  <si>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</si>
  <si>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</si>
  <si>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</si>
  <si>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</si>
  <si>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</si>
  <si>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</si>
  <si>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</si>
  <si>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</si>
  <si>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</si>
  <si>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</si>
  <si>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</si>
  <si>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</si>
  <si>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</si>
  <si>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</si>
  <si>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</si>
  <si>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</si>
  <si>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</si>
  <si>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</si>
  <si>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</si>
  <si>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</si>
  <si>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</si>
  <si>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</si>
  <si>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</si>
  <si>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</si>
  <si>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</si>
  <si>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</si>
  <si>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</si>
  <si>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</si>
  <si>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</si>
  <si>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</si>
  <si>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</si>
  <si>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</si>
  <si>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</si>
  <si>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</si>
  <si>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</si>
  <si>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</si>
  <si>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</si>
  <si>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</si>
  <si>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</si>
  <si>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</si>
  <si>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</si>
  <si>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</si>
  <si>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</si>
  <si>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</si>
  <si>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</si>
  <si>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</si>
  <si>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</si>
  <si>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</si>
  <si>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</si>
  <si>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</si>
  <si>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</si>
  <si>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</si>
  <si>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</si>
  <si>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</si>
  <si>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</si>
  <si>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</si>
  <si>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</si>
  <si>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</si>
  <si>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</si>
  <si>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</si>
  <si>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</si>
  <si>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</si>
  <si>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</si>
  <si>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</si>
  <si>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</si>
  <si>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</si>
  <si>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</si>
  <si>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</si>
  <si>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</si>
  <si>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</si>
  <si>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</si>
  <si>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</si>
  <si>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</si>
  <si>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</si>
  <si>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</si>
  <si>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</si>
  <si>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</si>
  <si>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</si>
  <si>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</si>
  <si>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</si>
  <si>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</si>
  <si>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</si>
  <si>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</si>
  <si>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</si>
  <si>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</si>
  <si>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</si>
  <si>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</si>
  <si>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</si>
  <si>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</si>
  <si>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</si>
  <si>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</si>
  <si>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</si>
  <si>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</si>
  <si>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</si>
  <si>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</si>
  <si>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</si>
  <si>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</si>
  <si>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</si>
  <si>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</si>
  <si>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</si>
  <si>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</si>
  <si>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</si>
  <si>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</si>
  <si>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</si>
  <si>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</si>
  <si>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</si>
  <si>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</si>
  <si>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</si>
  <si>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</si>
  <si>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</si>
  <si>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</si>
  <si>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</si>
  <si>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</si>
  <si>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</si>
  <si>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</si>
  <si>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</si>
  <si>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</si>
  <si>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</si>
  <si>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</si>
  <si>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</si>
  <si>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</si>
  <si>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</si>
  <si>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</si>
  <si>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</si>
  <si>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</si>
  <si>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</si>
  <si>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</si>
  <si>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</si>
  <si>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</si>
  <si>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</si>
  <si>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</si>
  <si>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</si>
  <si>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</si>
  <si>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</si>
  <si>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</si>
  <si>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</si>
  <si>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</si>
  <si>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</si>
  <si>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</si>
  <si>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</si>
  <si>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</si>
  <si>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</si>
  <si>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</si>
  <si>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</si>
  <si>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</si>
  <si>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</si>
  <si>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</si>
  <si>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</si>
  <si>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</si>
  <si>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</si>
  <si>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</si>
  <si>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</si>
  <si>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</si>
  <si>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</si>
  <si>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</si>
  <si>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</si>
  <si>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</si>
  <si>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</si>
  <si>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</si>
  <si>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</si>
  <si>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</si>
  <si>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</si>
  <si>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</si>
  <si>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</si>
  <si>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NAV, Unit Price and Yield as at Week Ended January 12, 2024</t>
  </si>
  <si>
    <t>Lead Dollar Fixed Income Fund</t>
  </si>
  <si>
    <t> 16.58%</t>
  </si>
  <si>
    <t>Alpha Morgan Capital Managers Limited</t>
  </si>
  <si>
    <t>Alpha Morgan Balanced Fund</t>
  </si>
  <si>
    <t>Week Ended January 12, 2024</t>
  </si>
  <si>
    <t>The Nigeria Football Fund</t>
  </si>
  <si>
    <t>GTI Asset Management &amp; Trust Limited</t>
  </si>
  <si>
    <t>WEEKLY VALUATION REPORT OF COLLECTIVE INVESTMENT SCHEMES AS AT WEEK ENDED FRIDAY, JANUARY 19, 2024</t>
  </si>
  <si>
    <t>NAV, Unit Price and Yield as at Week Ended January 19,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</si>
  <si>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19</t>
    </r>
    <r>
      <rPr>
        <vertAlign val="superscript"/>
        <sz val="6"/>
        <color theme="0"/>
        <rFont val="Times New Roman"/>
        <family val="1"/>
      </rPr>
      <t>th</t>
    </r>
    <r>
      <rPr>
        <sz val="6"/>
        <color theme="0"/>
        <rFont val="Times New Roman"/>
        <family val="1"/>
      </rPr>
      <t xml:space="preserve"> January, 2024 = 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>891.0127</t>
    </r>
  </si>
  <si>
    <t>16.57% </t>
  </si>
  <si>
    <t xml:space="preserve"> </t>
  </si>
  <si>
    <t>Week Ended January 19, 2024</t>
  </si>
  <si>
    <t>The chart above shows that the Money Market Fund has the highest share of the Aggregate Net Asset Value (NAV) at 41.98% , followed by Dollar Fund category (Eurobonds and Fixed Income) with 34.56%, Bond/Fixed Income Fund at 13.00%, Real Estate Investment Trust at 4.50%.  Next is Balanced Fund at 2.24%, Shari'ah Compliant Fund at 2.12%, Equity Fund at 1.36% and Ethical Fund at 0.23%.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</si>
</sst>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 Narrow"/>
      <family val="2"/>
    </font>
    <font>
      <sz val="6"/>
      <color theme="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vertAlign val="superscript"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</fonts>
  <fills count="4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31" fillId="0" borderId="0"/>
    <xf numFmtId="43" fontId="33" fillId="0" borderId="0" applyFont="0" applyFill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40" fillId="14" borderId="0" applyNumberFormat="0" applyBorder="0" applyAlignment="0" applyProtection="0"/>
    <xf numFmtId="0" fontId="41" fillId="15" borderId="0" applyNumberFormat="0" applyBorder="0" applyAlignment="0" applyProtection="0"/>
    <xf numFmtId="0" fontId="42" fillId="17" borderId="14" applyNumberFormat="0" applyAlignment="0" applyProtection="0"/>
    <xf numFmtId="0" fontId="43" fillId="18" borderId="15" applyNumberFormat="0" applyAlignment="0" applyProtection="0"/>
    <xf numFmtId="0" fontId="44" fillId="18" borderId="14" applyNumberFormat="0" applyAlignment="0" applyProtection="0"/>
    <xf numFmtId="0" fontId="45" fillId="0" borderId="16" applyNumberFormat="0" applyFill="0" applyAlignment="0" applyProtection="0"/>
    <xf numFmtId="0" fontId="46" fillId="19" borderId="17" applyNumberFormat="0" applyAlignment="0" applyProtection="0"/>
    <xf numFmtId="0" fontId="47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50" fillId="0" borderId="0" applyNumberFormat="0" applyFill="0" applyBorder="0" applyAlignment="0" applyProtection="0"/>
    <xf numFmtId="0" fontId="51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33" fillId="0" borderId="0" applyFont="0" applyFill="0" applyBorder="0" applyAlignment="0" applyProtection="0"/>
  </cellStyleXfs>
  <cellXfs count="157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22" fillId="0" borderId="0" xfId="0" applyFont="1"/>
    <xf numFmtId="16" fontId="23" fillId="3" borderId="0" xfId="0" applyNumberFormat="1" applyFont="1" applyFill="1"/>
    <xf numFmtId="164" fontId="24" fillId="0" borderId="0" xfId="1" applyFont="1"/>
    <xf numFmtId="0" fontId="11" fillId="3" borderId="0" xfId="0" applyFont="1" applyFill="1" applyAlignment="1">
      <alignment wrapText="1"/>
    </xf>
    <xf numFmtId="164" fontId="14" fillId="0" borderId="0" xfId="1" applyFont="1"/>
    <xf numFmtId="0" fontId="27" fillId="12" borderId="0" xfId="0" applyFont="1" applyFill="1" applyAlignment="1">
      <alignment horizontal="right" vertical="center"/>
    </xf>
    <xf numFmtId="0" fontId="28" fillId="12" borderId="0" xfId="0" applyFont="1" applyFill="1" applyAlignment="1">
      <alignment horizontal="left"/>
    </xf>
    <xf numFmtId="0" fontId="18" fillId="12" borderId="0" xfId="0" applyFont="1" applyFill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3" fontId="0" fillId="0" borderId="0" xfId="0" applyNumberFormat="1"/>
    <xf numFmtId="0" fontId="32" fillId="0" borderId="0" xfId="0" applyFont="1"/>
    <xf numFmtId="0" fontId="34" fillId="0" borderId="5" xfId="0" applyFont="1" applyBorder="1" applyAlignment="1">
      <alignment horizontal="right"/>
    </xf>
    <xf numFmtId="16" fontId="35" fillId="3" borderId="5" xfId="0" applyNumberFormat="1" applyFont="1" applyFill="1" applyBorder="1" applyAlignment="1">
      <alignment wrapText="1"/>
    </xf>
    <xf numFmtId="0" fontId="35" fillId="0" borderId="5" xfId="0" applyFont="1" applyBorder="1" applyAlignment="1">
      <alignment horizontal="right" wrapText="1"/>
    </xf>
    <xf numFmtId="4" fontId="36" fillId="3" borderId="5" xfId="0" applyNumberFormat="1" applyFont="1" applyFill="1" applyBorder="1"/>
    <xf numFmtId="0" fontId="35" fillId="0" borderId="5" xfId="0" applyFont="1" applyBorder="1" applyAlignment="1">
      <alignment horizontal="right"/>
    </xf>
    <xf numFmtId="4" fontId="36" fillId="3" borderId="5" xfId="0" applyNumberFormat="1" applyFont="1" applyFill="1" applyBorder="1" applyAlignment="1">
      <alignment horizontal="right"/>
    </xf>
    <xf numFmtId="164" fontId="36" fillId="3" borderId="5" xfId="1" applyFont="1" applyFill="1" applyBorder="1" applyAlignment="1">
      <alignment horizontal="right" vertical="top" wrapText="1"/>
    </xf>
    <xf numFmtId="16" fontId="35" fillId="3" borderId="5" xfId="0" applyNumberFormat="1" applyFont="1" applyFill="1" applyBorder="1"/>
    <xf numFmtId="0" fontId="34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4" fontId="36" fillId="3" borderId="10" xfId="0" applyNumberFormat="1" applyFont="1" applyFill="1" applyBorder="1"/>
    <xf numFmtId="164" fontId="36" fillId="3" borderId="0" xfId="1" applyFont="1" applyFill="1" applyBorder="1" applyAlignment="1">
      <alignment horizontal="right" vertical="top" wrapText="1"/>
    </xf>
    <xf numFmtId="4" fontId="36" fillId="3" borderId="0" xfId="0" applyNumberFormat="1" applyFont="1" applyFill="1"/>
    <xf numFmtId="0" fontId="6" fillId="3" borderId="5" xfId="0" applyFont="1" applyFill="1" applyBorder="1" applyAlignment="1">
      <alignment horizontal="left" wrapText="1"/>
    </xf>
    <xf numFmtId="4" fontId="0" fillId="0" borderId="0" xfId="0" applyNumberFormat="1"/>
    <xf numFmtId="49" fontId="6" fillId="0" borderId="5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13" fillId="0" borderId="5" xfId="0" applyFont="1" applyBorder="1" applyAlignment="1">
      <alignment horizontal="right"/>
    </xf>
    <xf numFmtId="16" fontId="52" fillId="3" borderId="5" xfId="0" applyNumberFormat="1" applyFont="1" applyFill="1" applyBorder="1"/>
    <xf numFmtId="0" fontId="52" fillId="0" borderId="5" xfId="0" applyFont="1" applyBorder="1" applyAlignment="1">
      <alignment horizontal="right"/>
    </xf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52" fillId="0" borderId="0" xfId="0" applyFont="1" applyAlignment="1">
      <alignment horizontal="right"/>
    </xf>
    <xf numFmtId="4" fontId="12" fillId="3" borderId="0" xfId="0" applyNumberFormat="1" applyFont="1" applyFill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6" fillId="13" borderId="0" xfId="0" applyFont="1" applyFill="1" applyAlignment="1">
      <alignment horizontal="center" wrapText="1"/>
    </xf>
    <xf numFmtId="10" fontId="4" fillId="45" borderId="5" xfId="2" applyNumberFormat="1" applyFont="1" applyFill="1" applyBorder="1" applyAlignment="1">
      <alignment horizontal="center" vertical="top" wrapText="1"/>
    </xf>
  </cellXfs>
  <cellStyles count="55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779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January 12,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26.3181584333255</c:v>
                </c:pt>
                <c:pt idx="1">
                  <c:v>903.70831878528099</c:v>
                </c:pt>
                <c:pt idx="2">
                  <c:v>287.05537656005203</c:v>
                </c:pt>
                <c:pt idx="3">
                  <c:v>726.92077537721104</c:v>
                </c:pt>
                <c:pt idx="4">
                  <c:v>96.815736652814408</c:v>
                </c:pt>
                <c:pt idx="5" formatCode="_-* #,##0.00_-;\-* #,##0.00_-;_-* &quot;-&quot;??_-;_-@_-">
                  <c:v>44.249451355676598</c:v>
                </c:pt>
                <c:pt idx="6">
                  <c:v>4.6197173147099999</c:v>
                </c:pt>
                <c:pt idx="7">
                  <c:v>47.8375097409087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January 19,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30.2069844914949</c:v>
                </c:pt>
                <c:pt idx="1">
                  <c:v>930.01036861894499</c:v>
                </c:pt>
                <c:pt idx="2">
                  <c:v>288.02719620447499</c:v>
                </c:pt>
                <c:pt idx="3">
                  <c:v>765.722989499459</c:v>
                </c:pt>
                <c:pt idx="4">
                  <c:v>99.595668997222788</c:v>
                </c:pt>
                <c:pt idx="5" formatCode="_-* #,##0.00_-;\-* #,##0.00_-;_-* &quot;-&quot;??_-;_-@_-">
                  <c:v>49.666823038976098</c:v>
                </c:pt>
                <c:pt idx="6">
                  <c:v>5.1808093081199997</c:v>
                </c:pt>
                <c:pt idx="7">
                  <c:v>47.060563752939203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19TH JANUARY,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19-Jan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5180809308.1199999</c:v>
                </c:pt>
                <c:pt idx="1">
                  <c:v>30206984491.494904</c:v>
                </c:pt>
                <c:pt idx="2">
                  <c:v>47060563752.939224</c:v>
                </c:pt>
                <c:pt idx="3" formatCode="_-* #,##0.00_-;\-* #,##0.00_-;_-* &quot;-&quot;??_-;_-@_-">
                  <c:v>49666823038.976089</c:v>
                </c:pt>
                <c:pt idx="4">
                  <c:v>99595668997.222809</c:v>
                </c:pt>
                <c:pt idx="5">
                  <c:v>288027196204.47491</c:v>
                </c:pt>
                <c:pt idx="6">
                  <c:v>765722989499.45947</c:v>
                </c:pt>
                <c:pt idx="7">
                  <c:v>930010368618.9447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'NAV Movement'!$B$2:$I$2</c:f>
              <c:numCache>
                <c:formatCode>d\-mmm</c:formatCode>
                <c:ptCount val="8"/>
                <c:pt idx="0">
                  <c:v>45261</c:v>
                </c:pt>
                <c:pt idx="1">
                  <c:v>45268</c:v>
                </c:pt>
                <c:pt idx="2">
                  <c:v>45275</c:v>
                </c:pt>
                <c:pt idx="3">
                  <c:v>45282</c:v>
                </c:pt>
                <c:pt idx="4">
                  <c:v>45289</c:v>
                </c:pt>
                <c:pt idx="5">
                  <c:v>45296</c:v>
                </c:pt>
                <c:pt idx="6">
                  <c:v>45303</c:v>
                </c:pt>
                <c:pt idx="7">
                  <c:v>45310</c:v>
                </c:pt>
              </c:numCache>
            </c:numRef>
          </c:cat>
          <c:val>
            <c:numRef>
              <c:f>'NAV Movement'!$B$3:$I$3</c:f>
              <c:numCache>
                <c:formatCode>_-* #,##0.00_-;\-* #,##0.00_-;_-* "-"??_-;_-@_-</c:formatCode>
                <c:ptCount val="8"/>
                <c:pt idx="0">
                  <c:v>2120.3816511046102</c:v>
                </c:pt>
                <c:pt idx="1">
                  <c:v>2247.7796819935202</c:v>
                </c:pt>
                <c:pt idx="2">
                  <c:v>2080.2043714910401</c:v>
                </c:pt>
                <c:pt idx="3">
                  <c:v>2101.7818089925099</c:v>
                </c:pt>
                <c:pt idx="4">
                  <c:v>2134.0445986879599</c:v>
                </c:pt>
                <c:pt idx="5">
                  <c:v>2137.5250442199799</c:v>
                </c:pt>
                <c:pt idx="6">
                  <c:v>2218.2047771558</c:v>
                </c:pt>
                <c:pt idx="7">
                  <c:v>2215.4714039116297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60</xdr:row>
      <xdr:rowOff>0</xdr:rowOff>
    </xdr:from>
    <xdr:to>
      <xdr:col>25</xdr:col>
      <xdr:colOff>457201</xdr:colOff>
      <xdr:row>67</xdr:row>
      <xdr:rowOff>180975</xdr:rowOff>
    </xdr:to>
    <xdr:sp macro="" textlink="">
      <xdr:nvSpPr>
        <xdr:cNvPr id="4097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25</xdr:col>
      <xdr:colOff>457201</xdr:colOff>
      <xdr:row>67</xdr:row>
      <xdr:rowOff>180975</xdr:rowOff>
    </xdr:to>
    <xdr:sp macro="" textlink="">
      <xdr:nvSpPr>
        <xdr:cNvPr id="4098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520065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100853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21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6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1.5703125" bestFit="1" customWidth="1"/>
    <col min="26" max="26" width="15.85546875" customWidth="1"/>
    <col min="27" max="27" width="17.28515625" customWidth="1"/>
  </cols>
  <sheetData>
    <row r="1" spans="1:25" ht="26.25">
      <c r="A1" s="143" t="s">
        <v>261</v>
      </c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6"/>
    </row>
    <row r="2" spans="1:25" ht="15" customHeight="1">
      <c r="A2" s="1"/>
      <c r="B2" s="1"/>
      <c r="C2" s="1"/>
      <c r="D2" s="150" t="s">
        <v>253</v>
      </c>
      <c r="E2" s="151"/>
      <c r="F2" s="151"/>
      <c r="G2" s="151"/>
      <c r="H2" s="151"/>
      <c r="I2" s="151"/>
      <c r="J2" s="152"/>
      <c r="K2" s="150" t="s">
        <v>262</v>
      </c>
      <c r="L2" s="151"/>
      <c r="M2" s="151"/>
      <c r="N2" s="151"/>
      <c r="O2" s="151"/>
      <c r="P2" s="151"/>
      <c r="Q2" s="152"/>
      <c r="R2" s="150" t="s">
        <v>0</v>
      </c>
      <c r="S2" s="151"/>
      <c r="T2" s="152"/>
      <c r="U2" s="147" t="s">
        <v>1</v>
      </c>
      <c r="V2" s="147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</row>
    <row r="5" spans="1:25" ht="15" customHeight="1">
      <c r="A5" s="149" t="s">
        <v>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</row>
    <row r="6" spans="1:25">
      <c r="A6" s="75">
        <v>1</v>
      </c>
      <c r="B6" s="114" t="s">
        <v>16</v>
      </c>
      <c r="C6" s="115" t="s">
        <v>17</v>
      </c>
      <c r="D6" s="2">
        <v>1057911264.51</v>
      </c>
      <c r="E6" s="3">
        <f t="shared" ref="E6:E21" si="0">(D6/$D$22)</f>
        <v>3.7849090825357333E-2</v>
      </c>
      <c r="F6" s="8">
        <v>347.24239999999998</v>
      </c>
      <c r="G6" s="8">
        <v>349.25630000000001</v>
      </c>
      <c r="H6" s="60">
        <v>1727</v>
      </c>
      <c r="I6" s="5">
        <v>5.04E-2</v>
      </c>
      <c r="J6" s="5">
        <v>0.1206</v>
      </c>
      <c r="K6" s="2">
        <v>1171201493.78</v>
      </c>
      <c r="L6" s="3">
        <f>(K6/$K$22)</f>
        <v>3.8772539314864886E-2</v>
      </c>
      <c r="M6" s="8">
        <v>370.4425</v>
      </c>
      <c r="N6" s="8">
        <v>372.5333</v>
      </c>
      <c r="O6" s="60">
        <v>1727</v>
      </c>
      <c r="P6" s="5">
        <v>6.6799999999999998E-2</v>
      </c>
      <c r="Q6" s="5">
        <v>0.19539999999999999</v>
      </c>
      <c r="R6" s="80">
        <f>((K6-D6)/D6)</f>
        <v>0.10708859341097327</v>
      </c>
      <c r="S6" s="80">
        <f>((N6-G6)/G6)</f>
        <v>6.6647330341643052E-2</v>
      </c>
      <c r="T6" s="80">
        <f>((O6-H6)/H6)</f>
        <v>0</v>
      </c>
      <c r="U6" s="81">
        <f>P6-I6</f>
        <v>1.6399999999999998E-2</v>
      </c>
      <c r="V6" s="83">
        <f>Q6-J6</f>
        <v>7.4799999999999991E-2</v>
      </c>
    </row>
    <row r="7" spans="1:25">
      <c r="A7" s="75">
        <v>2</v>
      </c>
      <c r="B7" s="114" t="s">
        <v>18</v>
      </c>
      <c r="C7" s="115" t="s">
        <v>19</v>
      </c>
      <c r="D7" s="4">
        <v>598103308.69000006</v>
      </c>
      <c r="E7" s="3">
        <f t="shared" si="0"/>
        <v>2.1398454873282582E-2</v>
      </c>
      <c r="F7" s="4">
        <v>217.5556</v>
      </c>
      <c r="G7" s="4">
        <v>220.23869999999999</v>
      </c>
      <c r="H7" s="60">
        <v>377</v>
      </c>
      <c r="I7" s="5">
        <v>6.2769999999999996E-3</v>
      </c>
      <c r="J7" s="5">
        <v>0.1246</v>
      </c>
      <c r="K7" s="4">
        <v>679126269.62</v>
      </c>
      <c r="L7" s="3">
        <f t="shared" ref="L7:L21" si="1">(K7/$K$22)</f>
        <v>2.2482425209017973E-2</v>
      </c>
      <c r="M7" s="4">
        <v>243.91409999999999</v>
      </c>
      <c r="N7" s="4">
        <v>246.9572</v>
      </c>
      <c r="O7" s="60">
        <v>381</v>
      </c>
      <c r="P7" s="5">
        <v>2.2702E-2</v>
      </c>
      <c r="Q7" s="5">
        <v>0.26079999999999998</v>
      </c>
      <c r="R7" s="80">
        <f t="shared" ref="R7:R22" si="2">((K7-D7)/D7)</f>
        <v>0.13546649843395961</v>
      </c>
      <c r="S7" s="80">
        <f t="shared" ref="S7:S22" si="3">((N7-G7)/G7)</f>
        <v>0.1213160993049814</v>
      </c>
      <c r="T7" s="80">
        <f t="shared" ref="T7:T22" si="4">((O7-H7)/H7)</f>
        <v>1.0610079575596816E-2</v>
      </c>
      <c r="U7" s="81">
        <f t="shared" ref="U7:U22" si="5">P7-I7</f>
        <v>1.6425000000000002E-2</v>
      </c>
      <c r="V7" s="83">
        <f t="shared" ref="V7:V22" si="6">Q7-J7</f>
        <v>0.13619999999999999</v>
      </c>
    </row>
    <row r="8" spans="1:25">
      <c r="A8" s="75">
        <v>3</v>
      </c>
      <c r="B8" s="114" t="s">
        <v>20</v>
      </c>
      <c r="C8" s="115" t="s">
        <v>21</v>
      </c>
      <c r="D8" s="4">
        <v>3619423749.6799998</v>
      </c>
      <c r="E8" s="3">
        <f t="shared" si="0"/>
        <v>0.12949280609139294</v>
      </c>
      <c r="F8" s="4">
        <v>33.228499999999997</v>
      </c>
      <c r="G8" s="4">
        <v>34.230400000000003</v>
      </c>
      <c r="H8" s="62">
        <v>6353</v>
      </c>
      <c r="I8" s="6">
        <v>1.581</v>
      </c>
      <c r="J8" s="6">
        <v>2.6749999999999998</v>
      </c>
      <c r="K8" s="4">
        <v>4033168062.5300002</v>
      </c>
      <c r="L8" s="3">
        <f t="shared" si="1"/>
        <v>0.13351773208827189</v>
      </c>
      <c r="M8" s="4">
        <v>36.953899999999997</v>
      </c>
      <c r="N8" s="4">
        <v>38.068100000000001</v>
      </c>
      <c r="O8" s="62">
        <v>6354</v>
      </c>
      <c r="P8" s="6">
        <v>5.8619000000000003</v>
      </c>
      <c r="Q8" s="6">
        <v>4.0385999999999997</v>
      </c>
      <c r="R8" s="80">
        <f t="shared" si="2"/>
        <v>0.11431220588265752</v>
      </c>
      <c r="S8" s="80">
        <f t="shared" si="3"/>
        <v>0.11211379358698693</v>
      </c>
      <c r="T8" s="80">
        <f t="shared" si="4"/>
        <v>1.5740594994490792E-4</v>
      </c>
      <c r="U8" s="81">
        <f t="shared" si="5"/>
        <v>4.2809000000000008</v>
      </c>
      <c r="V8" s="83">
        <f t="shared" si="6"/>
        <v>1.3635999999999999</v>
      </c>
      <c r="X8" s="101"/>
      <c r="Y8" s="101"/>
    </row>
    <row r="9" spans="1:25">
      <c r="A9" s="75">
        <v>4</v>
      </c>
      <c r="B9" s="114" t="s">
        <v>22</v>
      </c>
      <c r="C9" s="115" t="s">
        <v>23</v>
      </c>
      <c r="D9" s="4">
        <v>613272547.78999996</v>
      </c>
      <c r="E9" s="3">
        <f t="shared" si="0"/>
        <v>2.1941167601380231E-2</v>
      </c>
      <c r="F9" s="4">
        <v>224.07669999999999</v>
      </c>
      <c r="G9" s="4">
        <v>224.07669999999999</v>
      </c>
      <c r="H9" s="60">
        <v>1739</v>
      </c>
      <c r="I9" s="5">
        <v>2.4254173092728148E-2</v>
      </c>
      <c r="J9" s="5">
        <v>9.9768903918455942E-2</v>
      </c>
      <c r="K9" s="4">
        <v>719826929.90999997</v>
      </c>
      <c r="L9" s="3">
        <f t="shared" si="1"/>
        <v>2.3829817574563754E-2</v>
      </c>
      <c r="M9" s="4">
        <v>247.26419999999999</v>
      </c>
      <c r="N9" s="4">
        <v>247.26419999999999</v>
      </c>
      <c r="O9" s="60">
        <v>1748</v>
      </c>
      <c r="P9" s="5">
        <v>0.10348019227344918</v>
      </c>
      <c r="Q9" s="5">
        <v>0.2135732015522982</v>
      </c>
      <c r="R9" s="80">
        <f t="shared" si="2"/>
        <v>0.17374719038701683</v>
      </c>
      <c r="S9" s="80">
        <f t="shared" si="3"/>
        <v>0.10348019227344923</v>
      </c>
      <c r="T9" s="80">
        <f t="shared" si="4"/>
        <v>5.1753881541115581E-3</v>
      </c>
      <c r="U9" s="81">
        <f t="shared" si="5"/>
        <v>7.922601918072103E-2</v>
      </c>
      <c r="V9" s="83">
        <f t="shared" si="6"/>
        <v>0.11380429763384226</v>
      </c>
    </row>
    <row r="10" spans="1:25">
      <c r="A10" s="75">
        <v>5</v>
      </c>
      <c r="B10" s="114" t="s">
        <v>24</v>
      </c>
      <c r="C10" s="115" t="s">
        <v>25</v>
      </c>
      <c r="D10" s="7">
        <v>119455131.3</v>
      </c>
      <c r="E10" s="3">
        <f t="shared" si="0"/>
        <v>4.2737687609582572E-3</v>
      </c>
      <c r="F10" s="4">
        <v>153.584</v>
      </c>
      <c r="G10" s="4">
        <v>154.29730000000001</v>
      </c>
      <c r="H10" s="62">
        <v>69</v>
      </c>
      <c r="I10" s="6">
        <v>4.7270000000000003E-3</v>
      </c>
      <c r="J10" s="6">
        <v>0.3478</v>
      </c>
      <c r="K10" s="7">
        <v>94822589.780000001</v>
      </c>
      <c r="L10" s="3">
        <f t="shared" si="1"/>
        <v>3.1390948608822013E-3</v>
      </c>
      <c r="M10" s="4">
        <v>162.68010000000001</v>
      </c>
      <c r="N10" s="4">
        <v>163.56229999999999</v>
      </c>
      <c r="O10" s="62">
        <v>74</v>
      </c>
      <c r="P10" s="6">
        <v>5.7019999999999996E-3</v>
      </c>
      <c r="Q10" s="6">
        <v>0.38429999999999997</v>
      </c>
      <c r="R10" s="80">
        <f t="shared" si="2"/>
        <v>-0.20620747934333397</v>
      </c>
      <c r="S10" s="80">
        <f t="shared" si="3"/>
        <v>6.004641688480606E-2</v>
      </c>
      <c r="T10" s="80">
        <f t="shared" si="4"/>
        <v>7.2463768115942032E-2</v>
      </c>
      <c r="U10" s="81">
        <f t="shared" si="5"/>
        <v>9.749999999999993E-4</v>
      </c>
      <c r="V10" s="83">
        <f t="shared" si="6"/>
        <v>3.6499999999999977E-2</v>
      </c>
    </row>
    <row r="11" spans="1:25">
      <c r="A11" s="75">
        <v>6</v>
      </c>
      <c r="B11" s="114" t="s">
        <v>26</v>
      </c>
      <c r="C11" s="115" t="s">
        <v>27</v>
      </c>
      <c r="D11" s="4">
        <v>1097593770.4200001</v>
      </c>
      <c r="E11" s="3">
        <f t="shared" si="0"/>
        <v>3.9268819323154396E-2</v>
      </c>
      <c r="F11" s="4">
        <v>274.43</v>
      </c>
      <c r="G11" s="4">
        <v>278.14999999999998</v>
      </c>
      <c r="H11" s="62">
        <v>1591</v>
      </c>
      <c r="I11" s="6">
        <v>5.5300000000000002E-2</v>
      </c>
      <c r="J11" s="6">
        <v>0.1036</v>
      </c>
      <c r="K11" s="4">
        <v>1195866886.6600001</v>
      </c>
      <c r="L11" s="3">
        <f t="shared" si="1"/>
        <v>3.9589085332126052E-2</v>
      </c>
      <c r="M11" s="4">
        <v>297.83999999999997</v>
      </c>
      <c r="N11" s="4">
        <v>302.39</v>
      </c>
      <c r="O11" s="62">
        <v>1594</v>
      </c>
      <c r="P11" s="6">
        <v>8.6199999999999999E-2</v>
      </c>
      <c r="Q11" s="6">
        <v>0.19769999999999999</v>
      </c>
      <c r="R11" s="80">
        <f t="shared" si="2"/>
        <v>8.9535052847826646E-2</v>
      </c>
      <c r="S11" s="80">
        <f t="shared" si="3"/>
        <v>8.7147222721553161E-2</v>
      </c>
      <c r="T11" s="80">
        <f t="shared" si="4"/>
        <v>1.8856065367693275E-3</v>
      </c>
      <c r="U11" s="81">
        <f t="shared" si="5"/>
        <v>3.0899999999999997E-2</v>
      </c>
      <c r="V11" s="83">
        <f t="shared" si="6"/>
        <v>9.4099999999999989E-2</v>
      </c>
    </row>
    <row r="12" spans="1:25">
      <c r="A12" s="75">
        <v>7</v>
      </c>
      <c r="B12" s="114" t="s">
        <v>28</v>
      </c>
      <c r="C12" s="115" t="s">
        <v>29</v>
      </c>
      <c r="D12" s="2">
        <v>360466123.98000002</v>
      </c>
      <c r="E12" s="3">
        <f t="shared" si="0"/>
        <v>1.2896464499130563E-2</v>
      </c>
      <c r="F12" s="4">
        <v>181.32</v>
      </c>
      <c r="G12" s="4">
        <v>185.99</v>
      </c>
      <c r="H12" s="60">
        <v>2379</v>
      </c>
      <c r="I12" s="5">
        <v>2.946E-2</v>
      </c>
      <c r="J12" s="5">
        <v>8.0629999999999993E-2</v>
      </c>
      <c r="K12" s="2">
        <v>367410182.85000002</v>
      </c>
      <c r="L12" s="3">
        <f t="shared" si="1"/>
        <v>1.2163087081845202E-2</v>
      </c>
      <c r="M12" s="4">
        <v>184.81</v>
      </c>
      <c r="N12" s="4">
        <v>189.92</v>
      </c>
      <c r="O12" s="60">
        <v>2379</v>
      </c>
      <c r="P12" s="5">
        <v>1.9199999999999998E-2</v>
      </c>
      <c r="Q12" s="5">
        <v>0.10143000000000001</v>
      </c>
      <c r="R12" s="80">
        <f t="shared" si="2"/>
        <v>1.9264109462850069E-2</v>
      </c>
      <c r="S12" s="80">
        <f t="shared" si="3"/>
        <v>2.1130168288617551E-2</v>
      </c>
      <c r="T12" s="80">
        <f t="shared" si="4"/>
        <v>0</v>
      </c>
      <c r="U12" s="81">
        <f t="shared" si="5"/>
        <v>-1.0260000000000002E-2</v>
      </c>
      <c r="V12" s="83">
        <f t="shared" si="6"/>
        <v>2.0800000000000013E-2</v>
      </c>
    </row>
    <row r="13" spans="1:25">
      <c r="A13" s="75">
        <v>8</v>
      </c>
      <c r="B13" s="114" t="s">
        <v>30</v>
      </c>
      <c r="C13" s="115" t="s">
        <v>31</v>
      </c>
      <c r="D13" s="7">
        <v>52054783.350000001</v>
      </c>
      <c r="E13" s="3">
        <f t="shared" si="0"/>
        <v>1.8623738010966468E-3</v>
      </c>
      <c r="F13" s="4">
        <v>208.18</v>
      </c>
      <c r="G13" s="4">
        <v>200.52</v>
      </c>
      <c r="H13" s="60">
        <v>4</v>
      </c>
      <c r="I13" s="5">
        <v>2.3099999999999999E-2</v>
      </c>
      <c r="J13" s="5">
        <v>9.4600000000000004E-2</v>
      </c>
      <c r="K13" s="7">
        <v>54516533.380000003</v>
      </c>
      <c r="L13" s="3">
        <f t="shared" si="1"/>
        <v>1.8047658280934897E-3</v>
      </c>
      <c r="M13" s="4">
        <v>216.4</v>
      </c>
      <c r="N13" s="4">
        <v>204.78</v>
      </c>
      <c r="O13" s="60">
        <v>4</v>
      </c>
      <c r="P13" s="5">
        <v>4.7300000000000002E-2</v>
      </c>
      <c r="Q13" s="5">
        <v>0.1464</v>
      </c>
      <c r="R13" s="80">
        <f t="shared" si="2"/>
        <v>4.7291523882598219E-2</v>
      </c>
      <c r="S13" s="80">
        <f t="shared" si="3"/>
        <v>2.1244763614601987E-2</v>
      </c>
      <c r="T13" s="80">
        <f t="shared" si="4"/>
        <v>0</v>
      </c>
      <c r="U13" s="81">
        <f t="shared" si="5"/>
        <v>2.4200000000000003E-2</v>
      </c>
      <c r="V13" s="83">
        <f t="shared" si="6"/>
        <v>5.1799999999999999E-2</v>
      </c>
    </row>
    <row r="14" spans="1:25" ht="14.25" customHeight="1">
      <c r="A14" s="75">
        <v>9</v>
      </c>
      <c r="B14" s="114" t="s">
        <v>238</v>
      </c>
      <c r="C14" s="115" t="s">
        <v>32</v>
      </c>
      <c r="D14" s="2">
        <v>559161998.20679998</v>
      </c>
      <c r="E14" s="3">
        <f t="shared" si="0"/>
        <v>2.0005244264054638E-2</v>
      </c>
      <c r="F14" s="4">
        <v>1.7765</v>
      </c>
      <c r="G14" s="4">
        <v>1.8352999999999999</v>
      </c>
      <c r="H14" s="60">
        <v>403</v>
      </c>
      <c r="I14" s="5">
        <v>2.3388444034794675E-2</v>
      </c>
      <c r="J14" s="5">
        <v>0.43162220968651788</v>
      </c>
      <c r="K14" s="2">
        <v>567524887.11489999</v>
      </c>
      <c r="L14" s="3">
        <f t="shared" si="1"/>
        <v>1.8787869648977794E-2</v>
      </c>
      <c r="M14" s="4">
        <v>1.8065</v>
      </c>
      <c r="N14" s="4">
        <v>1.8666</v>
      </c>
      <c r="O14" s="60">
        <v>404</v>
      </c>
      <c r="P14" s="5">
        <v>1.68871376301718E-2</v>
      </c>
      <c r="Q14" s="5">
        <v>0.45579821097590467</v>
      </c>
      <c r="R14" s="80">
        <f t="shared" si="2"/>
        <v>1.495611099273432E-2</v>
      </c>
      <c r="S14" s="80">
        <f t="shared" si="3"/>
        <v>1.7054432517844553E-2</v>
      </c>
      <c r="T14" s="80">
        <f t="shared" si="4"/>
        <v>2.4813895781637717E-3</v>
      </c>
      <c r="U14" s="81">
        <f t="shared" si="5"/>
        <v>-6.5013064046228752E-3</v>
      </c>
      <c r="V14" s="83">
        <f t="shared" si="6"/>
        <v>2.4176001289386795E-2</v>
      </c>
    </row>
    <row r="15" spans="1:25">
      <c r="A15" s="75">
        <v>10</v>
      </c>
      <c r="B15" s="114" t="s">
        <v>33</v>
      </c>
      <c r="C15" s="115" t="s">
        <v>34</v>
      </c>
      <c r="D15" s="2">
        <v>1495161939.02</v>
      </c>
      <c r="E15" s="3">
        <f t="shared" si="0"/>
        <v>5.3492690669851961E-2</v>
      </c>
      <c r="F15" s="4">
        <v>3.01</v>
      </c>
      <c r="G15" s="4">
        <v>3.07</v>
      </c>
      <c r="H15" s="60">
        <v>3669</v>
      </c>
      <c r="I15" s="5">
        <v>2.07E-2</v>
      </c>
      <c r="J15" s="5">
        <v>8.6199999999999999E-2</v>
      </c>
      <c r="K15" s="2">
        <v>1677308634.4400001</v>
      </c>
      <c r="L15" s="3">
        <f t="shared" si="1"/>
        <v>5.5527178984458511E-2</v>
      </c>
      <c r="M15" s="4">
        <v>3.37</v>
      </c>
      <c r="N15" s="4">
        <v>3.45</v>
      </c>
      <c r="O15" s="60">
        <v>3668</v>
      </c>
      <c r="P15" s="5">
        <v>0.1104</v>
      </c>
      <c r="Q15" s="5">
        <v>0.21820000000000001</v>
      </c>
      <c r="R15" s="80">
        <f t="shared" si="2"/>
        <v>0.12182405842900713</v>
      </c>
      <c r="S15" s="80">
        <f t="shared" si="3"/>
        <v>0.12377850162866461</v>
      </c>
      <c r="T15" s="80">
        <f t="shared" si="4"/>
        <v>-2.7255382938130282E-4</v>
      </c>
      <c r="U15" s="81">
        <f t="shared" si="5"/>
        <v>8.9700000000000002E-2</v>
      </c>
      <c r="V15" s="83">
        <f t="shared" si="6"/>
        <v>0.13200000000000001</v>
      </c>
    </row>
    <row r="16" spans="1:25">
      <c r="A16" s="75">
        <v>11</v>
      </c>
      <c r="B16" s="114" t="s">
        <v>35</v>
      </c>
      <c r="C16" s="115" t="s">
        <v>36</v>
      </c>
      <c r="D16" s="4">
        <v>634299120.15999997</v>
      </c>
      <c r="E16" s="3">
        <f t="shared" si="0"/>
        <v>2.2693439246532523E-2</v>
      </c>
      <c r="F16" s="4">
        <v>20.475877000000001</v>
      </c>
      <c r="G16" s="4">
        <v>20.637049000000001</v>
      </c>
      <c r="H16" s="60">
        <v>295</v>
      </c>
      <c r="I16" s="5">
        <v>3.0700000000000002E-2</v>
      </c>
      <c r="J16" s="5">
        <v>0.1153</v>
      </c>
      <c r="K16" s="4">
        <v>679032393.79999995</v>
      </c>
      <c r="L16" s="3">
        <f t="shared" si="1"/>
        <v>2.2479317456901026E-2</v>
      </c>
      <c r="M16" s="4">
        <v>21.498815</v>
      </c>
      <c r="N16" s="4">
        <v>21.663440000000001</v>
      </c>
      <c r="O16" s="60">
        <v>303</v>
      </c>
      <c r="P16" s="5">
        <v>0.05</v>
      </c>
      <c r="Q16" s="5">
        <v>0.17100000000000001</v>
      </c>
      <c r="R16" s="80">
        <f t="shared" si="2"/>
        <v>7.0523940863604154E-2</v>
      </c>
      <c r="S16" s="80">
        <f t="shared" si="3"/>
        <v>4.9735357027063325E-2</v>
      </c>
      <c r="T16" s="80">
        <f t="shared" si="4"/>
        <v>2.7118644067796609E-2</v>
      </c>
      <c r="U16" s="81">
        <f t="shared" si="5"/>
        <v>1.9300000000000001E-2</v>
      </c>
      <c r="V16" s="83">
        <f t="shared" si="6"/>
        <v>5.5700000000000013E-2</v>
      </c>
    </row>
    <row r="17" spans="1:22">
      <c r="A17" s="75">
        <v>12</v>
      </c>
      <c r="B17" s="114" t="s">
        <v>37</v>
      </c>
      <c r="C17" s="115" t="s">
        <v>38</v>
      </c>
      <c r="D17" s="4">
        <v>337641698.06</v>
      </c>
      <c r="E17" s="3">
        <f t="shared" si="0"/>
        <v>1.2079870708456775E-2</v>
      </c>
      <c r="F17" s="4">
        <v>2.4300000000000002</v>
      </c>
      <c r="G17" s="4">
        <v>2.46</v>
      </c>
      <c r="H17" s="60">
        <v>17</v>
      </c>
      <c r="I17" s="5">
        <v>1E-4</v>
      </c>
      <c r="J17" s="5">
        <v>1.2999999999999999E-3</v>
      </c>
      <c r="K17" s="4">
        <v>373588950.63</v>
      </c>
      <c r="L17" s="3">
        <f t="shared" si="1"/>
        <v>1.236763473478089E-2</v>
      </c>
      <c r="M17" s="4">
        <v>2.6916220000000002</v>
      </c>
      <c r="N17" s="4">
        <v>2.7193290000000001</v>
      </c>
      <c r="O17" s="60">
        <v>17</v>
      </c>
      <c r="P17" s="5">
        <v>2.0000000000000001E-4</v>
      </c>
      <c r="Q17" s="5">
        <v>2.5000000000000001E-3</v>
      </c>
      <c r="R17" s="80">
        <f t="shared" si="2"/>
        <v>0.1064656787847692</v>
      </c>
      <c r="S17" s="80">
        <f t="shared" si="3"/>
        <v>0.10541829268292689</v>
      </c>
      <c r="T17" s="80">
        <f t="shared" si="4"/>
        <v>0</v>
      </c>
      <c r="U17" s="81">
        <f t="shared" si="5"/>
        <v>1E-4</v>
      </c>
      <c r="V17" s="83">
        <f t="shared" si="6"/>
        <v>1.2000000000000001E-3</v>
      </c>
    </row>
    <row r="18" spans="1:22">
      <c r="A18" s="75">
        <v>13</v>
      </c>
      <c r="B18" s="114" t="s">
        <v>39</v>
      </c>
      <c r="C18" s="115" t="s">
        <v>40</v>
      </c>
      <c r="D18" s="2">
        <v>1245395169.04</v>
      </c>
      <c r="E18" s="3">
        <f t="shared" si="0"/>
        <v>4.4556737835936562E-2</v>
      </c>
      <c r="F18" s="4">
        <v>28.01</v>
      </c>
      <c r="G18" s="4">
        <v>28.65</v>
      </c>
      <c r="H18" s="60">
        <v>8825</v>
      </c>
      <c r="I18" s="5">
        <v>0.04</v>
      </c>
      <c r="J18" s="5">
        <v>0.10050000000000001</v>
      </c>
      <c r="K18" s="2">
        <v>1318960102.26</v>
      </c>
      <c r="L18" s="3">
        <f t="shared" si="1"/>
        <v>4.3664077181599086E-2</v>
      </c>
      <c r="M18" s="4">
        <v>29.63</v>
      </c>
      <c r="N18" s="4">
        <v>30.31</v>
      </c>
      <c r="O18" s="60">
        <v>8829</v>
      </c>
      <c r="P18" s="5">
        <v>5.8099999999999999E-2</v>
      </c>
      <c r="Q18" s="5">
        <v>0.17910000000000001</v>
      </c>
      <c r="R18" s="80">
        <f t="shared" si="2"/>
        <v>5.9069550813101994E-2</v>
      </c>
      <c r="S18" s="80">
        <f t="shared" si="3"/>
        <v>5.7940663176265277E-2</v>
      </c>
      <c r="T18" s="80">
        <f t="shared" si="4"/>
        <v>4.5325779036827196E-4</v>
      </c>
      <c r="U18" s="81">
        <f t="shared" si="5"/>
        <v>1.8099999999999998E-2</v>
      </c>
      <c r="V18" s="83">
        <f t="shared" si="6"/>
        <v>7.8600000000000003E-2</v>
      </c>
    </row>
    <row r="19" spans="1:22" ht="12.75" customHeight="1">
      <c r="A19" s="75">
        <v>14</v>
      </c>
      <c r="B19" s="114" t="s">
        <v>41</v>
      </c>
      <c r="C19" s="115" t="s">
        <v>42</v>
      </c>
      <c r="D19" s="2">
        <v>680218173.42999995</v>
      </c>
      <c r="E19" s="3">
        <f t="shared" si="0"/>
        <v>2.4336293875399387E-2</v>
      </c>
      <c r="F19" s="4">
        <v>6214.35</v>
      </c>
      <c r="G19" s="4">
        <v>6287.62</v>
      </c>
      <c r="H19" s="60">
        <v>1135</v>
      </c>
      <c r="I19" s="5">
        <v>4.3999999999999997E-2</v>
      </c>
      <c r="J19" s="5">
        <v>0.1552</v>
      </c>
      <c r="K19" s="2">
        <v>724691913.55999994</v>
      </c>
      <c r="L19" s="3">
        <f t="shared" si="1"/>
        <v>2.3990872500498837E-2</v>
      </c>
      <c r="M19" s="4">
        <v>6617.62</v>
      </c>
      <c r="N19" s="4">
        <v>6700.79</v>
      </c>
      <c r="O19" s="60">
        <v>1135</v>
      </c>
      <c r="P19" s="5">
        <v>6.5699999999999995E-2</v>
      </c>
      <c r="Q19" s="5">
        <v>0.23</v>
      </c>
      <c r="R19" s="80">
        <f t="shared" si="2"/>
        <v>6.5381581773596514E-2</v>
      </c>
      <c r="S19" s="80">
        <f t="shared" si="3"/>
        <v>6.5711668326012079E-2</v>
      </c>
      <c r="T19" s="80">
        <f t="shared" si="4"/>
        <v>0</v>
      </c>
      <c r="U19" s="81">
        <f t="shared" si="5"/>
        <v>2.1699999999999997E-2</v>
      </c>
      <c r="V19" s="83">
        <f t="shared" si="6"/>
        <v>7.4800000000000005E-2</v>
      </c>
    </row>
    <row r="20" spans="1:22">
      <c r="A20" s="75">
        <v>15</v>
      </c>
      <c r="B20" s="114" t="s">
        <v>43</v>
      </c>
      <c r="C20" s="115" t="s">
        <v>42</v>
      </c>
      <c r="D20" s="4">
        <v>12270891039.200001</v>
      </c>
      <c r="E20" s="3">
        <f t="shared" si="0"/>
        <v>0.43901798291736982</v>
      </c>
      <c r="F20" s="4">
        <v>20718.25</v>
      </c>
      <c r="G20" s="4">
        <v>20976.47</v>
      </c>
      <c r="H20" s="60">
        <v>29544</v>
      </c>
      <c r="I20" s="5">
        <v>3.9199999999999999E-2</v>
      </c>
      <c r="J20" s="5">
        <v>0.14230000000000001</v>
      </c>
      <c r="K20" s="4">
        <v>13072320107.1</v>
      </c>
      <c r="L20" s="3">
        <f t="shared" si="1"/>
        <v>0.43275819573385921</v>
      </c>
      <c r="M20" s="4">
        <v>21952.85</v>
      </c>
      <c r="N20" s="4">
        <v>22226.67</v>
      </c>
      <c r="O20" s="60">
        <v>29596</v>
      </c>
      <c r="P20" s="5">
        <v>5.96E-2</v>
      </c>
      <c r="Q20" s="5">
        <v>0.2104</v>
      </c>
      <c r="R20" s="80">
        <f t="shared" si="2"/>
        <v>6.5311399582947377E-2</v>
      </c>
      <c r="S20" s="80">
        <f t="shared" si="3"/>
        <v>5.9600113841842647E-2</v>
      </c>
      <c r="T20" s="80">
        <f t="shared" si="4"/>
        <v>1.760086650419713E-3</v>
      </c>
      <c r="U20" s="81">
        <f t="shared" si="5"/>
        <v>2.0400000000000001E-2</v>
      </c>
      <c r="V20" s="83">
        <f t="shared" si="6"/>
        <v>6.8099999999999994E-2</v>
      </c>
    </row>
    <row r="21" spans="1:22">
      <c r="A21" s="75">
        <v>16</v>
      </c>
      <c r="B21" s="115" t="s">
        <v>44</v>
      </c>
      <c r="C21" s="115" t="s">
        <v>45</v>
      </c>
      <c r="D21" s="4">
        <v>3209721032.3600001</v>
      </c>
      <c r="E21" s="3">
        <f t="shared" si="0"/>
        <v>0.11483479470664527</v>
      </c>
      <c r="F21" s="4">
        <v>1.5712999999999999</v>
      </c>
      <c r="G21" s="8">
        <v>1.589</v>
      </c>
      <c r="H21" s="60">
        <v>3554</v>
      </c>
      <c r="I21" s="5">
        <v>3.1600000000000003E-2</v>
      </c>
      <c r="J21" s="5">
        <v>0.15620000000000001</v>
      </c>
      <c r="K21" s="4">
        <v>3477618554.0799999</v>
      </c>
      <c r="L21" s="3">
        <f t="shared" si="1"/>
        <v>0.11512630646925913</v>
      </c>
      <c r="M21" s="4">
        <v>1.6909000000000001</v>
      </c>
      <c r="N21" s="8">
        <v>1.7102999999999999</v>
      </c>
      <c r="O21" s="60">
        <v>3576</v>
      </c>
      <c r="P21" s="5">
        <v>7.6100000000000001E-2</v>
      </c>
      <c r="Q21" s="5">
        <v>0.2442</v>
      </c>
      <c r="R21" s="80">
        <f t="shared" si="2"/>
        <v>8.3464425418623922E-2</v>
      </c>
      <c r="S21" s="80">
        <f t="shared" si="3"/>
        <v>7.6337319068596574E-2</v>
      </c>
      <c r="T21" s="80">
        <f t="shared" si="4"/>
        <v>6.1902082160945416E-3</v>
      </c>
      <c r="U21" s="81">
        <f t="shared" si="5"/>
        <v>4.4499999999999998E-2</v>
      </c>
      <c r="V21" s="83">
        <f t="shared" si="6"/>
        <v>8.7999999999999995E-2</v>
      </c>
    </row>
    <row r="22" spans="1:22">
      <c r="A22" s="75"/>
      <c r="B22" s="19"/>
      <c r="C22" s="71" t="s">
        <v>46</v>
      </c>
      <c r="D22" s="58">
        <f>SUM(D6:D21)</f>
        <v>27950770849.196804</v>
      </c>
      <c r="E22" s="99">
        <f>(D22/$D$181)</f>
        <v>1.2600626929059068E-2</v>
      </c>
      <c r="F22" s="30"/>
      <c r="G22" s="31"/>
      <c r="H22" s="65">
        <f>SUM(H6:H21)</f>
        <v>61681</v>
      </c>
      <c r="I22" s="28"/>
      <c r="J22" s="60">
        <v>0</v>
      </c>
      <c r="K22" s="58">
        <f>SUM(K6:K21)</f>
        <v>30206984491.494904</v>
      </c>
      <c r="L22" s="99">
        <f>(K22/$K$181)</f>
        <v>1.3634563027155985E-2</v>
      </c>
      <c r="M22" s="30"/>
      <c r="N22" s="31"/>
      <c r="O22" s="65">
        <f>SUM(O6:O21)</f>
        <v>61789</v>
      </c>
      <c r="P22" s="28"/>
      <c r="Q22" s="65"/>
      <c r="R22" s="80">
        <f t="shared" si="2"/>
        <v>8.0720980987289456E-2</v>
      </c>
      <c r="S22" s="80" t="e">
        <f t="shared" si="3"/>
        <v>#DIV/0!</v>
      </c>
      <c r="T22" s="80">
        <f t="shared" si="4"/>
        <v>1.750944375091195E-3</v>
      </c>
      <c r="U22" s="81">
        <f t="shared" si="5"/>
        <v>0</v>
      </c>
      <c r="V22" s="83">
        <f t="shared" si="6"/>
        <v>0</v>
      </c>
    </row>
    <row r="23" spans="1:22" ht="9" customHeight="1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</row>
    <row r="24" spans="1:22" ht="15" customHeight="1">
      <c r="A24" s="149" t="s">
        <v>47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</row>
    <row r="25" spans="1:22">
      <c r="A25" s="75">
        <v>17</v>
      </c>
      <c r="B25" s="114" t="s">
        <v>48</v>
      </c>
      <c r="C25" s="115" t="s">
        <v>17</v>
      </c>
      <c r="D25" s="9">
        <v>967369195.13</v>
      </c>
      <c r="E25" s="3">
        <f>(D25/$K$55)</f>
        <v>1.0401703333335227E-3</v>
      </c>
      <c r="F25" s="8">
        <v>100</v>
      </c>
      <c r="G25" s="8">
        <v>100</v>
      </c>
      <c r="H25" s="60">
        <v>747</v>
      </c>
      <c r="I25" s="5">
        <v>8.8700000000000001E-2</v>
      </c>
      <c r="J25" s="5">
        <v>8.8700000000000001E-2</v>
      </c>
      <c r="K25" s="9">
        <v>967369195.13</v>
      </c>
      <c r="L25" s="3">
        <f t="shared" ref="L25:L54" si="7">(K25/$K$55)</f>
        <v>1.0401703333335227E-3</v>
      </c>
      <c r="M25" s="8">
        <v>100</v>
      </c>
      <c r="N25" s="8">
        <v>100</v>
      </c>
      <c r="O25" s="60">
        <v>747</v>
      </c>
      <c r="P25" s="5">
        <v>0.1028</v>
      </c>
      <c r="Q25" s="5">
        <v>0.1028</v>
      </c>
      <c r="R25" s="80">
        <f>((K25-D25)/D25)</f>
        <v>0</v>
      </c>
      <c r="S25" s="80">
        <f>((N25-G25)/G25)</f>
        <v>0</v>
      </c>
      <c r="T25" s="80">
        <f>((O25-H25)/H25)</f>
        <v>0</v>
      </c>
      <c r="U25" s="81">
        <f>P25-I25</f>
        <v>1.4100000000000001E-2</v>
      </c>
      <c r="V25" s="83">
        <f>Q25-J25</f>
        <v>1.4100000000000001E-2</v>
      </c>
    </row>
    <row r="26" spans="1:22">
      <c r="A26" s="75">
        <v>18</v>
      </c>
      <c r="B26" s="114" t="s">
        <v>49</v>
      </c>
      <c r="C26" s="115" t="s">
        <v>50</v>
      </c>
      <c r="D26" s="9">
        <v>4714154446.0299997</v>
      </c>
      <c r="E26" s="3">
        <f t="shared" ref="E26:E54" si="8">(D26/$K$55)</f>
        <v>5.0689267615698389E-3</v>
      </c>
      <c r="F26" s="8">
        <v>100</v>
      </c>
      <c r="G26" s="8">
        <v>100</v>
      </c>
      <c r="H26" s="60">
        <v>1186</v>
      </c>
      <c r="I26" s="5">
        <v>0.137409</v>
      </c>
      <c r="J26" s="5">
        <v>0.137409</v>
      </c>
      <c r="K26" s="9">
        <v>4729008501.9899998</v>
      </c>
      <c r="L26" s="3">
        <f t="shared" si="7"/>
        <v>5.0848986866808017E-3</v>
      </c>
      <c r="M26" s="8">
        <v>100</v>
      </c>
      <c r="N26" s="8">
        <v>100</v>
      </c>
      <c r="O26" s="60">
        <v>1187</v>
      </c>
      <c r="P26" s="5">
        <v>-4.5149999999999999E-3</v>
      </c>
      <c r="Q26" s="5">
        <v>6.7879999999999998E-3</v>
      </c>
      <c r="R26" s="80">
        <f t="shared" ref="R26:R55" si="9">((K26-D26)/D26)</f>
        <v>3.150948092612728E-3</v>
      </c>
      <c r="S26" s="80">
        <f t="shared" ref="S26:S55" si="10">((N26-G26)/G26)</f>
        <v>0</v>
      </c>
      <c r="T26" s="80">
        <f t="shared" ref="T26:T55" si="11">((O26-H26)/H26)</f>
        <v>8.4317032040472171E-4</v>
      </c>
      <c r="U26" s="81">
        <f t="shared" ref="U26:U55" si="12">P26-I26</f>
        <v>-0.14192399999999999</v>
      </c>
      <c r="V26" s="83">
        <f t="shared" ref="V26:V55" si="13">Q26-J26</f>
        <v>-0.13062100000000001</v>
      </c>
    </row>
    <row r="27" spans="1:22">
      <c r="A27" s="75">
        <v>19</v>
      </c>
      <c r="B27" s="114" t="s">
        <v>51</v>
      </c>
      <c r="C27" s="115" t="s">
        <v>19</v>
      </c>
      <c r="D27" s="9">
        <v>352924173.16000003</v>
      </c>
      <c r="E27" s="3">
        <f t="shared" si="8"/>
        <v>3.7948412734805162E-4</v>
      </c>
      <c r="F27" s="8">
        <v>100</v>
      </c>
      <c r="G27" s="8">
        <v>100</v>
      </c>
      <c r="H27" s="60">
        <v>1356</v>
      </c>
      <c r="I27" s="5">
        <v>9.5500000000000002E-2</v>
      </c>
      <c r="J27" s="5">
        <v>9.5500000000000002E-2</v>
      </c>
      <c r="K27" s="9">
        <v>347195231.79000002</v>
      </c>
      <c r="L27" s="3">
        <f t="shared" si="7"/>
        <v>3.7332404401639217E-4</v>
      </c>
      <c r="M27" s="8">
        <v>100</v>
      </c>
      <c r="N27" s="8">
        <v>100</v>
      </c>
      <c r="O27" s="60">
        <v>1357</v>
      </c>
      <c r="P27" s="5">
        <v>9.7500000000000003E-2</v>
      </c>
      <c r="Q27" s="5">
        <v>9.7500000000000003E-2</v>
      </c>
      <c r="R27" s="80">
        <f t="shared" si="9"/>
        <v>-1.6232782579624433E-2</v>
      </c>
      <c r="S27" s="80">
        <f t="shared" si="10"/>
        <v>0</v>
      </c>
      <c r="T27" s="80">
        <f t="shared" si="11"/>
        <v>7.3746312684365781E-4</v>
      </c>
      <c r="U27" s="81">
        <f t="shared" si="12"/>
        <v>2.0000000000000018E-3</v>
      </c>
      <c r="V27" s="83">
        <f t="shared" si="13"/>
        <v>2.0000000000000018E-3</v>
      </c>
    </row>
    <row r="28" spans="1:22">
      <c r="A28" s="75">
        <v>20</v>
      </c>
      <c r="B28" s="114" t="s">
        <v>52</v>
      </c>
      <c r="C28" s="115" t="s">
        <v>21</v>
      </c>
      <c r="D28" s="9">
        <v>82720505675.050003</v>
      </c>
      <c r="E28" s="3">
        <f t="shared" si="8"/>
        <v>8.894578863447411E-2</v>
      </c>
      <c r="F28" s="8">
        <v>1</v>
      </c>
      <c r="G28" s="8">
        <v>1</v>
      </c>
      <c r="H28" s="60">
        <v>55215</v>
      </c>
      <c r="I28" s="5">
        <v>0.1021</v>
      </c>
      <c r="J28" s="5">
        <v>0.1021</v>
      </c>
      <c r="K28" s="9">
        <v>84403233836.100006</v>
      </c>
      <c r="L28" s="3">
        <f t="shared" si="7"/>
        <v>9.0755153581177694E-2</v>
      </c>
      <c r="M28" s="8">
        <v>1</v>
      </c>
      <c r="N28" s="8">
        <v>1</v>
      </c>
      <c r="O28" s="60">
        <v>55367</v>
      </c>
      <c r="P28" s="5">
        <v>9.8900000000000002E-2</v>
      </c>
      <c r="Q28" s="5">
        <v>9.8900000000000002E-2</v>
      </c>
      <c r="R28" s="80">
        <f t="shared" si="9"/>
        <v>2.0342334072040669E-2</v>
      </c>
      <c r="S28" s="80">
        <f t="shared" si="10"/>
        <v>0</v>
      </c>
      <c r="T28" s="80">
        <f t="shared" si="11"/>
        <v>2.7528751245132661E-3</v>
      </c>
      <c r="U28" s="81">
        <f t="shared" si="12"/>
        <v>-3.1999999999999945E-3</v>
      </c>
      <c r="V28" s="83">
        <f t="shared" si="13"/>
        <v>-3.1999999999999945E-3</v>
      </c>
    </row>
    <row r="29" spans="1:22">
      <c r="A29" s="75">
        <v>21</v>
      </c>
      <c r="B29" s="114" t="s">
        <v>53</v>
      </c>
      <c r="C29" s="115" t="s">
        <v>23</v>
      </c>
      <c r="D29" s="9">
        <v>48803294452.830002</v>
      </c>
      <c r="E29" s="3">
        <f t="shared" si="8"/>
        <v>5.2476075643438647E-2</v>
      </c>
      <c r="F29" s="8">
        <v>1</v>
      </c>
      <c r="G29" s="8">
        <v>1</v>
      </c>
      <c r="H29" s="60">
        <v>26441</v>
      </c>
      <c r="I29" s="5">
        <v>0.11509999999999999</v>
      </c>
      <c r="J29" s="5">
        <v>0.11509999999999999</v>
      </c>
      <c r="K29" s="9">
        <v>49676513754.360001</v>
      </c>
      <c r="L29" s="3">
        <f t="shared" si="7"/>
        <v>5.3415010660718854E-2</v>
      </c>
      <c r="M29" s="8">
        <v>1</v>
      </c>
      <c r="N29" s="8">
        <v>1</v>
      </c>
      <c r="O29" s="60">
        <v>26490</v>
      </c>
      <c r="P29" s="5">
        <v>0.1147</v>
      </c>
      <c r="Q29" s="5">
        <v>0.1147</v>
      </c>
      <c r="R29" s="80">
        <f t="shared" si="9"/>
        <v>1.7892630227535032E-2</v>
      </c>
      <c r="S29" s="80">
        <f t="shared" si="10"/>
        <v>0</v>
      </c>
      <c r="T29" s="80">
        <f t="shared" si="11"/>
        <v>1.8531825573919291E-3</v>
      </c>
      <c r="U29" s="81">
        <f t="shared" si="12"/>
        <v>-3.9999999999999758E-4</v>
      </c>
      <c r="V29" s="83">
        <f t="shared" si="13"/>
        <v>-3.9999999999999758E-4</v>
      </c>
    </row>
    <row r="30" spans="1:22" ht="15" customHeight="1">
      <c r="A30" s="75">
        <v>22</v>
      </c>
      <c r="B30" s="114" t="s">
        <v>54</v>
      </c>
      <c r="C30" s="115" t="s">
        <v>40</v>
      </c>
      <c r="D30" s="9">
        <v>7289508106.8199997</v>
      </c>
      <c r="E30" s="3">
        <f t="shared" si="8"/>
        <v>7.8380933727059832E-3</v>
      </c>
      <c r="F30" s="8">
        <v>100</v>
      </c>
      <c r="G30" s="8">
        <v>100</v>
      </c>
      <c r="H30" s="60">
        <v>2871</v>
      </c>
      <c r="I30" s="5">
        <v>0.123</v>
      </c>
      <c r="J30" s="5">
        <v>0.123</v>
      </c>
      <c r="K30" s="9">
        <v>7592217337.4899998</v>
      </c>
      <c r="L30" s="3">
        <f t="shared" si="7"/>
        <v>8.1635835402183304E-3</v>
      </c>
      <c r="M30" s="8">
        <v>100</v>
      </c>
      <c r="N30" s="8">
        <v>100</v>
      </c>
      <c r="O30" s="60">
        <v>2876</v>
      </c>
      <c r="P30" s="5">
        <v>0.123</v>
      </c>
      <c r="Q30" s="5">
        <v>0.123</v>
      </c>
      <c r="R30" s="80">
        <f t="shared" si="9"/>
        <v>4.1526701971397489E-2</v>
      </c>
      <c r="S30" s="80">
        <f t="shared" si="10"/>
        <v>0</v>
      </c>
      <c r="T30" s="80">
        <f t="shared" si="11"/>
        <v>1.7415534656913968E-3</v>
      </c>
      <c r="U30" s="81">
        <f t="shared" si="12"/>
        <v>0</v>
      </c>
      <c r="V30" s="83">
        <f t="shared" si="13"/>
        <v>0</v>
      </c>
    </row>
    <row r="31" spans="1:22">
      <c r="A31" s="75">
        <v>23</v>
      </c>
      <c r="B31" s="114" t="s">
        <v>55</v>
      </c>
      <c r="C31" s="115" t="s">
        <v>56</v>
      </c>
      <c r="D31" s="9">
        <v>14049860196.02</v>
      </c>
      <c r="E31" s="3">
        <f t="shared" si="8"/>
        <v>1.510720812380177E-2</v>
      </c>
      <c r="F31" s="8">
        <v>100</v>
      </c>
      <c r="G31" s="8">
        <v>100</v>
      </c>
      <c r="H31" s="60">
        <v>1884</v>
      </c>
      <c r="I31" s="5">
        <v>0.117448024645104</v>
      </c>
      <c r="J31" s="5">
        <v>0.117448024645104</v>
      </c>
      <c r="K31" s="9">
        <v>14356839861.709999</v>
      </c>
      <c r="L31" s="3">
        <f t="shared" si="7"/>
        <v>1.5437290105732639E-2</v>
      </c>
      <c r="M31" s="8">
        <v>100</v>
      </c>
      <c r="N31" s="8">
        <v>100</v>
      </c>
      <c r="O31" s="60">
        <v>1895</v>
      </c>
      <c r="P31" s="5">
        <v>0.11840000000000001</v>
      </c>
      <c r="Q31" s="5">
        <v>0.11840000000000001</v>
      </c>
      <c r="R31" s="80">
        <f t="shared" si="9"/>
        <v>2.1849303936629837E-2</v>
      </c>
      <c r="S31" s="80">
        <f t="shared" si="10"/>
        <v>0</v>
      </c>
      <c r="T31" s="80">
        <f t="shared" si="11"/>
        <v>5.8386411889596599E-3</v>
      </c>
      <c r="U31" s="81">
        <f t="shared" si="12"/>
        <v>9.5197535489600915E-4</v>
      </c>
      <c r="V31" s="83">
        <f t="shared" si="13"/>
        <v>9.5197535489600915E-4</v>
      </c>
    </row>
    <row r="32" spans="1:22">
      <c r="A32" s="75">
        <v>24</v>
      </c>
      <c r="B32" s="114" t="s">
        <v>57</v>
      </c>
      <c r="C32" s="115" t="s">
        <v>58</v>
      </c>
      <c r="D32" s="9">
        <v>5985078173.1700001</v>
      </c>
      <c r="E32" s="3">
        <f t="shared" si="8"/>
        <v>6.4354961784542E-3</v>
      </c>
      <c r="F32" s="8">
        <v>100</v>
      </c>
      <c r="G32" s="8">
        <v>100</v>
      </c>
      <c r="H32" s="60">
        <v>5739</v>
      </c>
      <c r="I32" s="5">
        <v>0.1081</v>
      </c>
      <c r="J32" s="5">
        <v>0.1081</v>
      </c>
      <c r="K32" s="9">
        <v>6209419841.4300003</v>
      </c>
      <c r="L32" s="3">
        <f t="shared" si="7"/>
        <v>6.676721089304543E-3</v>
      </c>
      <c r="M32" s="8">
        <v>100</v>
      </c>
      <c r="N32" s="8">
        <v>100</v>
      </c>
      <c r="O32" s="60">
        <v>5752</v>
      </c>
      <c r="P32" s="5">
        <v>0.10440000000000001</v>
      </c>
      <c r="Q32" s="5">
        <v>0.10440000000000001</v>
      </c>
      <c r="R32" s="80">
        <f t="shared" si="9"/>
        <v>3.7483498422072832E-2</v>
      </c>
      <c r="S32" s="80">
        <f t="shared" si="10"/>
        <v>0</v>
      </c>
      <c r="T32" s="80">
        <f t="shared" si="11"/>
        <v>2.2652029970378113E-3</v>
      </c>
      <c r="U32" s="81">
        <f t="shared" si="12"/>
        <v>-3.699999999999995E-3</v>
      </c>
      <c r="V32" s="83">
        <f t="shared" si="13"/>
        <v>-3.699999999999995E-3</v>
      </c>
    </row>
    <row r="33" spans="1:22">
      <c r="A33" s="75">
        <v>25</v>
      </c>
      <c r="B33" s="114" t="s">
        <v>59</v>
      </c>
      <c r="C33" s="115" t="s">
        <v>60</v>
      </c>
      <c r="D33" s="9">
        <v>44514190.369999997</v>
      </c>
      <c r="E33" s="3">
        <f t="shared" si="8"/>
        <v>4.7864187187614999E-5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7"/>
        <v>4.7864187187614999E-5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9"/>
        <v>0</v>
      </c>
      <c r="S33" s="80">
        <f t="shared" si="10"/>
        <v>0</v>
      </c>
      <c r="T33" s="80" t="e">
        <f t="shared" si="11"/>
        <v>#DIV/0!</v>
      </c>
      <c r="U33" s="81">
        <f t="shared" si="12"/>
        <v>0</v>
      </c>
      <c r="V33" s="83">
        <f t="shared" si="13"/>
        <v>0</v>
      </c>
    </row>
    <row r="34" spans="1:22">
      <c r="A34" s="75">
        <v>26</v>
      </c>
      <c r="B34" s="114" t="s">
        <v>61</v>
      </c>
      <c r="C34" s="115" t="s">
        <v>62</v>
      </c>
      <c r="D34" s="9">
        <v>5654746636.3800001</v>
      </c>
      <c r="E34" s="3">
        <f t="shared" si="8"/>
        <v>6.0803049376505743E-3</v>
      </c>
      <c r="F34" s="8">
        <v>1</v>
      </c>
      <c r="G34" s="8">
        <v>1</v>
      </c>
      <c r="H34" s="60">
        <v>2084</v>
      </c>
      <c r="I34" s="5">
        <v>0.1081</v>
      </c>
      <c r="J34" s="5">
        <v>0.1081</v>
      </c>
      <c r="K34" s="9">
        <v>5739996278.0600004</v>
      </c>
      <c r="L34" s="3">
        <f t="shared" si="7"/>
        <v>6.171970197046117E-3</v>
      </c>
      <c r="M34" s="8">
        <v>1</v>
      </c>
      <c r="N34" s="8">
        <v>1</v>
      </c>
      <c r="O34" s="60">
        <v>2098</v>
      </c>
      <c r="P34" s="5">
        <v>0.1081</v>
      </c>
      <c r="Q34" s="5">
        <v>0.1081</v>
      </c>
      <c r="R34" s="80">
        <f t="shared" si="9"/>
        <v>1.5075766813590534E-2</v>
      </c>
      <c r="S34" s="80">
        <f t="shared" si="10"/>
        <v>0</v>
      </c>
      <c r="T34" s="80">
        <f t="shared" si="11"/>
        <v>6.7178502879078695E-3</v>
      </c>
      <c r="U34" s="81">
        <f t="shared" si="12"/>
        <v>0</v>
      </c>
      <c r="V34" s="83">
        <f t="shared" si="13"/>
        <v>0</v>
      </c>
    </row>
    <row r="35" spans="1:22">
      <c r="A35" s="75">
        <v>27</v>
      </c>
      <c r="B35" s="114" t="s">
        <v>63</v>
      </c>
      <c r="C35" s="115" t="s">
        <v>64</v>
      </c>
      <c r="D35" s="9">
        <v>14130044062.469999</v>
      </c>
      <c r="E35" s="3">
        <f t="shared" si="8"/>
        <v>1.5193426373786522E-2</v>
      </c>
      <c r="F35" s="11">
        <v>100</v>
      </c>
      <c r="G35" s="11">
        <v>100</v>
      </c>
      <c r="H35" s="60">
        <v>2602</v>
      </c>
      <c r="I35" s="5">
        <v>0.1096</v>
      </c>
      <c r="J35" s="5">
        <v>0.1096</v>
      </c>
      <c r="K35" s="9">
        <v>13851396347.809999</v>
      </c>
      <c r="L35" s="3">
        <f t="shared" si="7"/>
        <v>1.4893808515682651E-2</v>
      </c>
      <c r="M35" s="11">
        <v>100</v>
      </c>
      <c r="N35" s="11">
        <v>100</v>
      </c>
      <c r="O35" s="60">
        <v>2586</v>
      </c>
      <c r="P35" s="5">
        <v>0.10199999999999999</v>
      </c>
      <c r="Q35" s="5">
        <v>0.10199999999999999</v>
      </c>
      <c r="R35" s="80">
        <f t="shared" si="9"/>
        <v>-1.9720229705447279E-2</v>
      </c>
      <c r="S35" s="80">
        <f t="shared" si="10"/>
        <v>0</v>
      </c>
      <c r="T35" s="80">
        <f t="shared" si="11"/>
        <v>-6.1491160645657187E-3</v>
      </c>
      <c r="U35" s="81">
        <f t="shared" si="12"/>
        <v>-7.6000000000000095E-3</v>
      </c>
      <c r="V35" s="83">
        <f t="shared" si="13"/>
        <v>-7.6000000000000095E-3</v>
      </c>
    </row>
    <row r="36" spans="1:22">
      <c r="A36" s="75">
        <v>28</v>
      </c>
      <c r="B36" s="114" t="s">
        <v>65</v>
      </c>
      <c r="C36" s="115" t="s">
        <v>64</v>
      </c>
      <c r="D36" s="9">
        <v>1231443952.8499999</v>
      </c>
      <c r="E36" s="3">
        <f t="shared" si="8"/>
        <v>1.3241185199673428E-3</v>
      </c>
      <c r="F36" s="11">
        <v>1000000</v>
      </c>
      <c r="G36" s="11">
        <v>1000000</v>
      </c>
      <c r="H36" s="60">
        <v>7</v>
      </c>
      <c r="I36" s="5">
        <v>0.1081</v>
      </c>
      <c r="J36" s="5">
        <v>0.1081</v>
      </c>
      <c r="K36" s="9">
        <v>1224104373.45</v>
      </c>
      <c r="L36" s="3">
        <f t="shared" si="7"/>
        <v>1.3162265870947027E-3</v>
      </c>
      <c r="M36" s="11">
        <v>1000000</v>
      </c>
      <c r="N36" s="11">
        <v>1000000</v>
      </c>
      <c r="O36" s="60">
        <v>7</v>
      </c>
      <c r="P36" s="5">
        <v>0.10639999999999999</v>
      </c>
      <c r="Q36" s="5">
        <v>0.10639999999999999</v>
      </c>
      <c r="R36" s="80">
        <f t="shared" si="9"/>
        <v>-5.960140843611645E-3</v>
      </c>
      <c r="S36" s="80">
        <f t="shared" si="10"/>
        <v>0</v>
      </c>
      <c r="T36" s="80">
        <f t="shared" si="11"/>
        <v>0</v>
      </c>
      <c r="U36" s="81">
        <f t="shared" si="12"/>
        <v>-1.7000000000000071E-3</v>
      </c>
      <c r="V36" s="83">
        <f t="shared" si="13"/>
        <v>-1.7000000000000071E-3</v>
      </c>
    </row>
    <row r="37" spans="1:22">
      <c r="A37" s="75">
        <v>29</v>
      </c>
      <c r="B37" s="114" t="s">
        <v>66</v>
      </c>
      <c r="C37" s="115" t="s">
        <v>67</v>
      </c>
      <c r="D37" s="9">
        <v>3603652816.5799999</v>
      </c>
      <c r="E37" s="3">
        <f t="shared" si="8"/>
        <v>3.8748523007666948E-3</v>
      </c>
      <c r="F37" s="8">
        <v>1</v>
      </c>
      <c r="G37" s="8">
        <v>1</v>
      </c>
      <c r="H37" s="60">
        <v>431</v>
      </c>
      <c r="I37" s="5">
        <v>0.1381</v>
      </c>
      <c r="J37" s="5">
        <v>0.1381</v>
      </c>
      <c r="K37" s="9">
        <v>3710582199.2399998</v>
      </c>
      <c r="L37" s="3">
        <f t="shared" si="7"/>
        <v>3.9898288497043043E-3</v>
      </c>
      <c r="M37" s="8">
        <v>1</v>
      </c>
      <c r="N37" s="8">
        <v>1</v>
      </c>
      <c r="O37" s="60">
        <v>426</v>
      </c>
      <c r="P37" s="5">
        <v>0.1263</v>
      </c>
      <c r="Q37" s="5">
        <v>0.1263</v>
      </c>
      <c r="R37" s="80">
        <f t="shared" si="9"/>
        <v>2.9672498462679265E-2</v>
      </c>
      <c r="S37" s="80">
        <f t="shared" si="10"/>
        <v>0</v>
      </c>
      <c r="T37" s="80">
        <f t="shared" si="11"/>
        <v>-1.1600928074245939E-2</v>
      </c>
      <c r="U37" s="81">
        <f t="shared" si="12"/>
        <v>-1.1800000000000005E-2</v>
      </c>
      <c r="V37" s="83">
        <f t="shared" si="13"/>
        <v>-1.1800000000000005E-2</v>
      </c>
    </row>
    <row r="38" spans="1:22">
      <c r="A38" s="75">
        <v>30</v>
      </c>
      <c r="B38" s="114" t="s">
        <v>68</v>
      </c>
      <c r="C38" s="115" t="s">
        <v>27</v>
      </c>
      <c r="D38" s="9">
        <v>205324552794.92001</v>
      </c>
      <c r="E38" s="3">
        <f t="shared" si="8"/>
        <v>0.22077662757655567</v>
      </c>
      <c r="F38" s="8">
        <v>100</v>
      </c>
      <c r="G38" s="8">
        <v>100</v>
      </c>
      <c r="H38" s="60">
        <v>14707</v>
      </c>
      <c r="I38" s="5">
        <v>0.1162</v>
      </c>
      <c r="J38" s="5">
        <v>0.1162</v>
      </c>
      <c r="K38" s="9">
        <v>206237983080.97</v>
      </c>
      <c r="L38" s="3">
        <f t="shared" si="7"/>
        <v>0.22175879972954621</v>
      </c>
      <c r="M38" s="8">
        <v>100</v>
      </c>
      <c r="N38" s="8">
        <v>100</v>
      </c>
      <c r="O38" s="60">
        <v>14767</v>
      </c>
      <c r="P38" s="5">
        <v>0.11600000000000001</v>
      </c>
      <c r="Q38" s="5">
        <v>0.11600000000000001</v>
      </c>
      <c r="R38" s="80">
        <f t="shared" si="9"/>
        <v>4.4487143579089155E-3</v>
      </c>
      <c r="S38" s="80">
        <f t="shared" si="10"/>
        <v>0</v>
      </c>
      <c r="T38" s="80">
        <f t="shared" si="11"/>
        <v>4.0796899435642893E-3</v>
      </c>
      <c r="U38" s="81">
        <f t="shared" si="12"/>
        <v>-1.9999999999999185E-4</v>
      </c>
      <c r="V38" s="83">
        <f t="shared" si="13"/>
        <v>-1.9999999999999185E-4</v>
      </c>
    </row>
    <row r="39" spans="1:22">
      <c r="A39" s="75">
        <v>31</v>
      </c>
      <c r="B39" s="114" t="s">
        <v>69</v>
      </c>
      <c r="C39" s="115" t="s">
        <v>70</v>
      </c>
      <c r="D39" s="9">
        <v>276283660.79000002</v>
      </c>
      <c r="E39" s="3">
        <f t="shared" si="8"/>
        <v>2.9707589303577147E-4</v>
      </c>
      <c r="F39" s="8">
        <v>1</v>
      </c>
      <c r="G39" s="8">
        <v>1</v>
      </c>
      <c r="H39" s="61">
        <v>437</v>
      </c>
      <c r="I39" s="12">
        <v>8.1699999999999995E-2</v>
      </c>
      <c r="J39" s="12">
        <v>8.1699999999999995E-2</v>
      </c>
      <c r="K39" s="9">
        <v>279684253.06</v>
      </c>
      <c r="L39" s="3">
        <f t="shared" si="7"/>
        <v>3.0073240309710534E-4</v>
      </c>
      <c r="M39" s="8">
        <v>1</v>
      </c>
      <c r="N39" s="8">
        <v>1</v>
      </c>
      <c r="O39" s="61">
        <v>439</v>
      </c>
      <c r="P39" s="12">
        <v>7.8799999999999995E-2</v>
      </c>
      <c r="Q39" s="12">
        <v>7.8799999999999995E-2</v>
      </c>
      <c r="R39" s="80">
        <f t="shared" si="9"/>
        <v>1.2308336512830309E-2</v>
      </c>
      <c r="S39" s="80">
        <f t="shared" si="10"/>
        <v>0</v>
      </c>
      <c r="T39" s="80">
        <f t="shared" si="11"/>
        <v>4.5766590389016018E-3</v>
      </c>
      <c r="U39" s="81">
        <f t="shared" si="12"/>
        <v>-2.8999999999999998E-3</v>
      </c>
      <c r="V39" s="83">
        <f t="shared" si="13"/>
        <v>-2.8999999999999998E-3</v>
      </c>
    </row>
    <row r="40" spans="1:22">
      <c r="A40" s="75">
        <v>32</v>
      </c>
      <c r="B40" s="114" t="s">
        <v>71</v>
      </c>
      <c r="C40" s="115" t="s">
        <v>72</v>
      </c>
      <c r="D40" s="9">
        <v>689684799.27999997</v>
      </c>
      <c r="E40" s="3">
        <f t="shared" si="8"/>
        <v>7.4158829035871337E-4</v>
      </c>
      <c r="F40" s="8">
        <v>10</v>
      </c>
      <c r="G40" s="8">
        <v>10</v>
      </c>
      <c r="H40" s="60">
        <v>361</v>
      </c>
      <c r="I40" s="5">
        <v>0.10009999999999999</v>
      </c>
      <c r="J40" s="5">
        <v>0.10009999999999999</v>
      </c>
      <c r="K40" s="9">
        <v>703079200.70000005</v>
      </c>
      <c r="L40" s="3">
        <f t="shared" si="7"/>
        <v>7.5599071195740005E-4</v>
      </c>
      <c r="M40" s="8">
        <v>10</v>
      </c>
      <c r="N40" s="8">
        <v>10</v>
      </c>
      <c r="O40" s="60">
        <v>362</v>
      </c>
      <c r="P40" s="5">
        <v>9.7900000000000001E-2</v>
      </c>
      <c r="Q40" s="5">
        <v>9.7900000000000001E-2</v>
      </c>
      <c r="R40" s="80">
        <f t="shared" si="9"/>
        <v>1.9421047751064298E-2</v>
      </c>
      <c r="S40" s="80">
        <f t="shared" si="10"/>
        <v>0</v>
      </c>
      <c r="T40" s="80">
        <f t="shared" si="11"/>
        <v>2.7700831024930748E-3</v>
      </c>
      <c r="U40" s="81">
        <f t="shared" si="12"/>
        <v>-2.1999999999999936E-3</v>
      </c>
      <c r="V40" s="83">
        <f t="shared" si="13"/>
        <v>-2.1999999999999936E-3</v>
      </c>
    </row>
    <row r="41" spans="1:22">
      <c r="A41" s="75">
        <v>33</v>
      </c>
      <c r="B41" s="114" t="s">
        <v>73</v>
      </c>
      <c r="C41" s="115" t="s">
        <v>74</v>
      </c>
      <c r="D41" s="9">
        <v>2966956997.96</v>
      </c>
      <c r="E41" s="3">
        <f t="shared" si="8"/>
        <v>3.1902407737301884E-3</v>
      </c>
      <c r="F41" s="8">
        <v>100</v>
      </c>
      <c r="G41" s="8">
        <v>100</v>
      </c>
      <c r="H41" s="60">
        <v>1242</v>
      </c>
      <c r="I41" s="5">
        <v>0.10390000000000001</v>
      </c>
      <c r="J41" s="5">
        <v>0.10390000000000001</v>
      </c>
      <c r="K41" s="9">
        <v>3003281372.3099999</v>
      </c>
      <c r="L41" s="3">
        <f t="shared" si="7"/>
        <v>3.2292988053131497E-3</v>
      </c>
      <c r="M41" s="8">
        <v>100</v>
      </c>
      <c r="N41" s="8">
        <v>100</v>
      </c>
      <c r="O41" s="60">
        <v>1390</v>
      </c>
      <c r="P41" s="5">
        <v>0.1032</v>
      </c>
      <c r="Q41" s="5">
        <v>0.1032</v>
      </c>
      <c r="R41" s="80">
        <f t="shared" si="9"/>
        <v>1.2242972977018396E-2</v>
      </c>
      <c r="S41" s="80">
        <f t="shared" si="10"/>
        <v>0</v>
      </c>
      <c r="T41" s="80">
        <f t="shared" si="11"/>
        <v>0.11916264090177134</v>
      </c>
      <c r="U41" s="81">
        <f t="shared" si="12"/>
        <v>-7.0000000000000617E-4</v>
      </c>
      <c r="V41" s="83">
        <f t="shared" si="13"/>
        <v>-7.0000000000000617E-4</v>
      </c>
    </row>
    <row r="42" spans="1:22" ht="15.75" customHeight="1">
      <c r="A42" s="75">
        <v>34</v>
      </c>
      <c r="B42" s="114" t="s">
        <v>239</v>
      </c>
      <c r="C42" s="115" t="s">
        <v>32</v>
      </c>
      <c r="D42" s="9">
        <v>20836370430.986801</v>
      </c>
      <c r="E42" s="3">
        <f t="shared" si="8"/>
        <v>2.2404449599770147E-2</v>
      </c>
      <c r="F42" s="8">
        <v>1</v>
      </c>
      <c r="G42" s="8">
        <v>1</v>
      </c>
      <c r="H42" s="60">
        <v>11186</v>
      </c>
      <c r="I42" s="5">
        <v>0.11238168305688417</v>
      </c>
      <c r="J42" s="5">
        <v>0.11238168305688417</v>
      </c>
      <c r="K42" s="9">
        <v>21475813441.234699</v>
      </c>
      <c r="L42" s="3">
        <f t="shared" si="7"/>
        <v>2.3092015063365421E-2</v>
      </c>
      <c r="M42" s="8">
        <v>1</v>
      </c>
      <c r="N42" s="8">
        <v>1</v>
      </c>
      <c r="O42" s="60">
        <v>11245</v>
      </c>
      <c r="P42" s="5">
        <v>0.1085542053382597</v>
      </c>
      <c r="Q42" s="5">
        <v>0.1085542053382597</v>
      </c>
      <c r="R42" s="80">
        <f t="shared" si="9"/>
        <v>3.0688790658902409E-2</v>
      </c>
      <c r="S42" s="80">
        <f t="shared" si="10"/>
        <v>0</v>
      </c>
      <c r="T42" s="80">
        <f t="shared" si="11"/>
        <v>5.2744502056141602E-3</v>
      </c>
      <c r="U42" s="81">
        <f t="shared" si="12"/>
        <v>-3.8274777186244752E-3</v>
      </c>
      <c r="V42" s="83">
        <f t="shared" si="13"/>
        <v>-3.8274777186244752E-3</v>
      </c>
    </row>
    <row r="43" spans="1:22">
      <c r="A43" s="75">
        <v>35</v>
      </c>
      <c r="B43" s="114" t="s">
        <v>75</v>
      </c>
      <c r="C43" s="115" t="s">
        <v>34</v>
      </c>
      <c r="D43" s="9">
        <v>3147998649.3800001</v>
      </c>
      <c r="E43" s="3">
        <f t="shared" si="8"/>
        <v>3.3849070457727735E-3</v>
      </c>
      <c r="F43" s="8">
        <v>1</v>
      </c>
      <c r="G43" s="8">
        <v>1</v>
      </c>
      <c r="H43" s="60">
        <v>824</v>
      </c>
      <c r="I43" s="5">
        <v>8.1000000000000003E-2</v>
      </c>
      <c r="J43" s="5">
        <v>8.1000000000000003E-2</v>
      </c>
      <c r="K43" s="9">
        <v>3275791634.3699999</v>
      </c>
      <c r="L43" s="3">
        <f t="shared" si="7"/>
        <v>3.5223173255955358E-3</v>
      </c>
      <c r="M43" s="8">
        <v>1</v>
      </c>
      <c r="N43" s="8">
        <v>1</v>
      </c>
      <c r="O43" s="60">
        <v>826</v>
      </c>
      <c r="P43" s="5">
        <v>8.09E-2</v>
      </c>
      <c r="Q43" s="5">
        <v>8.09E-2</v>
      </c>
      <c r="R43" s="80">
        <f t="shared" si="9"/>
        <v>4.0594993589075604E-2</v>
      </c>
      <c r="S43" s="80">
        <f t="shared" si="10"/>
        <v>0</v>
      </c>
      <c r="T43" s="80">
        <f t="shared" si="11"/>
        <v>2.4271844660194173E-3</v>
      </c>
      <c r="U43" s="81">
        <f t="shared" si="12"/>
        <v>-1.0000000000000286E-4</v>
      </c>
      <c r="V43" s="83">
        <f t="shared" si="13"/>
        <v>-1.0000000000000286E-4</v>
      </c>
    </row>
    <row r="44" spans="1:22">
      <c r="A44" s="75">
        <v>36</v>
      </c>
      <c r="B44" s="114" t="s">
        <v>76</v>
      </c>
      <c r="C44" s="115" t="s">
        <v>36</v>
      </c>
      <c r="D44" s="13">
        <v>3949991061.48</v>
      </c>
      <c r="E44" s="3">
        <f t="shared" si="8"/>
        <v>4.2472548637771572E-3</v>
      </c>
      <c r="F44" s="8">
        <v>10</v>
      </c>
      <c r="G44" s="8">
        <v>10</v>
      </c>
      <c r="H44" s="60">
        <v>1932</v>
      </c>
      <c r="I44" s="5">
        <v>0.12620000000000001</v>
      </c>
      <c r="J44" s="5">
        <v>0.12620000000000001</v>
      </c>
      <c r="K44" s="13">
        <v>4068616645.04</v>
      </c>
      <c r="L44" s="3">
        <f t="shared" si="7"/>
        <v>4.3748078326071261E-3</v>
      </c>
      <c r="M44" s="8">
        <v>10</v>
      </c>
      <c r="N44" s="8">
        <v>10</v>
      </c>
      <c r="O44" s="60">
        <v>1928</v>
      </c>
      <c r="P44" s="5">
        <v>0.1202</v>
      </c>
      <c r="Q44" s="5">
        <v>0.1202</v>
      </c>
      <c r="R44" s="80">
        <f t="shared" si="9"/>
        <v>3.0031861265922152E-2</v>
      </c>
      <c r="S44" s="80">
        <f t="shared" si="10"/>
        <v>0</v>
      </c>
      <c r="T44" s="80">
        <f t="shared" si="11"/>
        <v>-2.070393374741201E-3</v>
      </c>
      <c r="U44" s="81">
        <f t="shared" si="12"/>
        <v>-6.0000000000000053E-3</v>
      </c>
      <c r="V44" s="83">
        <f t="shared" si="13"/>
        <v>-6.0000000000000053E-3</v>
      </c>
    </row>
    <row r="45" spans="1:22">
      <c r="A45" s="75">
        <v>37</v>
      </c>
      <c r="B45" s="114" t="s">
        <v>77</v>
      </c>
      <c r="C45" s="115" t="s">
        <v>78</v>
      </c>
      <c r="D45" s="9">
        <v>4703464946.9799995</v>
      </c>
      <c r="E45" s="3">
        <f t="shared" si="8"/>
        <v>5.0574328047165691E-3</v>
      </c>
      <c r="F45" s="8">
        <v>100</v>
      </c>
      <c r="G45" s="8">
        <v>100</v>
      </c>
      <c r="H45" s="60">
        <v>1996</v>
      </c>
      <c r="I45" s="5">
        <v>0.1241</v>
      </c>
      <c r="J45" s="5">
        <v>0.1241</v>
      </c>
      <c r="K45" s="9">
        <v>4623412259.4700003</v>
      </c>
      <c r="L45" s="3">
        <f t="shared" si="7"/>
        <v>4.9713556057828876E-3</v>
      </c>
      <c r="M45" s="8">
        <v>100</v>
      </c>
      <c r="N45" s="8">
        <v>100</v>
      </c>
      <c r="O45" s="60">
        <v>2005</v>
      </c>
      <c r="P45" s="5">
        <v>0.125</v>
      </c>
      <c r="Q45" s="5">
        <v>0.125</v>
      </c>
      <c r="R45" s="80">
        <f t="shared" si="9"/>
        <v>-1.701993921766112E-2</v>
      </c>
      <c r="S45" s="80">
        <f t="shared" si="10"/>
        <v>0</v>
      </c>
      <c r="T45" s="80">
        <f t="shared" si="11"/>
        <v>4.5090180360721445E-3</v>
      </c>
      <c r="U45" s="81">
        <f t="shared" si="12"/>
        <v>8.9999999999999802E-4</v>
      </c>
      <c r="V45" s="83">
        <f t="shared" si="13"/>
        <v>8.9999999999999802E-4</v>
      </c>
    </row>
    <row r="46" spans="1:22">
      <c r="A46" s="75">
        <v>38</v>
      </c>
      <c r="B46" s="114" t="s">
        <v>79</v>
      </c>
      <c r="C46" s="115" t="s">
        <v>80</v>
      </c>
      <c r="D46" s="9">
        <v>151928898.55000001</v>
      </c>
      <c r="E46" s="3">
        <f t="shared" si="8"/>
        <v>1.6336258570494517E-4</v>
      </c>
      <c r="F46" s="8">
        <v>1</v>
      </c>
      <c r="G46" s="8">
        <v>1</v>
      </c>
      <c r="H46" s="60">
        <v>61</v>
      </c>
      <c r="I46" s="5">
        <v>6.8900000000000003E-2</v>
      </c>
      <c r="J46" s="5">
        <v>6.8900000000000003E-2</v>
      </c>
      <c r="K46" s="9">
        <v>151286903.44999999</v>
      </c>
      <c r="L46" s="3">
        <f t="shared" si="7"/>
        <v>1.6267227608941543E-4</v>
      </c>
      <c r="M46" s="8">
        <v>1</v>
      </c>
      <c r="N46" s="8">
        <v>1</v>
      </c>
      <c r="O46" s="60">
        <v>61</v>
      </c>
      <c r="P46" s="5">
        <v>6.6500000000000004E-2</v>
      </c>
      <c r="Q46" s="5">
        <v>6.6500000000000004E-2</v>
      </c>
      <c r="R46" s="80">
        <f t="shared" si="9"/>
        <v>-4.2256286073761168E-3</v>
      </c>
      <c r="S46" s="80">
        <f t="shared" si="10"/>
        <v>0</v>
      </c>
      <c r="T46" s="80">
        <f t="shared" si="11"/>
        <v>0</v>
      </c>
      <c r="U46" s="81">
        <f t="shared" si="12"/>
        <v>-2.3999999999999994E-3</v>
      </c>
      <c r="V46" s="83">
        <f t="shared" si="13"/>
        <v>-2.3999999999999994E-3</v>
      </c>
    </row>
    <row r="47" spans="1:22">
      <c r="A47" s="75">
        <v>39</v>
      </c>
      <c r="B47" s="114" t="s">
        <v>81</v>
      </c>
      <c r="C47" s="115" t="s">
        <v>38</v>
      </c>
      <c r="D47" s="13">
        <v>680281928.67999995</v>
      </c>
      <c r="E47" s="3">
        <f t="shared" si="8"/>
        <v>7.3147778953283203E-4</v>
      </c>
      <c r="F47" s="8">
        <v>10</v>
      </c>
      <c r="G47" s="8">
        <v>10</v>
      </c>
      <c r="H47" s="60">
        <v>640</v>
      </c>
      <c r="I47" s="5">
        <v>0</v>
      </c>
      <c r="J47" s="5">
        <v>0</v>
      </c>
      <c r="K47" s="13">
        <v>683237874.95000005</v>
      </c>
      <c r="L47" s="3">
        <f t="shared" si="7"/>
        <v>7.3465619094612987E-4</v>
      </c>
      <c r="M47" s="8">
        <v>10</v>
      </c>
      <c r="N47" s="8">
        <v>10</v>
      </c>
      <c r="O47" s="60">
        <v>640</v>
      </c>
      <c r="P47" s="5">
        <v>0</v>
      </c>
      <c r="Q47" s="5">
        <v>0</v>
      </c>
      <c r="R47" s="80">
        <f t="shared" si="9"/>
        <v>4.3451782935579894E-3</v>
      </c>
      <c r="S47" s="80">
        <f t="shared" si="10"/>
        <v>0</v>
      </c>
      <c r="T47" s="80">
        <f t="shared" si="11"/>
        <v>0</v>
      </c>
      <c r="U47" s="81">
        <f t="shared" si="12"/>
        <v>0</v>
      </c>
      <c r="V47" s="83">
        <f t="shared" si="13"/>
        <v>0</v>
      </c>
    </row>
    <row r="48" spans="1:22">
      <c r="A48" s="75">
        <v>40</v>
      </c>
      <c r="B48" s="114" t="s">
        <v>247</v>
      </c>
      <c r="C48" s="115" t="s">
        <v>248</v>
      </c>
      <c r="D48" s="13">
        <v>569411290.91999996</v>
      </c>
      <c r="E48" s="3">
        <f t="shared" si="8"/>
        <v>6.1226337913368597E-4</v>
      </c>
      <c r="F48" s="8">
        <v>1</v>
      </c>
      <c r="G48" s="8">
        <v>1</v>
      </c>
      <c r="H48" s="60">
        <v>26</v>
      </c>
      <c r="I48" s="5">
        <v>0.1225</v>
      </c>
      <c r="J48" s="5">
        <v>0.1225</v>
      </c>
      <c r="K48" s="13">
        <v>573463049.63999999</v>
      </c>
      <c r="L48" s="3">
        <f t="shared" si="7"/>
        <v>6.1662006036726925E-4</v>
      </c>
      <c r="M48" s="8">
        <v>1</v>
      </c>
      <c r="N48" s="8">
        <v>1</v>
      </c>
      <c r="O48" s="60">
        <v>36</v>
      </c>
      <c r="P48" s="5">
        <v>0.1246</v>
      </c>
      <c r="Q48" s="5">
        <v>0.1246</v>
      </c>
      <c r="R48" s="80">
        <f t="shared" si="9"/>
        <v>7.1156978876438974E-3</v>
      </c>
      <c r="S48" s="80">
        <f t="shared" si="10"/>
        <v>0</v>
      </c>
      <c r="T48" s="80">
        <f t="shared" si="11"/>
        <v>0.38461538461538464</v>
      </c>
      <c r="U48" s="81">
        <f t="shared" si="12"/>
        <v>2.1000000000000046E-3</v>
      </c>
      <c r="V48" s="83">
        <f t="shared" si="13"/>
        <v>2.1000000000000046E-3</v>
      </c>
    </row>
    <row r="49" spans="1:22">
      <c r="A49" s="75">
        <v>41</v>
      </c>
      <c r="B49" s="114" t="s">
        <v>82</v>
      </c>
      <c r="C49" s="115" t="s">
        <v>42</v>
      </c>
      <c r="D49" s="9">
        <v>396720503206.70001</v>
      </c>
      <c r="E49" s="3">
        <f t="shared" si="8"/>
        <v>0.42657643032069165</v>
      </c>
      <c r="F49" s="8">
        <v>100</v>
      </c>
      <c r="G49" s="8">
        <v>100</v>
      </c>
      <c r="H49" s="60">
        <v>133962</v>
      </c>
      <c r="I49" s="5">
        <v>0.11509999999999999</v>
      </c>
      <c r="J49" s="5">
        <v>0.11509999999999999</v>
      </c>
      <c r="K49" s="9">
        <v>412279094099.73999</v>
      </c>
      <c r="L49" s="3">
        <f t="shared" si="7"/>
        <v>0.44330591142975101</v>
      </c>
      <c r="M49" s="8">
        <v>100</v>
      </c>
      <c r="N49" s="8">
        <v>100</v>
      </c>
      <c r="O49" s="60">
        <v>134655</v>
      </c>
      <c r="P49" s="5">
        <v>0.11119999999999999</v>
      </c>
      <c r="Q49" s="5">
        <v>0.11119999999999999</v>
      </c>
      <c r="R49" s="80">
        <f t="shared" si="9"/>
        <v>3.9218015623794504E-2</v>
      </c>
      <c r="S49" s="80">
        <f t="shared" si="10"/>
        <v>0</v>
      </c>
      <c r="T49" s="80">
        <f t="shared" si="11"/>
        <v>5.1731087920455056E-3</v>
      </c>
      <c r="U49" s="81">
        <f t="shared" si="12"/>
        <v>-3.9000000000000007E-3</v>
      </c>
      <c r="V49" s="83">
        <f t="shared" si="13"/>
        <v>-3.9000000000000007E-3</v>
      </c>
    </row>
    <row r="50" spans="1:22">
      <c r="A50" s="75">
        <v>42</v>
      </c>
      <c r="B50" s="114" t="s">
        <v>83</v>
      </c>
      <c r="C50" s="115" t="s">
        <v>84</v>
      </c>
      <c r="D50" s="9">
        <v>2932750567.5500002</v>
      </c>
      <c r="E50" s="3">
        <f t="shared" si="8"/>
        <v>3.1534600758323832E-3</v>
      </c>
      <c r="F50" s="8">
        <v>1</v>
      </c>
      <c r="G50" s="8">
        <v>1</v>
      </c>
      <c r="H50" s="60">
        <v>340</v>
      </c>
      <c r="I50" s="5">
        <v>0.13204667622394428</v>
      </c>
      <c r="J50" s="5">
        <v>0.13204667622394428</v>
      </c>
      <c r="K50" s="9">
        <v>3039253589.79</v>
      </c>
      <c r="L50" s="3">
        <f t="shared" si="7"/>
        <v>3.2679781778167253E-3</v>
      </c>
      <c r="M50" s="8">
        <v>1</v>
      </c>
      <c r="N50" s="8">
        <v>1</v>
      </c>
      <c r="O50" s="60">
        <v>335</v>
      </c>
      <c r="P50" s="5">
        <v>0.13700340861642871</v>
      </c>
      <c r="Q50" s="5">
        <v>0.13700340861642871</v>
      </c>
      <c r="R50" s="80">
        <f t="shared" si="9"/>
        <v>3.6315063210088018E-2</v>
      </c>
      <c r="S50" s="80">
        <f t="shared" si="10"/>
        <v>0</v>
      </c>
      <c r="T50" s="80">
        <f t="shared" si="11"/>
        <v>-1.4705882352941176E-2</v>
      </c>
      <c r="U50" s="81">
        <f t="shared" si="12"/>
        <v>4.9567323924844253E-3</v>
      </c>
      <c r="V50" s="83">
        <f t="shared" si="13"/>
        <v>4.9567323924844253E-3</v>
      </c>
    </row>
    <row r="51" spans="1:22">
      <c r="A51" s="75">
        <v>43</v>
      </c>
      <c r="B51" s="114" t="s">
        <v>85</v>
      </c>
      <c r="C51" s="115" t="s">
        <v>45</v>
      </c>
      <c r="D51" s="9">
        <v>48866423546.93</v>
      </c>
      <c r="E51" s="3">
        <f t="shared" si="8"/>
        <v>5.2543955632985154E-2</v>
      </c>
      <c r="F51" s="8">
        <v>1</v>
      </c>
      <c r="G51" s="8">
        <v>1</v>
      </c>
      <c r="H51" s="60">
        <v>19108</v>
      </c>
      <c r="I51" s="5">
        <v>0.10730000000000001</v>
      </c>
      <c r="J51" s="5">
        <v>0.10730000000000001</v>
      </c>
      <c r="K51" s="9">
        <v>45306887361.349998</v>
      </c>
      <c r="L51" s="3">
        <f t="shared" si="7"/>
        <v>4.8716540040978508E-2</v>
      </c>
      <c r="M51" s="8">
        <v>1</v>
      </c>
      <c r="N51" s="8">
        <v>1</v>
      </c>
      <c r="O51" s="60">
        <v>19181</v>
      </c>
      <c r="P51" s="5">
        <v>0.1</v>
      </c>
      <c r="Q51" s="5">
        <v>0.1</v>
      </c>
      <c r="R51" s="80">
        <f t="shared" si="9"/>
        <v>-7.2842167018044995E-2</v>
      </c>
      <c r="S51" s="80">
        <f t="shared" si="10"/>
        <v>0</v>
      </c>
      <c r="T51" s="80">
        <f t="shared" si="11"/>
        <v>3.820389365710697E-3</v>
      </c>
      <c r="U51" s="81">
        <f t="shared" si="12"/>
        <v>-7.3000000000000009E-3</v>
      </c>
      <c r="V51" s="83">
        <f t="shared" si="13"/>
        <v>-7.3000000000000009E-3</v>
      </c>
    </row>
    <row r="52" spans="1:22">
      <c r="A52" s="75">
        <v>44</v>
      </c>
      <c r="B52" s="114" t="s">
        <v>86</v>
      </c>
      <c r="C52" s="115" t="s">
        <v>87</v>
      </c>
      <c r="D52" s="9">
        <v>1818001268.0999999</v>
      </c>
      <c r="E52" s="3">
        <f t="shared" si="8"/>
        <v>1.9548182788539357E-3</v>
      </c>
      <c r="F52" s="8">
        <v>1</v>
      </c>
      <c r="G52" s="8">
        <v>1</v>
      </c>
      <c r="H52" s="60">
        <v>54</v>
      </c>
      <c r="I52" s="5">
        <v>7.2099999999999997E-2</v>
      </c>
      <c r="J52" s="5">
        <v>7.2099999999999997E-2</v>
      </c>
      <c r="K52" s="9">
        <v>1463767977.24</v>
      </c>
      <c r="L52" s="3">
        <f t="shared" si="7"/>
        <v>1.5739265137588514E-3</v>
      </c>
      <c r="M52" s="8">
        <v>1</v>
      </c>
      <c r="N52" s="8">
        <v>1</v>
      </c>
      <c r="O52" s="60">
        <v>53</v>
      </c>
      <c r="P52" s="5">
        <v>8.9399999999999993E-2</v>
      </c>
      <c r="Q52" s="5">
        <v>8.9399999999999993E-2</v>
      </c>
      <c r="R52" s="80">
        <f t="shared" si="9"/>
        <v>-0.1948476588414102</v>
      </c>
      <c r="S52" s="80">
        <f t="shared" si="10"/>
        <v>0</v>
      </c>
      <c r="T52" s="80">
        <f t="shared" si="11"/>
        <v>-1.8518518518518517E-2</v>
      </c>
      <c r="U52" s="81">
        <f t="shared" si="12"/>
        <v>1.7299999999999996E-2</v>
      </c>
      <c r="V52" s="83">
        <f t="shared" si="13"/>
        <v>1.7299999999999996E-2</v>
      </c>
    </row>
    <row r="53" spans="1:22">
      <c r="A53" s="75">
        <v>45</v>
      </c>
      <c r="B53" s="114" t="s">
        <v>88</v>
      </c>
      <c r="C53" s="115" t="s">
        <v>89</v>
      </c>
      <c r="D53" s="9">
        <v>1020084142.8</v>
      </c>
      <c r="E53" s="3">
        <f t="shared" si="8"/>
        <v>1.0968524408118308E-3</v>
      </c>
      <c r="F53" s="8">
        <v>1</v>
      </c>
      <c r="G53" s="8">
        <v>1</v>
      </c>
      <c r="H53" s="60">
        <v>268</v>
      </c>
      <c r="I53" s="5">
        <v>0.1019</v>
      </c>
      <c r="J53" s="5">
        <v>0.1019</v>
      </c>
      <c r="K53" s="9">
        <v>988730765.04999995</v>
      </c>
      <c r="L53" s="3">
        <f t="shared" si="7"/>
        <v>1.0631395072704989E-3</v>
      </c>
      <c r="M53" s="8">
        <v>1</v>
      </c>
      <c r="N53" s="8">
        <v>1</v>
      </c>
      <c r="O53" s="60">
        <v>212</v>
      </c>
      <c r="P53" s="5">
        <v>9.6199999999999994E-2</v>
      </c>
      <c r="Q53" s="5">
        <v>9.6199999999999994E-2</v>
      </c>
      <c r="R53" s="80">
        <f t="shared" si="9"/>
        <v>-3.0736070128429802E-2</v>
      </c>
      <c r="S53" s="80">
        <f t="shared" si="10"/>
        <v>0</v>
      </c>
      <c r="T53" s="80">
        <f t="shared" si="11"/>
        <v>-0.20895522388059701</v>
      </c>
      <c r="U53" s="81">
        <f t="shared" si="12"/>
        <v>-5.7000000000000106E-3</v>
      </c>
      <c r="V53" s="83">
        <f t="shared" si="13"/>
        <v>-5.7000000000000106E-3</v>
      </c>
    </row>
    <row r="54" spans="1:22">
      <c r="A54" s="75">
        <v>46</v>
      </c>
      <c r="B54" s="114" t="s">
        <v>90</v>
      </c>
      <c r="C54" s="115" t="s">
        <v>91</v>
      </c>
      <c r="D54" s="9">
        <v>28370337382.419998</v>
      </c>
      <c r="E54" s="3">
        <f t="shared" si="8"/>
        <v>3.0505399014582647E-2</v>
      </c>
      <c r="F54" s="8">
        <v>1</v>
      </c>
      <c r="G54" s="8">
        <v>1</v>
      </c>
      <c r="H54" s="60">
        <v>3142</v>
      </c>
      <c r="I54" s="5">
        <v>0.1208</v>
      </c>
      <c r="J54" s="5">
        <v>0.1208</v>
      </c>
      <c r="K54" s="9">
        <v>29004594161.650002</v>
      </c>
      <c r="L54" s="3">
        <f t="shared" si="7"/>
        <v>3.1187387947858591E-2</v>
      </c>
      <c r="M54" s="8">
        <v>1</v>
      </c>
      <c r="N54" s="8">
        <v>1</v>
      </c>
      <c r="O54" s="60">
        <v>3205</v>
      </c>
      <c r="P54" s="5">
        <v>0.1176</v>
      </c>
      <c r="Q54" s="5">
        <v>0.1176</v>
      </c>
      <c r="R54" s="80">
        <f t="shared" si="9"/>
        <v>2.2356335445733112E-2</v>
      </c>
      <c r="S54" s="80">
        <f t="shared" si="10"/>
        <v>0</v>
      </c>
      <c r="T54" s="80">
        <f t="shared" si="11"/>
        <v>2.005092297899427E-2</v>
      </c>
      <c r="U54" s="81">
        <f t="shared" si="12"/>
        <v>-3.2000000000000084E-3</v>
      </c>
      <c r="V54" s="83">
        <f t="shared" si="13"/>
        <v>-3.2000000000000084E-3</v>
      </c>
    </row>
    <row r="55" spans="1:22">
      <c r="A55" s="75"/>
      <c r="B55" s="19"/>
      <c r="C55" s="71" t="s">
        <v>46</v>
      </c>
      <c r="D55" s="59">
        <f>SUM(D25:D54)</f>
        <v>912572121651.28699</v>
      </c>
      <c r="E55" s="99">
        <f>(D55/$D$181)</f>
        <v>0.41140120652945106</v>
      </c>
      <c r="F55" s="30"/>
      <c r="G55" s="11"/>
      <c r="H55" s="65">
        <f>SUM(H25:H54)</f>
        <v>290849</v>
      </c>
      <c r="I55" s="32"/>
      <c r="J55" s="32"/>
      <c r="K55" s="59">
        <f>SUM(K25:K54)</f>
        <v>930010368618.9447</v>
      </c>
      <c r="L55" s="99">
        <f>(K55/$K$181)</f>
        <v>0.41977990191023007</v>
      </c>
      <c r="M55" s="30"/>
      <c r="N55" s="11"/>
      <c r="O55" s="65">
        <f>SUM(O25:O54)</f>
        <v>292128</v>
      </c>
      <c r="P55" s="32"/>
      <c r="Q55" s="32"/>
      <c r="R55" s="80">
        <f t="shared" si="9"/>
        <v>1.9108897317730286E-2</v>
      </c>
      <c r="S55" s="80" t="e">
        <f t="shared" si="10"/>
        <v>#DIV/0!</v>
      </c>
      <c r="T55" s="80">
        <f t="shared" si="11"/>
        <v>4.397470852572985E-3</v>
      </c>
      <c r="U55" s="81">
        <f t="shared" si="12"/>
        <v>0</v>
      </c>
      <c r="V55" s="83">
        <f t="shared" si="13"/>
        <v>0</v>
      </c>
    </row>
    <row r="56" spans="1:22" ht="9" customHeight="1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</row>
    <row r="57" spans="1:22" ht="15" customHeight="1">
      <c r="A57" s="149" t="s">
        <v>92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>
      <c r="A58" s="75">
        <v>47</v>
      </c>
      <c r="B58" s="114" t="s">
        <v>93</v>
      </c>
      <c r="C58" s="115" t="s">
        <v>19</v>
      </c>
      <c r="D58" s="2">
        <v>497743789.81999999</v>
      </c>
      <c r="E58" s="3">
        <f>(D58/$D$90)</f>
        <v>1.7232759125090414E-3</v>
      </c>
      <c r="F58" s="14">
        <v>1.3351999999999999</v>
      </c>
      <c r="G58" s="14">
        <v>1.3351999999999999</v>
      </c>
      <c r="H58" s="60">
        <v>396</v>
      </c>
      <c r="I58" s="5">
        <v>6.7500000000000004E-4</v>
      </c>
      <c r="J58" s="5">
        <v>4.2999999999999997E-2</v>
      </c>
      <c r="K58" s="2">
        <v>487789697.77999997</v>
      </c>
      <c r="L58" s="3">
        <f t="shared" ref="L58:L77" si="14">(K58/$K$90)</f>
        <v>1.6935543039266008E-3</v>
      </c>
      <c r="M58" s="14">
        <v>1.3085</v>
      </c>
      <c r="N58" s="14">
        <v>1.3085</v>
      </c>
      <c r="O58" s="60">
        <v>396</v>
      </c>
      <c r="P58" s="5">
        <v>2.6050000000000001E-3</v>
      </c>
      <c r="Q58" s="5">
        <v>2.2200000000000001E-2</v>
      </c>
      <c r="R58" s="80">
        <f>((K58-D58)/D58)</f>
        <v>-1.9998425381861095E-2</v>
      </c>
      <c r="S58" s="80">
        <f>((N58-G58)/G58)</f>
        <v>-1.9997004194128181E-2</v>
      </c>
      <c r="T58" s="80">
        <f>((O58-H58)/H58)</f>
        <v>0</v>
      </c>
      <c r="U58" s="81">
        <f>P58-I58</f>
        <v>1.9300000000000001E-3</v>
      </c>
      <c r="V58" s="83">
        <f>Q58-J58</f>
        <v>-2.0799999999999996E-2</v>
      </c>
    </row>
    <row r="59" spans="1:22">
      <c r="A59" s="75">
        <v>48</v>
      </c>
      <c r="B59" s="114" t="s">
        <v>94</v>
      </c>
      <c r="C59" s="115" t="s">
        <v>21</v>
      </c>
      <c r="D59" s="2">
        <v>1296172083.5999999</v>
      </c>
      <c r="E59" s="3">
        <f>(D59/$D$90)</f>
        <v>4.487574080918817E-3</v>
      </c>
      <c r="F59" s="14">
        <v>1.107</v>
      </c>
      <c r="G59" s="14">
        <v>1.107</v>
      </c>
      <c r="H59" s="60">
        <v>565</v>
      </c>
      <c r="I59" s="5">
        <v>0.61160000000000003</v>
      </c>
      <c r="J59" s="5">
        <v>-1.3986000000000001</v>
      </c>
      <c r="K59" s="2">
        <v>1380427178.0799999</v>
      </c>
      <c r="L59" s="3">
        <f t="shared" si="14"/>
        <v>4.79269734341341E-3</v>
      </c>
      <c r="M59" s="14">
        <v>1.1049</v>
      </c>
      <c r="N59" s="14">
        <v>1.1049</v>
      </c>
      <c r="O59" s="60">
        <v>568</v>
      </c>
      <c r="P59" s="5">
        <v>-9.9199999999999997E-2</v>
      </c>
      <c r="Q59" s="5">
        <v>-0.91820000000000002</v>
      </c>
      <c r="R59" s="80">
        <f t="shared" ref="R59:R90" si="15">((K59-D59)/D59)</f>
        <v>6.5003015838752801E-2</v>
      </c>
      <c r="S59" s="80">
        <f t="shared" ref="S59:S90" si="16">((N59-G59)/G59)</f>
        <v>-1.8970189701896937E-3</v>
      </c>
      <c r="T59" s="80">
        <f t="shared" ref="T59:T90" si="17">((O59-H59)/H59)</f>
        <v>5.3097345132743362E-3</v>
      </c>
      <c r="U59" s="81">
        <f t="shared" ref="U59:U90" si="18">P59-I59</f>
        <v>-0.71079999999999999</v>
      </c>
      <c r="V59" s="83">
        <f t="shared" ref="V59:V90" si="19">Q59-J59</f>
        <v>0.48040000000000005</v>
      </c>
    </row>
    <row r="60" spans="1:22">
      <c r="A60" s="75">
        <v>49</v>
      </c>
      <c r="B60" s="114" t="s">
        <v>95</v>
      </c>
      <c r="C60" s="115" t="s">
        <v>21</v>
      </c>
      <c r="D60" s="2">
        <v>920927350.79999995</v>
      </c>
      <c r="E60" s="3">
        <f>(D60/$D$90)</f>
        <v>3.1884112936463116E-3</v>
      </c>
      <c r="F60" s="14">
        <v>1.006</v>
      </c>
      <c r="G60" s="14">
        <v>1.006</v>
      </c>
      <c r="H60" s="60">
        <v>145</v>
      </c>
      <c r="I60" s="5">
        <v>9.3700000000000006E-2</v>
      </c>
      <c r="J60" s="5">
        <v>-1.8297000000000001</v>
      </c>
      <c r="K60" s="2">
        <v>985263249.14999998</v>
      </c>
      <c r="L60" s="3">
        <f t="shared" si="14"/>
        <v>3.4207299245816582E-3</v>
      </c>
      <c r="M60" s="14">
        <v>1.0076000000000001</v>
      </c>
      <c r="N60" s="14">
        <v>1.0076000000000001</v>
      </c>
      <c r="O60" s="60">
        <v>145</v>
      </c>
      <c r="P60" s="5">
        <v>8.3199999999999996E-2</v>
      </c>
      <c r="Q60" s="5">
        <v>-1.1268</v>
      </c>
      <c r="R60" s="80">
        <f t="shared" si="15"/>
        <v>6.9859906206621081E-2</v>
      </c>
      <c r="S60" s="80">
        <f t="shared" si="16"/>
        <v>1.5904572564612782E-3</v>
      </c>
      <c r="T60" s="80">
        <f t="shared" si="17"/>
        <v>0</v>
      </c>
      <c r="U60" s="81">
        <f t="shared" si="18"/>
        <v>-1.0500000000000009E-2</v>
      </c>
      <c r="V60" s="83">
        <f t="shared" si="19"/>
        <v>0.70290000000000008</v>
      </c>
    </row>
    <row r="61" spans="1:22">
      <c r="A61" s="75">
        <v>50</v>
      </c>
      <c r="B61" s="114" t="s">
        <v>96</v>
      </c>
      <c r="C61" s="115" t="s">
        <v>97</v>
      </c>
      <c r="D61" s="2">
        <v>278402521.75999999</v>
      </c>
      <c r="E61" s="3">
        <f>(D61/$D$90)</f>
        <v>9.6387814281777447E-4</v>
      </c>
      <c r="F61" s="7">
        <v>1176.6300000000001</v>
      </c>
      <c r="G61" s="7">
        <v>1176.6300000000001</v>
      </c>
      <c r="H61" s="60">
        <v>118</v>
      </c>
      <c r="I61" s="5">
        <v>1.26E-2</v>
      </c>
      <c r="J61" s="5">
        <v>0.104</v>
      </c>
      <c r="K61" s="2">
        <v>279474173.41000003</v>
      </c>
      <c r="L61" s="3">
        <f t="shared" si="14"/>
        <v>9.7030480834037994E-4</v>
      </c>
      <c r="M61" s="7">
        <v>1187.79</v>
      </c>
      <c r="N61" s="7">
        <v>1187.79</v>
      </c>
      <c r="O61" s="60">
        <v>116</v>
      </c>
      <c r="P61" s="5">
        <v>1.2500000000000001E-2</v>
      </c>
      <c r="Q61" s="5">
        <v>0.1139</v>
      </c>
      <c r="R61" s="80">
        <f t="shared" si="15"/>
        <v>3.849288588426886E-3</v>
      </c>
      <c r="S61" s="80">
        <f t="shared" si="16"/>
        <v>9.4847148211416113E-3</v>
      </c>
      <c r="T61" s="80">
        <f t="shared" si="17"/>
        <v>-1.6949152542372881E-2</v>
      </c>
      <c r="U61" s="81">
        <f t="shared" si="18"/>
        <v>-9.9999999999999395E-5</v>
      </c>
      <c r="V61" s="83">
        <f t="shared" si="19"/>
        <v>9.900000000000006E-3</v>
      </c>
    </row>
    <row r="62" spans="1:22" ht="15" customHeight="1">
      <c r="A62" s="75">
        <v>51</v>
      </c>
      <c r="B62" s="114" t="s">
        <v>98</v>
      </c>
      <c r="C62" s="115" t="s">
        <v>99</v>
      </c>
      <c r="D62" s="2">
        <v>1409487937.5599999</v>
      </c>
      <c r="E62" s="3">
        <f>(D62/$K$90)</f>
        <v>4.8935932305482115E-3</v>
      </c>
      <c r="F62" s="7">
        <v>1.0195000000000001</v>
      </c>
      <c r="G62" s="7">
        <v>1.0195000000000001</v>
      </c>
      <c r="H62" s="60">
        <v>804</v>
      </c>
      <c r="I62" s="5">
        <v>1.6999999999999999E-3</v>
      </c>
      <c r="J62" s="5">
        <v>3.0000000000000001E-3</v>
      </c>
      <c r="K62" s="2">
        <v>1422557453.5</v>
      </c>
      <c r="L62" s="3">
        <f t="shared" si="14"/>
        <v>4.938969209317667E-3</v>
      </c>
      <c r="M62" s="7">
        <v>1.0210999999999999</v>
      </c>
      <c r="N62" s="7">
        <v>1.0210999999999999</v>
      </c>
      <c r="O62" s="60">
        <v>810</v>
      </c>
      <c r="P62" s="5">
        <v>1.6000000000000001E-3</v>
      </c>
      <c r="Q62" s="5">
        <v>4.5999999999999999E-3</v>
      </c>
      <c r="R62" s="80">
        <f t="shared" si="15"/>
        <v>9.2725276972749592E-3</v>
      </c>
      <c r="S62" s="80">
        <f t="shared" si="16"/>
        <v>1.5693967631190031E-3</v>
      </c>
      <c r="T62" s="80">
        <f t="shared" si="17"/>
        <v>7.462686567164179E-3</v>
      </c>
      <c r="U62" s="81">
        <f t="shared" si="18"/>
        <v>-9.9999999999999829E-5</v>
      </c>
      <c r="V62" s="83">
        <v>7.87</v>
      </c>
    </row>
    <row r="63" spans="1:22">
      <c r="A63" s="75">
        <v>52</v>
      </c>
      <c r="B63" s="114" t="s">
        <v>100</v>
      </c>
      <c r="C63" s="115" t="s">
        <v>101</v>
      </c>
      <c r="D63" s="2">
        <v>395678305.64999998</v>
      </c>
      <c r="E63" s="3">
        <f t="shared" ref="E63:E77" si="20">(D63/$D$90)</f>
        <v>1.3699073844308906E-3</v>
      </c>
      <c r="F63" s="7">
        <v>2.2446999999999999</v>
      </c>
      <c r="G63" s="7">
        <v>2.2446999999999999</v>
      </c>
      <c r="H63" s="60">
        <v>1398</v>
      </c>
      <c r="I63" s="5">
        <v>0.1047</v>
      </c>
      <c r="J63" s="5">
        <v>0.1033</v>
      </c>
      <c r="K63" s="2">
        <v>396454429.45999998</v>
      </c>
      <c r="L63" s="3">
        <f t="shared" si="14"/>
        <v>1.3764479003522672E-3</v>
      </c>
      <c r="M63" s="7">
        <v>2.2490999999999999</v>
      </c>
      <c r="N63" s="7">
        <v>2.2490999999999999</v>
      </c>
      <c r="O63" s="60">
        <v>1398</v>
      </c>
      <c r="P63" s="5">
        <v>0.10249999999999999</v>
      </c>
      <c r="Q63" s="5">
        <v>0.1033</v>
      </c>
      <c r="R63" s="80">
        <f t="shared" si="15"/>
        <v>1.9615020558810424E-3</v>
      </c>
      <c r="S63" s="80">
        <f t="shared" si="16"/>
        <v>1.9601728516059872E-3</v>
      </c>
      <c r="T63" s="80">
        <f t="shared" si="17"/>
        <v>0</v>
      </c>
      <c r="U63" s="81">
        <f t="shared" si="18"/>
        <v>-2.2000000000000075E-3</v>
      </c>
      <c r="V63" s="83">
        <f t="shared" si="19"/>
        <v>0</v>
      </c>
    </row>
    <row r="64" spans="1:22">
      <c r="A64" s="75">
        <v>53</v>
      </c>
      <c r="B64" s="114" t="s">
        <v>102</v>
      </c>
      <c r="C64" s="115" t="s">
        <v>56</v>
      </c>
      <c r="D64" s="2">
        <v>2592735064.63624</v>
      </c>
      <c r="E64" s="3">
        <f t="shared" si="20"/>
        <v>8.9765015170173712E-3</v>
      </c>
      <c r="F64" s="2">
        <v>4009.1352683789901</v>
      </c>
      <c r="G64" s="2">
        <v>4009.1352683789901</v>
      </c>
      <c r="H64" s="60">
        <v>1057</v>
      </c>
      <c r="I64" s="5">
        <v>8.0197940565749457E-2</v>
      </c>
      <c r="J64" s="5">
        <v>7.9717934285651285E-2</v>
      </c>
      <c r="K64" s="2">
        <v>2596128057.1455898</v>
      </c>
      <c r="L64" s="3">
        <f t="shared" si="14"/>
        <v>9.013482377207737E-3</v>
      </c>
      <c r="M64" s="2">
        <v>4015.36762711661</v>
      </c>
      <c r="N64" s="2">
        <v>4015.36762711661</v>
      </c>
      <c r="O64" s="60">
        <v>1054</v>
      </c>
      <c r="P64" s="5">
        <v>8.128020295334866E-2</v>
      </c>
      <c r="Q64" s="5">
        <v>8.0371775165198667E-2</v>
      </c>
      <c r="R64" s="80">
        <f t="shared" si="15"/>
        <v>1.3086537670696635E-3</v>
      </c>
      <c r="S64" s="80">
        <f t="shared" si="16"/>
        <v>1.5545394007471054E-3</v>
      </c>
      <c r="T64" s="80">
        <f t="shared" si="17"/>
        <v>-2.8382213812677389E-3</v>
      </c>
      <c r="U64" s="81">
        <f t="shared" si="18"/>
        <v>1.0822623875992032E-3</v>
      </c>
      <c r="V64" s="83">
        <f t="shared" si="19"/>
        <v>6.5384087954738213E-4</v>
      </c>
    </row>
    <row r="65" spans="1:22">
      <c r="A65" s="75">
        <v>54</v>
      </c>
      <c r="B65" s="114" t="s">
        <v>103</v>
      </c>
      <c r="C65" s="115" t="s">
        <v>58</v>
      </c>
      <c r="D65" s="2">
        <v>347381921.95999998</v>
      </c>
      <c r="E65" s="3">
        <f t="shared" si="20"/>
        <v>1.2026968709569416E-3</v>
      </c>
      <c r="F65" s="14">
        <v>107.91</v>
      </c>
      <c r="G65" s="14">
        <v>107.91</v>
      </c>
      <c r="H65" s="60">
        <v>122</v>
      </c>
      <c r="I65" s="5">
        <v>1.9E-3</v>
      </c>
      <c r="J65" s="5">
        <v>6.0699999999999997E-2</v>
      </c>
      <c r="K65" s="2">
        <v>348337728.06</v>
      </c>
      <c r="L65" s="3">
        <f t="shared" si="14"/>
        <v>1.2093917958105238E-3</v>
      </c>
      <c r="M65" s="14">
        <v>108.16</v>
      </c>
      <c r="N65" s="14">
        <v>108.16</v>
      </c>
      <c r="O65" s="60">
        <v>122</v>
      </c>
      <c r="P65" s="5">
        <v>2.3E-3</v>
      </c>
      <c r="Q65" s="5">
        <v>8.09E-2</v>
      </c>
      <c r="R65" s="80">
        <f t="shared" si="15"/>
        <v>2.7514560763760242E-3</v>
      </c>
      <c r="S65" s="80">
        <f t="shared" si="16"/>
        <v>2.3167454360114911E-3</v>
      </c>
      <c r="T65" s="80">
        <f t="shared" si="17"/>
        <v>0</v>
      </c>
      <c r="U65" s="81">
        <f t="shared" si="18"/>
        <v>3.9999999999999996E-4</v>
      </c>
      <c r="V65" s="83">
        <f t="shared" si="19"/>
        <v>2.0200000000000003E-2</v>
      </c>
    </row>
    <row r="66" spans="1:22">
      <c r="A66" s="75">
        <v>55</v>
      </c>
      <c r="B66" s="114" t="s">
        <v>104</v>
      </c>
      <c r="C66" s="115" t="s">
        <v>105</v>
      </c>
      <c r="D66" s="2">
        <v>335432911.82999998</v>
      </c>
      <c r="E66" s="3">
        <f t="shared" si="20"/>
        <v>1.1613273114435983E-3</v>
      </c>
      <c r="F66" s="14">
        <v>1.4412</v>
      </c>
      <c r="G66" s="14">
        <v>1.4412</v>
      </c>
      <c r="H66" s="60">
        <v>311</v>
      </c>
      <c r="I66" s="5">
        <v>6.3543048669787439E-3</v>
      </c>
      <c r="J66" s="5">
        <v>7.6764528719143743E-2</v>
      </c>
      <c r="K66" s="2">
        <v>334091942.87</v>
      </c>
      <c r="L66" s="3">
        <f t="shared" si="14"/>
        <v>1.1599319344581024E-3</v>
      </c>
      <c r="M66" s="14">
        <v>1.4354</v>
      </c>
      <c r="N66" s="14">
        <v>1.4354</v>
      </c>
      <c r="O66" s="60">
        <v>311</v>
      </c>
      <c r="P66" s="5">
        <v>-4.0000000000000001E-3</v>
      </c>
      <c r="Q66" s="5">
        <v>7.2599999999999998E-2</v>
      </c>
      <c r="R66" s="80">
        <f t="shared" si="15"/>
        <v>-3.9977262597284792E-3</v>
      </c>
      <c r="S66" s="80">
        <f t="shared" si="16"/>
        <v>-4.0244240910352674E-3</v>
      </c>
      <c r="T66" s="80">
        <f t="shared" si="17"/>
        <v>0</v>
      </c>
      <c r="U66" s="81">
        <f t="shared" si="18"/>
        <v>-1.0354304866978744E-2</v>
      </c>
      <c r="V66" s="83">
        <f t="shared" si="19"/>
        <v>-4.1645287191437452E-3</v>
      </c>
    </row>
    <row r="67" spans="1:22">
      <c r="A67" s="75">
        <v>56</v>
      </c>
      <c r="B67" s="114" t="s">
        <v>106</v>
      </c>
      <c r="C67" s="115" t="s">
        <v>25</v>
      </c>
      <c r="D67" s="2">
        <v>73780633.090000004</v>
      </c>
      <c r="E67" s="3">
        <f t="shared" si="20"/>
        <v>2.5544143475832013E-4</v>
      </c>
      <c r="F67" s="14">
        <v>112.7791</v>
      </c>
      <c r="G67" s="14">
        <v>112.7791</v>
      </c>
      <c r="H67" s="60">
        <v>88</v>
      </c>
      <c r="I67" s="5">
        <v>2.99E-4</v>
      </c>
      <c r="J67" s="5">
        <v>0.1125</v>
      </c>
      <c r="K67" s="2">
        <v>74175665.569999993</v>
      </c>
      <c r="L67" s="3">
        <f t="shared" si="14"/>
        <v>2.5753007544933901E-4</v>
      </c>
      <c r="M67" s="14">
        <v>113.0003</v>
      </c>
      <c r="N67" s="14">
        <v>113.0003</v>
      </c>
      <c r="O67" s="60">
        <v>89</v>
      </c>
      <c r="P67" s="5">
        <v>2.6499999999999999E-4</v>
      </c>
      <c r="Q67" s="5">
        <v>0.1216</v>
      </c>
      <c r="R67" s="80">
        <f t="shared" si="15"/>
        <v>5.3541486899159009E-3</v>
      </c>
      <c r="S67" s="80">
        <f t="shared" si="16"/>
        <v>1.9613563151328222E-3</v>
      </c>
      <c r="T67" s="80">
        <f t="shared" si="17"/>
        <v>1.1363636363636364E-2</v>
      </c>
      <c r="U67" s="81">
        <f t="shared" si="18"/>
        <v>-3.4000000000000013E-5</v>
      </c>
      <c r="V67" s="83">
        <f t="shared" si="19"/>
        <v>9.099999999999997E-3</v>
      </c>
    </row>
    <row r="68" spans="1:22">
      <c r="A68" s="75">
        <v>57</v>
      </c>
      <c r="B68" s="114" t="s">
        <v>107</v>
      </c>
      <c r="C68" s="115" t="s">
        <v>108</v>
      </c>
      <c r="D68" s="2">
        <v>1122695551.3900001</v>
      </c>
      <c r="E68" s="3">
        <f t="shared" si="20"/>
        <v>3.8869680352839726E-3</v>
      </c>
      <c r="F68" s="7">
        <v>1000</v>
      </c>
      <c r="G68" s="7">
        <v>1000</v>
      </c>
      <c r="H68" s="60">
        <v>270</v>
      </c>
      <c r="I68" s="5">
        <v>8.6470287901885306E-5</v>
      </c>
      <c r="J68" s="5">
        <v>0.14899999999999999</v>
      </c>
      <c r="K68" s="2">
        <v>1136983558.0800002</v>
      </c>
      <c r="L68" s="3">
        <f t="shared" si="14"/>
        <v>3.9474868104914587E-3</v>
      </c>
      <c r="M68" s="7">
        <v>1000</v>
      </c>
      <c r="N68" s="7">
        <v>1000</v>
      </c>
      <c r="O68" s="60">
        <v>272</v>
      </c>
      <c r="P68" s="5">
        <v>1.2726519377679999E-4</v>
      </c>
      <c r="Q68" s="5">
        <v>0.14680000000000001</v>
      </c>
      <c r="R68" s="80">
        <f t="shared" si="15"/>
        <v>1.2726519377680079E-2</v>
      </c>
      <c r="S68" s="80">
        <f t="shared" si="16"/>
        <v>0</v>
      </c>
      <c r="T68" s="80">
        <f t="shared" si="17"/>
        <v>7.4074074074074077E-3</v>
      </c>
      <c r="U68" s="81">
        <f t="shared" si="18"/>
        <v>4.0794905874914688E-5</v>
      </c>
      <c r="V68" s="83">
        <f t="shared" si="19"/>
        <v>-2.1999999999999797E-3</v>
      </c>
    </row>
    <row r="69" spans="1:22">
      <c r="A69" s="75">
        <v>58</v>
      </c>
      <c r="B69" s="114" t="s">
        <v>109</v>
      </c>
      <c r="C69" s="115" t="s">
        <v>64</v>
      </c>
      <c r="D69" s="2">
        <v>215497896.24000001</v>
      </c>
      <c r="E69" s="3">
        <f t="shared" si="20"/>
        <v>7.4609134535070989E-4</v>
      </c>
      <c r="F69" s="7">
        <v>1058.56</v>
      </c>
      <c r="G69" s="7">
        <v>1062.0999999999999</v>
      </c>
      <c r="H69" s="60">
        <v>78</v>
      </c>
      <c r="I69" s="5">
        <v>-7.7000000000000002E-3</v>
      </c>
      <c r="J69" s="5">
        <v>1.6999999999999999E-3</v>
      </c>
      <c r="K69" s="2">
        <v>219996732.08000001</v>
      </c>
      <c r="L69" s="3">
        <f t="shared" si="14"/>
        <v>7.6380541483249713E-4</v>
      </c>
      <c r="M69" s="7">
        <v>1069.78</v>
      </c>
      <c r="N69" s="7">
        <v>1071.44</v>
      </c>
      <c r="O69" s="60">
        <v>78</v>
      </c>
      <c r="P69" s="5">
        <v>-4.0000000000000002E-4</v>
      </c>
      <c r="Q69" s="5">
        <v>1.14E-2</v>
      </c>
      <c r="R69" s="80">
        <f t="shared" si="15"/>
        <v>2.0876472199940412E-2</v>
      </c>
      <c r="S69" s="80">
        <f t="shared" si="16"/>
        <v>8.7938988795783317E-3</v>
      </c>
      <c r="T69" s="80">
        <f t="shared" si="17"/>
        <v>0</v>
      </c>
      <c r="U69" s="81">
        <f t="shared" si="18"/>
        <v>7.3000000000000001E-3</v>
      </c>
      <c r="V69" s="83">
        <f t="shared" si="19"/>
        <v>9.7000000000000003E-3</v>
      </c>
    </row>
    <row r="70" spans="1:22">
      <c r="A70" s="75">
        <v>59</v>
      </c>
      <c r="B70" s="114" t="s">
        <v>110</v>
      </c>
      <c r="C70" s="115" t="s">
        <v>67</v>
      </c>
      <c r="D70" s="2">
        <v>758083277.84000003</v>
      </c>
      <c r="E70" s="3">
        <f t="shared" si="20"/>
        <v>2.6246166784923671E-3</v>
      </c>
      <c r="F70" s="15">
        <v>1.1126</v>
      </c>
      <c r="G70" s="15">
        <v>1.1126</v>
      </c>
      <c r="H70" s="60">
        <v>38</v>
      </c>
      <c r="I70" s="5">
        <v>4.0000000000000001E-3</v>
      </c>
      <c r="J70" s="5">
        <v>2.41E-2</v>
      </c>
      <c r="K70" s="2">
        <v>758352905.90999997</v>
      </c>
      <c r="L70" s="3">
        <f t="shared" si="14"/>
        <v>2.6329211821082121E-3</v>
      </c>
      <c r="M70" s="15">
        <v>1.1136999999999999</v>
      </c>
      <c r="N70" s="15">
        <v>1.1136999999999999</v>
      </c>
      <c r="O70" s="60">
        <v>35</v>
      </c>
      <c r="P70" s="5">
        <v>9.8867517526503583E-4</v>
      </c>
      <c r="Q70" s="5">
        <v>2.7861492458827852E-2</v>
      </c>
      <c r="R70" s="80">
        <f t="shared" si="15"/>
        <v>3.5567077903127226E-4</v>
      </c>
      <c r="S70" s="80">
        <f t="shared" si="16"/>
        <v>9.8867517526503583E-4</v>
      </c>
      <c r="T70" s="80">
        <f t="shared" si="17"/>
        <v>-7.8947368421052627E-2</v>
      </c>
      <c r="U70" s="81">
        <f t="shared" si="18"/>
        <v>-3.0113248247349645E-3</v>
      </c>
      <c r="V70" s="83">
        <f t="shared" si="19"/>
        <v>3.7614924588278524E-3</v>
      </c>
    </row>
    <row r="71" spans="1:22">
      <c r="A71" s="75">
        <v>60</v>
      </c>
      <c r="B71" s="114" t="s">
        <v>111</v>
      </c>
      <c r="C71" s="115" t="s">
        <v>27</v>
      </c>
      <c r="D71" s="2">
        <v>66408546167.010002</v>
      </c>
      <c r="E71" s="3">
        <f t="shared" si="20"/>
        <v>0.22991798257440482</v>
      </c>
      <c r="F71" s="15">
        <v>1553.24</v>
      </c>
      <c r="G71" s="2">
        <v>1553.24</v>
      </c>
      <c r="H71" s="60">
        <v>2457</v>
      </c>
      <c r="I71" s="5">
        <v>2.2000000000000001E-3</v>
      </c>
      <c r="J71" s="5">
        <v>0.11990000000000001</v>
      </c>
      <c r="K71" s="2">
        <v>65323820882.150002</v>
      </c>
      <c r="L71" s="3">
        <f t="shared" si="14"/>
        <v>0.2267974057414204</v>
      </c>
      <c r="M71" s="15">
        <v>1556.6</v>
      </c>
      <c r="N71" s="2">
        <v>1556.6</v>
      </c>
      <c r="O71" s="60">
        <v>2453</v>
      </c>
      <c r="P71" s="5">
        <v>2.2000000000000001E-3</v>
      </c>
      <c r="Q71" s="5">
        <v>0.11899999999999999</v>
      </c>
      <c r="R71" s="80">
        <f t="shared" si="15"/>
        <v>-1.6334121848294025E-2</v>
      </c>
      <c r="S71" s="80">
        <f t="shared" si="16"/>
        <v>2.1632201076458887E-3</v>
      </c>
      <c r="T71" s="80">
        <f t="shared" si="17"/>
        <v>-1.6280016280016279E-3</v>
      </c>
      <c r="U71" s="81">
        <f t="shared" si="18"/>
        <v>0</v>
      </c>
      <c r="V71" s="83">
        <f t="shared" si="19"/>
        <v>-9.000000000000119E-4</v>
      </c>
    </row>
    <row r="72" spans="1:22">
      <c r="A72" s="75">
        <v>61</v>
      </c>
      <c r="B72" s="114" t="s">
        <v>112</v>
      </c>
      <c r="C72" s="115" t="s">
        <v>72</v>
      </c>
      <c r="D72" s="2">
        <v>25169076.960000001</v>
      </c>
      <c r="E72" s="3">
        <f t="shared" si="20"/>
        <v>8.7139739264129141E-5</v>
      </c>
      <c r="F72" s="2">
        <v>0.76670000000000005</v>
      </c>
      <c r="G72" s="2">
        <v>0.76670000000000005</v>
      </c>
      <c r="H72" s="60">
        <v>747</v>
      </c>
      <c r="I72" s="5">
        <v>1.6999999999999999E-3</v>
      </c>
      <c r="J72" s="5">
        <v>3.0000000000000001E-3</v>
      </c>
      <c r="K72" s="2">
        <v>25220821.539999999</v>
      </c>
      <c r="L72" s="3">
        <f t="shared" si="14"/>
        <v>8.7564028231887359E-5</v>
      </c>
      <c r="M72" s="2">
        <v>0.76829999999999998</v>
      </c>
      <c r="N72" s="2">
        <v>0.76829999999999998</v>
      </c>
      <c r="O72" s="60">
        <v>747</v>
      </c>
      <c r="P72" s="5">
        <v>2.0999999999999999E-3</v>
      </c>
      <c r="Q72" s="5">
        <v>5.1000000000000004E-3</v>
      </c>
      <c r="R72" s="80">
        <f t="shared" si="15"/>
        <v>2.0558791282744844E-3</v>
      </c>
      <c r="S72" s="80">
        <f t="shared" si="16"/>
        <v>2.0868657884438955E-3</v>
      </c>
      <c r="T72" s="80">
        <f t="shared" si="17"/>
        <v>0</v>
      </c>
      <c r="U72" s="81">
        <f t="shared" si="18"/>
        <v>3.9999999999999996E-4</v>
      </c>
      <c r="V72" s="83">
        <f t="shared" si="19"/>
        <v>2.1000000000000003E-3</v>
      </c>
    </row>
    <row r="73" spans="1:22">
      <c r="A73" s="75">
        <v>62</v>
      </c>
      <c r="B73" s="114" t="s">
        <v>251</v>
      </c>
      <c r="C73" s="115" t="s">
        <v>32</v>
      </c>
      <c r="D73" s="2">
        <v>9071060090.8464146</v>
      </c>
      <c r="E73" s="3">
        <f t="shared" si="20"/>
        <v>3.1405593952524673E-2</v>
      </c>
      <c r="F73" s="14">
        <v>1</v>
      </c>
      <c r="G73" s="14">
        <v>1</v>
      </c>
      <c r="H73" s="60">
        <v>5520</v>
      </c>
      <c r="I73" s="5">
        <v>0.06</v>
      </c>
      <c r="J73" s="5">
        <v>0.06</v>
      </c>
      <c r="K73" s="2">
        <v>8855725759.1993446</v>
      </c>
      <c r="L73" s="3">
        <f t="shared" si="14"/>
        <v>3.0746144377673729E-2</v>
      </c>
      <c r="M73" s="14">
        <v>1</v>
      </c>
      <c r="N73" s="14">
        <v>1</v>
      </c>
      <c r="O73" s="60">
        <v>5526</v>
      </c>
      <c r="P73" s="5">
        <v>0.06</v>
      </c>
      <c r="Q73" s="5">
        <v>0.06</v>
      </c>
      <c r="R73" s="80">
        <f>((K73-D73)/D73)</f>
        <v>-2.3738607118738337E-2</v>
      </c>
      <c r="S73" s="80">
        <f>((N73-G73)/G73)</f>
        <v>0</v>
      </c>
      <c r="T73" s="80">
        <f>((O73-H73)/H73)</f>
        <v>1.0869565217391304E-3</v>
      </c>
      <c r="U73" s="81">
        <f>P73-I73</f>
        <v>0</v>
      </c>
      <c r="V73" s="83">
        <f>Q73-J73</f>
        <v>0</v>
      </c>
    </row>
    <row r="74" spans="1:22">
      <c r="A74" s="75">
        <v>63</v>
      </c>
      <c r="B74" s="114" t="s">
        <v>113</v>
      </c>
      <c r="C74" s="115" t="s">
        <v>114</v>
      </c>
      <c r="D74" s="2">
        <v>1054955462.5599999</v>
      </c>
      <c r="E74" s="3">
        <f t="shared" si="20"/>
        <v>3.6524400195066644E-3</v>
      </c>
      <c r="F74" s="2">
        <v>215.05726000000001</v>
      </c>
      <c r="G74" s="2">
        <v>217.65542600000001</v>
      </c>
      <c r="H74" s="60">
        <v>488</v>
      </c>
      <c r="I74" s="5">
        <v>2.3999999999999998E-3</v>
      </c>
      <c r="J74" s="5">
        <v>2.5000000000000001E-3</v>
      </c>
      <c r="K74" s="2">
        <v>1065410039.3099999</v>
      </c>
      <c r="L74" s="3">
        <f t="shared" si="14"/>
        <v>3.698991113858738E-3</v>
      </c>
      <c r="M74" s="2">
        <v>216.055466</v>
      </c>
      <c r="N74" s="2">
        <v>218.06644</v>
      </c>
      <c r="O74" s="60">
        <v>488</v>
      </c>
      <c r="P74" s="5">
        <v>8.0000000000000004E-4</v>
      </c>
      <c r="Q74" s="5">
        <v>4.4000000000000003E-3</v>
      </c>
      <c r="R74" s="80">
        <f t="shared" si="15"/>
        <v>9.9099697769519848E-3</v>
      </c>
      <c r="S74" s="80">
        <f t="shared" si="16"/>
        <v>1.8883701066105948E-3</v>
      </c>
      <c r="T74" s="80">
        <f t="shared" si="17"/>
        <v>0</v>
      </c>
      <c r="U74" s="81">
        <f t="shared" si="18"/>
        <v>-1.5999999999999999E-3</v>
      </c>
      <c r="V74" s="83">
        <f t="shared" si="19"/>
        <v>1.9000000000000002E-3</v>
      </c>
    </row>
    <row r="75" spans="1:22">
      <c r="A75" s="75">
        <v>64</v>
      </c>
      <c r="B75" s="114" t="s">
        <v>115</v>
      </c>
      <c r="C75" s="115" t="s">
        <v>34</v>
      </c>
      <c r="D75" s="2">
        <v>1221202408.01</v>
      </c>
      <c r="E75" s="3">
        <f t="shared" si="20"/>
        <v>4.2280159734041376E-3</v>
      </c>
      <c r="F75" s="14">
        <v>3.58</v>
      </c>
      <c r="G75" s="14">
        <v>3.58</v>
      </c>
      <c r="H75" s="61">
        <v>780</v>
      </c>
      <c r="I75" s="12">
        <v>-4.0000000000000002E-4</v>
      </c>
      <c r="J75" s="12">
        <v>1.03E-2</v>
      </c>
      <c r="K75" s="2">
        <v>1222544369</v>
      </c>
      <c r="L75" s="3">
        <f t="shared" si="14"/>
        <v>4.2445449079471544E-3</v>
      </c>
      <c r="M75" s="14">
        <v>3.59</v>
      </c>
      <c r="N75" s="14">
        <v>3.59</v>
      </c>
      <c r="O75" s="61">
        <v>780</v>
      </c>
      <c r="P75" s="12">
        <v>1.1000000000000001E-3</v>
      </c>
      <c r="Q75" s="12">
        <v>2.7699999999999999E-2</v>
      </c>
      <c r="R75" s="80">
        <f t="shared" si="15"/>
        <v>1.0988849851572031E-3</v>
      </c>
      <c r="S75" s="80">
        <f t="shared" si="16"/>
        <v>2.7932960893854151E-3</v>
      </c>
      <c r="T75" s="80">
        <f t="shared" si="17"/>
        <v>0</v>
      </c>
      <c r="U75" s="81">
        <f t="shared" si="18"/>
        <v>1.5E-3</v>
      </c>
      <c r="V75" s="83">
        <f t="shared" si="19"/>
        <v>1.7399999999999999E-2</v>
      </c>
    </row>
    <row r="76" spans="1:22">
      <c r="A76" s="75">
        <v>65</v>
      </c>
      <c r="B76" s="115" t="s">
        <v>116</v>
      </c>
      <c r="C76" s="131" t="s">
        <v>40</v>
      </c>
      <c r="D76" s="2">
        <v>1631478236.21</v>
      </c>
      <c r="E76" s="3">
        <f t="shared" si="20"/>
        <v>5.6484625298090663E-3</v>
      </c>
      <c r="F76" s="14">
        <v>98.87</v>
      </c>
      <c r="G76" s="14">
        <v>98.87</v>
      </c>
      <c r="H76" s="60">
        <v>122</v>
      </c>
      <c r="I76" s="5">
        <v>2E-3</v>
      </c>
      <c r="J76" s="5">
        <v>3.5999999999999999E-3</v>
      </c>
      <c r="K76" s="2">
        <v>1632689386.2</v>
      </c>
      <c r="L76" s="3">
        <f t="shared" si="14"/>
        <v>5.6685250827527029E-3</v>
      </c>
      <c r="M76" s="14">
        <v>99.07</v>
      </c>
      <c r="N76" s="14">
        <v>99.07</v>
      </c>
      <c r="O76" s="60">
        <v>124</v>
      </c>
      <c r="P76" s="5">
        <v>1.9E-3</v>
      </c>
      <c r="Q76" s="5">
        <v>5.7000000000000002E-3</v>
      </c>
      <c r="R76" s="80">
        <f t="shared" si="15"/>
        <v>7.4236355908342821E-4</v>
      </c>
      <c r="S76" s="80">
        <f t="shared" si="16"/>
        <v>2.0228582987760558E-3</v>
      </c>
      <c r="T76" s="80">
        <f t="shared" si="17"/>
        <v>1.6393442622950821E-2</v>
      </c>
      <c r="U76" s="81">
        <f t="shared" si="18"/>
        <v>-1.0000000000000005E-4</v>
      </c>
      <c r="V76" s="83">
        <f t="shared" si="19"/>
        <v>2.1000000000000003E-3</v>
      </c>
    </row>
    <row r="77" spans="1:22">
      <c r="A77" s="75">
        <v>66</v>
      </c>
      <c r="B77" s="114" t="s">
        <v>117</v>
      </c>
      <c r="C77" s="115" t="s">
        <v>17</v>
      </c>
      <c r="D77" s="2">
        <v>1220176082.7</v>
      </c>
      <c r="E77" s="3">
        <f t="shared" si="20"/>
        <v>4.2244626559719677E-3</v>
      </c>
      <c r="F77" s="14">
        <v>341.83229999999998</v>
      </c>
      <c r="G77" s="14">
        <v>341.83229999999998</v>
      </c>
      <c r="H77" s="60">
        <v>103</v>
      </c>
      <c r="I77" s="5">
        <v>2.0999999999999999E-3</v>
      </c>
      <c r="J77" s="5">
        <v>3.5999999999999999E-3</v>
      </c>
      <c r="K77" s="2">
        <v>1220701393.3699999</v>
      </c>
      <c r="L77" s="3">
        <f t="shared" si="14"/>
        <v>4.2381462912391274E-3</v>
      </c>
      <c r="M77" s="14">
        <v>328.56299999999999</v>
      </c>
      <c r="N77" s="14">
        <v>328.56299999999999</v>
      </c>
      <c r="O77" s="60">
        <v>103</v>
      </c>
      <c r="P77" s="5">
        <v>2.0999999999999999E-3</v>
      </c>
      <c r="Q77" s="5">
        <v>5.7999999999999996E-3</v>
      </c>
      <c r="R77" s="80">
        <f t="shared" si="15"/>
        <v>4.3052037935166932E-4</v>
      </c>
      <c r="S77" s="80">
        <f t="shared" si="16"/>
        <v>-3.8818157324512596E-2</v>
      </c>
      <c r="T77" s="80">
        <f t="shared" si="17"/>
        <v>0</v>
      </c>
      <c r="U77" s="81">
        <f t="shared" si="18"/>
        <v>0</v>
      </c>
      <c r="V77" s="83">
        <f t="shared" si="19"/>
        <v>2.1999999999999997E-3</v>
      </c>
    </row>
    <row r="78" spans="1:22">
      <c r="A78" s="75">
        <v>67</v>
      </c>
      <c r="B78" s="114" t="s">
        <v>252</v>
      </c>
      <c r="C78" s="115" t="s">
        <v>78</v>
      </c>
      <c r="D78" s="9">
        <v>1284648763.99</v>
      </c>
      <c r="E78" s="3">
        <f>(D78/$K$55)</f>
        <v>1.3813273564870997E-3</v>
      </c>
      <c r="F78" s="8">
        <v>100.63</v>
      </c>
      <c r="G78" s="8">
        <v>100.63</v>
      </c>
      <c r="H78" s="60">
        <v>232</v>
      </c>
      <c r="I78" s="5">
        <v>2.5000000000000001E-3</v>
      </c>
      <c r="J78" s="5">
        <v>3.8999999999999998E-3</v>
      </c>
      <c r="K78" s="9">
        <v>1325815535.5599999</v>
      </c>
      <c r="L78" s="3">
        <f>(K78/$K$55)</f>
        <v>1.4255922087501257E-3</v>
      </c>
      <c r="M78" s="8">
        <v>100.88</v>
      </c>
      <c r="N78" s="8">
        <v>100.88</v>
      </c>
      <c r="O78" s="60">
        <v>243</v>
      </c>
      <c r="P78" s="5">
        <v>2.5000000000000001E-3</v>
      </c>
      <c r="Q78" s="5">
        <v>6.4000000000000003E-3</v>
      </c>
      <c r="R78" s="80">
        <f t="shared" si="15"/>
        <v>3.2045157185330374E-2</v>
      </c>
      <c r="S78" s="80">
        <f t="shared" si="16"/>
        <v>2.4843486037960847E-3</v>
      </c>
      <c r="T78" s="80">
        <f t="shared" si="17"/>
        <v>4.7413793103448273E-2</v>
      </c>
      <c r="U78" s="81">
        <f t="shared" si="18"/>
        <v>0</v>
      </c>
      <c r="V78" s="83">
        <f t="shared" si="19"/>
        <v>2.5000000000000005E-3</v>
      </c>
    </row>
    <row r="79" spans="1:22">
      <c r="A79" s="75">
        <v>68</v>
      </c>
      <c r="B79" s="114" t="s">
        <v>118</v>
      </c>
      <c r="C79" s="115" t="s">
        <v>38</v>
      </c>
      <c r="D79" s="2">
        <v>55230682.530000001</v>
      </c>
      <c r="E79" s="3">
        <f t="shared" ref="E79:E89" si="21">(D79/$D$90)</f>
        <v>1.9121826687140027E-4</v>
      </c>
      <c r="F79" s="14">
        <v>12.027996</v>
      </c>
      <c r="G79" s="2">
        <v>12.278480999999999</v>
      </c>
      <c r="H79" s="60">
        <v>55</v>
      </c>
      <c r="I79" s="5">
        <v>8.0000000000000004E-4</v>
      </c>
      <c r="J79" s="5">
        <v>3.8999999999999998E-3</v>
      </c>
      <c r="K79" s="2">
        <v>55926069.329999998</v>
      </c>
      <c r="L79" s="3">
        <f t="shared" ref="L79:L89" si="22">(K79/$K$90)</f>
        <v>1.941694050665175E-4</v>
      </c>
      <c r="M79" s="14">
        <v>12.201504</v>
      </c>
      <c r="N79" s="2">
        <v>12.448191</v>
      </c>
      <c r="O79" s="60">
        <v>55</v>
      </c>
      <c r="P79" s="5">
        <v>4.7899999999999998E-2</v>
      </c>
      <c r="Q79" s="5">
        <v>2.1499999999999998E-2</v>
      </c>
      <c r="R79" s="80">
        <f t="shared" si="15"/>
        <v>1.2590588566822061E-2</v>
      </c>
      <c r="S79" s="80">
        <f t="shared" si="16"/>
        <v>1.3821742282290477E-2</v>
      </c>
      <c r="T79" s="80">
        <f t="shared" si="17"/>
        <v>0</v>
      </c>
      <c r="U79" s="81">
        <f t="shared" si="18"/>
        <v>4.7099999999999996E-2</v>
      </c>
      <c r="V79" s="83">
        <f t="shared" si="19"/>
        <v>1.7599999999999998E-2</v>
      </c>
    </row>
    <row r="80" spans="1:22">
      <c r="A80" s="75">
        <v>69</v>
      </c>
      <c r="B80" s="114" t="s">
        <v>236</v>
      </c>
      <c r="C80" s="115" t="s">
        <v>237</v>
      </c>
      <c r="D80" s="2">
        <v>270377043.54000002</v>
      </c>
      <c r="E80" s="3">
        <f t="shared" si="21"/>
        <v>9.3609253587350044E-4</v>
      </c>
      <c r="F80" s="2">
        <v>114.13</v>
      </c>
      <c r="G80" s="2">
        <v>114.13</v>
      </c>
      <c r="H80" s="60">
        <v>74</v>
      </c>
      <c r="I80" s="5">
        <v>2.3714</v>
      </c>
      <c r="J80" s="5">
        <v>0.86019999999999996</v>
      </c>
      <c r="K80" s="2">
        <v>204506024.87</v>
      </c>
      <c r="L80" s="3">
        <f t="shared" si="22"/>
        <v>7.1002331573167849E-4</v>
      </c>
      <c r="M80" s="2">
        <v>114.54</v>
      </c>
      <c r="N80" s="2">
        <v>114.54</v>
      </c>
      <c r="O80" s="60">
        <v>74</v>
      </c>
      <c r="P80" s="5">
        <v>0.26150000000000001</v>
      </c>
      <c r="Q80" s="5">
        <v>0.5867</v>
      </c>
      <c r="R80" s="80">
        <f>((K80-D80)/D80)</f>
        <v>-0.24362652171782828</v>
      </c>
      <c r="S80" s="80">
        <f>((N80-G80)/G80)</f>
        <v>3.5923946376939528E-3</v>
      </c>
      <c r="T80" s="80">
        <f>((O80-H80)/H80)</f>
        <v>0</v>
      </c>
      <c r="U80" s="81">
        <f t="shared" si="18"/>
        <v>-2.1099000000000001</v>
      </c>
      <c r="V80" s="83">
        <f t="shared" si="19"/>
        <v>-0.27349999999999997</v>
      </c>
    </row>
    <row r="81" spans="1:28">
      <c r="A81" s="75">
        <v>70</v>
      </c>
      <c r="B81" s="114" t="s">
        <v>119</v>
      </c>
      <c r="C81" s="115" t="s">
        <v>120</v>
      </c>
      <c r="D81" s="2">
        <v>6918655465.6400003</v>
      </c>
      <c r="E81" s="3">
        <f t="shared" si="21"/>
        <v>2.3953593303892521E-2</v>
      </c>
      <c r="F81" s="14">
        <v>1</v>
      </c>
      <c r="G81" s="14">
        <v>1</v>
      </c>
      <c r="H81" s="60">
        <v>3775</v>
      </c>
      <c r="I81" s="5">
        <v>0</v>
      </c>
      <c r="J81" s="5">
        <v>0.1103</v>
      </c>
      <c r="K81" s="2">
        <v>6808249497.8500004</v>
      </c>
      <c r="L81" s="3">
        <f t="shared" si="22"/>
        <v>2.3637523079649465E-2</v>
      </c>
      <c r="M81" s="14">
        <v>1.01</v>
      </c>
      <c r="N81" s="14">
        <v>1.01</v>
      </c>
      <c r="O81" s="60">
        <v>3797</v>
      </c>
      <c r="P81" s="5">
        <v>0</v>
      </c>
      <c r="Q81" s="5">
        <v>0.1104</v>
      </c>
      <c r="R81" s="80">
        <f t="shared" si="15"/>
        <v>-1.595772015795659E-2</v>
      </c>
      <c r="S81" s="80">
        <f t="shared" si="16"/>
        <v>1.0000000000000009E-2</v>
      </c>
      <c r="T81" s="80">
        <f t="shared" si="17"/>
        <v>5.8278145695364238E-3</v>
      </c>
      <c r="U81" s="81">
        <f t="shared" si="18"/>
        <v>0</v>
      </c>
      <c r="V81" s="83">
        <f t="shared" si="19"/>
        <v>1.0000000000000286E-4</v>
      </c>
    </row>
    <row r="82" spans="1:28" ht="14.25" customHeight="1">
      <c r="A82" s="75">
        <v>71</v>
      </c>
      <c r="B82" s="114" t="s">
        <v>121</v>
      </c>
      <c r="C82" s="115" t="s">
        <v>42</v>
      </c>
      <c r="D82" s="2">
        <v>22048728968.580002</v>
      </c>
      <c r="E82" s="3">
        <f t="shared" si="21"/>
        <v>7.6336549666917636E-2</v>
      </c>
      <c r="F82" s="2">
        <v>5025.8100000000004</v>
      </c>
      <c r="G82" s="2">
        <v>5025.8100000000004</v>
      </c>
      <c r="H82" s="60">
        <v>1136</v>
      </c>
      <c r="I82" s="5">
        <v>1.4E-3</v>
      </c>
      <c r="J82" s="5">
        <v>2.8E-3</v>
      </c>
      <c r="K82" s="2">
        <v>22415707378.330002</v>
      </c>
      <c r="L82" s="3">
        <f t="shared" si="22"/>
        <v>7.7824968175632794E-2</v>
      </c>
      <c r="M82" s="2">
        <v>5035.3500000000004</v>
      </c>
      <c r="N82" s="2">
        <v>5035.3500000000004</v>
      </c>
      <c r="O82" s="60">
        <v>1136</v>
      </c>
      <c r="P82" s="5">
        <v>1.9E-3</v>
      </c>
      <c r="Q82" s="5">
        <v>4.7000000000000002E-3</v>
      </c>
      <c r="R82" s="80">
        <f t="shared" si="15"/>
        <v>1.6643971190945E-2</v>
      </c>
      <c r="S82" s="80">
        <f t="shared" si="16"/>
        <v>1.8982014839398949E-3</v>
      </c>
      <c r="T82" s="80">
        <f t="shared" si="17"/>
        <v>0</v>
      </c>
      <c r="U82" s="81">
        <f t="shared" si="18"/>
        <v>5.0000000000000001E-4</v>
      </c>
      <c r="V82" s="83">
        <f t="shared" si="19"/>
        <v>1.9000000000000002E-3</v>
      </c>
    </row>
    <row r="83" spans="1:28">
      <c r="A83" s="75">
        <v>72</v>
      </c>
      <c r="B83" s="114" t="s">
        <v>122</v>
      </c>
      <c r="C83" s="115" t="s">
        <v>42</v>
      </c>
      <c r="D83" s="2">
        <v>35966675762.459999</v>
      </c>
      <c r="E83" s="3">
        <f t="shared" si="21"/>
        <v>0.1245229117110315</v>
      </c>
      <c r="F83" s="14">
        <v>256.10000000000002</v>
      </c>
      <c r="G83" s="14">
        <v>256.10000000000002</v>
      </c>
      <c r="H83" s="60">
        <v>11786</v>
      </c>
      <c r="I83" s="5">
        <v>6.9999999999999999E-4</v>
      </c>
      <c r="J83" s="5">
        <v>1.1000000000000001E-3</v>
      </c>
      <c r="K83" s="2">
        <v>35844537311.540001</v>
      </c>
      <c r="L83" s="3">
        <f t="shared" si="22"/>
        <v>0.12444844717404191</v>
      </c>
      <c r="M83" s="14">
        <v>256.33999999999997</v>
      </c>
      <c r="N83" s="14">
        <v>256.33999999999997</v>
      </c>
      <c r="O83" s="60">
        <v>11788</v>
      </c>
      <c r="P83" s="5">
        <v>8.9999999999999998E-4</v>
      </c>
      <c r="Q83" s="5">
        <v>2.0999999999999999E-3</v>
      </c>
      <c r="R83" s="80">
        <f t="shared" si="15"/>
        <v>-3.395878221458527E-3</v>
      </c>
      <c r="S83" s="80">
        <f t="shared" si="16"/>
        <v>9.3713393205760345E-4</v>
      </c>
      <c r="T83" s="80">
        <f t="shared" si="17"/>
        <v>1.6969285593076533E-4</v>
      </c>
      <c r="U83" s="81">
        <f t="shared" si="18"/>
        <v>1.9999999999999998E-4</v>
      </c>
      <c r="V83" s="83">
        <f t="shared" si="19"/>
        <v>9.999999999999998E-4</v>
      </c>
    </row>
    <row r="84" spans="1:28" ht="12.75" customHeight="1">
      <c r="A84" s="75">
        <v>73</v>
      </c>
      <c r="B84" s="114" t="s">
        <v>123</v>
      </c>
      <c r="C84" s="115" t="s">
        <v>42</v>
      </c>
      <c r="D84" s="2">
        <v>317848356.26999998</v>
      </c>
      <c r="E84" s="3">
        <f t="shared" si="21"/>
        <v>1.1004465096164505E-3</v>
      </c>
      <c r="F84" s="2">
        <v>5620.97</v>
      </c>
      <c r="G84" s="7">
        <v>5649.57</v>
      </c>
      <c r="H84" s="60">
        <v>1132</v>
      </c>
      <c r="I84" s="5">
        <v>2.2200000000000001E-2</v>
      </c>
      <c r="J84" s="5">
        <v>6.4100000000000004E-2</v>
      </c>
      <c r="K84" s="2">
        <v>326706518.73000002</v>
      </c>
      <c r="L84" s="3">
        <f t="shared" si="22"/>
        <v>1.1342905219896876E-3</v>
      </c>
      <c r="M84" s="2">
        <v>5776.58</v>
      </c>
      <c r="N84" s="7">
        <v>5807.74</v>
      </c>
      <c r="O84" s="60">
        <v>1132</v>
      </c>
      <c r="P84" s="5">
        <v>2.8000000000000001E-2</v>
      </c>
      <c r="Q84" s="5">
        <v>9.3899999999999997E-2</v>
      </c>
      <c r="R84" s="80">
        <f t="shared" si="15"/>
        <v>2.7869146670921805E-2</v>
      </c>
      <c r="S84" s="80">
        <f t="shared" si="16"/>
        <v>2.7996820996996245E-2</v>
      </c>
      <c r="T84" s="80">
        <f t="shared" si="17"/>
        <v>0</v>
      </c>
      <c r="U84" s="81">
        <f t="shared" si="18"/>
        <v>5.7999999999999996E-3</v>
      </c>
      <c r="V84" s="83">
        <f t="shared" si="19"/>
        <v>2.9799999999999993E-2</v>
      </c>
    </row>
    <row r="85" spans="1:28" ht="12.75" customHeight="1">
      <c r="A85" s="75">
        <v>74</v>
      </c>
      <c r="B85" s="114" t="s">
        <v>124</v>
      </c>
      <c r="C85" s="115" t="s">
        <v>42</v>
      </c>
      <c r="D85" s="2">
        <v>18053581083.310001</v>
      </c>
      <c r="E85" s="3">
        <f t="shared" si="21"/>
        <v>6.2504650086438754E-2</v>
      </c>
      <c r="F85" s="14">
        <v>126.31</v>
      </c>
      <c r="G85" s="14">
        <v>126.31</v>
      </c>
      <c r="H85" s="60">
        <v>5768</v>
      </c>
      <c r="I85" s="5">
        <v>1.8E-3</v>
      </c>
      <c r="J85" s="5">
        <v>3.0999999999999999E-3</v>
      </c>
      <c r="K85" s="2">
        <v>17977507853.889999</v>
      </c>
      <c r="L85" s="3">
        <f t="shared" si="22"/>
        <v>6.2416008247802725E-2</v>
      </c>
      <c r="M85" s="14">
        <v>126.56</v>
      </c>
      <c r="N85" s="14">
        <v>126.56</v>
      </c>
      <c r="O85" s="60">
        <v>5780</v>
      </c>
      <c r="P85" s="5">
        <v>2E-3</v>
      </c>
      <c r="Q85" s="5">
        <v>5.1000000000000004E-3</v>
      </c>
      <c r="R85" s="80">
        <f t="shared" si="15"/>
        <v>-4.2137473484598256E-3</v>
      </c>
      <c r="S85" s="80">
        <f t="shared" si="16"/>
        <v>1.9792573826300374E-3</v>
      </c>
      <c r="T85" s="80">
        <f t="shared" si="17"/>
        <v>2.0804438280166435E-3</v>
      </c>
      <c r="U85" s="81">
        <f t="shared" si="18"/>
        <v>2.0000000000000009E-4</v>
      </c>
      <c r="V85" s="83">
        <f t="shared" si="19"/>
        <v>2.0000000000000005E-3</v>
      </c>
    </row>
    <row r="86" spans="1:28" ht="12.75" customHeight="1">
      <c r="A86" s="75">
        <v>75</v>
      </c>
      <c r="B86" s="114" t="s">
        <v>125</v>
      </c>
      <c r="C86" s="115" t="s">
        <v>42</v>
      </c>
      <c r="D86" s="2">
        <v>14000173294.209999</v>
      </c>
      <c r="E86" s="3">
        <f t="shared" si="21"/>
        <v>4.8471044546008778E-2</v>
      </c>
      <c r="F86" s="14">
        <v>355.58</v>
      </c>
      <c r="G86" s="14">
        <v>355.79</v>
      </c>
      <c r="H86" s="60">
        <v>17582</v>
      </c>
      <c r="I86" s="5">
        <v>1.4E-3</v>
      </c>
      <c r="J86" s="5">
        <v>6.8999999999999999E-3</v>
      </c>
      <c r="K86" s="2">
        <v>14068618212.530001</v>
      </c>
      <c r="L86" s="3">
        <f t="shared" si="22"/>
        <v>4.8844756321352628E-2</v>
      </c>
      <c r="M86" s="14">
        <v>355.98</v>
      </c>
      <c r="N86" s="14">
        <v>356.25</v>
      </c>
      <c r="O86" s="60">
        <v>17592</v>
      </c>
      <c r="P86" s="5">
        <v>1.2999999999999999E-3</v>
      </c>
      <c r="Q86" s="5">
        <v>8.2000000000000007E-3</v>
      </c>
      <c r="R86" s="80">
        <f t="shared" si="15"/>
        <v>4.8888622220346458E-3</v>
      </c>
      <c r="S86" s="80">
        <f t="shared" si="16"/>
        <v>1.2928974957137061E-3</v>
      </c>
      <c r="T86" s="80">
        <f t="shared" si="17"/>
        <v>5.6876350813331821E-4</v>
      </c>
      <c r="U86" s="81">
        <f t="shared" si="18"/>
        <v>-1.0000000000000005E-4</v>
      </c>
      <c r="V86" s="83">
        <f t="shared" si="19"/>
        <v>1.3000000000000008E-3</v>
      </c>
    </row>
    <row r="87" spans="1:28">
      <c r="A87" s="75">
        <v>76</v>
      </c>
      <c r="B87" s="114" t="s">
        <v>126</v>
      </c>
      <c r="C87" s="115" t="s">
        <v>45</v>
      </c>
      <c r="D87" s="2">
        <v>96337272307.039993</v>
      </c>
      <c r="E87" s="3">
        <f t="shared" si="21"/>
        <v>0.33353645839274643</v>
      </c>
      <c r="F87" s="2">
        <v>1.9554</v>
      </c>
      <c r="G87" s="2">
        <v>1.9554</v>
      </c>
      <c r="H87" s="60">
        <v>6116</v>
      </c>
      <c r="I87" s="5">
        <v>7.7600000000000002E-2</v>
      </c>
      <c r="J87" s="5">
        <v>7.7600000000000002E-2</v>
      </c>
      <c r="K87" s="2">
        <v>96360458491.679993</v>
      </c>
      <c r="L87" s="3">
        <f t="shared" si="22"/>
        <v>0.33455333302370593</v>
      </c>
      <c r="M87" s="2">
        <v>1.9579</v>
      </c>
      <c r="N87" s="2">
        <v>1.9579</v>
      </c>
      <c r="O87" s="60">
        <v>6116</v>
      </c>
      <c r="P87" s="5">
        <v>6.8900000000000003E-2</v>
      </c>
      <c r="Q87" s="5">
        <v>7.4700000000000003E-2</v>
      </c>
      <c r="R87" s="80">
        <f t="shared" si="15"/>
        <v>2.4067719673546355E-4</v>
      </c>
      <c r="S87" s="80">
        <f t="shared" si="16"/>
        <v>1.2785107906310457E-3</v>
      </c>
      <c r="T87" s="80">
        <f t="shared" si="17"/>
        <v>0</v>
      </c>
      <c r="U87" s="81">
        <f t="shared" si="18"/>
        <v>-8.6999999999999994E-3</v>
      </c>
      <c r="V87" s="83">
        <f t="shared" si="19"/>
        <v>-2.8999999999999998E-3</v>
      </c>
    </row>
    <row r="88" spans="1:28">
      <c r="A88" s="75">
        <v>77</v>
      </c>
      <c r="B88" s="114" t="s">
        <v>241</v>
      </c>
      <c r="C88" s="114" t="s">
        <v>242</v>
      </c>
      <c r="D88" s="2">
        <v>82104426.579999998</v>
      </c>
      <c r="E88" s="3">
        <f t="shared" si="21"/>
        <v>2.8425986125682831E-4</v>
      </c>
      <c r="F88" s="2">
        <v>101.83973242674645</v>
      </c>
      <c r="G88" s="2">
        <v>101.83973242674645</v>
      </c>
      <c r="H88" s="60">
        <v>56</v>
      </c>
      <c r="I88" s="5">
        <v>1.5393367953561166E-3</v>
      </c>
      <c r="J88" s="5">
        <v>2.3999999999999998E-3</v>
      </c>
      <c r="K88" s="2">
        <v>82104426.579999998</v>
      </c>
      <c r="L88" s="3">
        <f t="shared" si="22"/>
        <v>2.8505789613600521E-4</v>
      </c>
      <c r="M88" s="2">
        <v>101.94888606348424</v>
      </c>
      <c r="N88" s="2">
        <v>101.94888606348424</v>
      </c>
      <c r="O88" s="60">
        <v>58</v>
      </c>
      <c r="P88" s="5">
        <v>1.0718177879768238E-3</v>
      </c>
      <c r="Q88" s="5">
        <v>3.4437943629783696E-3</v>
      </c>
      <c r="R88" s="80">
        <f>((K88-D88)/D88)</f>
        <v>0</v>
      </c>
      <c r="S88" s="80">
        <f>((N88-G88)/G88)</f>
        <v>1.0718177879768238E-3</v>
      </c>
      <c r="T88" s="80">
        <f>((O88-H88)/H88)</f>
        <v>3.5714285714285712E-2</v>
      </c>
      <c r="U88" s="81">
        <f>P88-I88</f>
        <v>-4.6751900737929271E-4</v>
      </c>
      <c r="V88" s="83">
        <f>Q88-J88</f>
        <v>1.0437943629783698E-3</v>
      </c>
    </row>
    <row r="89" spans="1:28">
      <c r="A89" s="75">
        <v>78</v>
      </c>
      <c r="B89" s="114" t="s">
        <v>127</v>
      </c>
      <c r="C89" s="115" t="s">
        <v>91</v>
      </c>
      <c r="D89" s="2">
        <v>2623904624.79</v>
      </c>
      <c r="E89" s="3">
        <f t="shared" si="21"/>
        <v>9.0844159768560372E-3</v>
      </c>
      <c r="F89" s="14">
        <v>25.390699999999999</v>
      </c>
      <c r="G89" s="14">
        <v>25.390699999999999</v>
      </c>
      <c r="H89" s="60">
        <v>1321</v>
      </c>
      <c r="I89" s="5">
        <v>0</v>
      </c>
      <c r="J89" s="5">
        <v>0.1085</v>
      </c>
      <c r="K89" s="2">
        <v>2790913461.7199998</v>
      </c>
      <c r="L89" s="3">
        <f t="shared" si="22"/>
        <v>9.6897567260929331E-3</v>
      </c>
      <c r="M89" s="14">
        <v>25.433199999999999</v>
      </c>
      <c r="N89" s="14">
        <v>25.433199999999999</v>
      </c>
      <c r="O89" s="60">
        <v>1322</v>
      </c>
      <c r="P89" s="5">
        <v>0</v>
      </c>
      <c r="Q89" s="5">
        <v>9.6000000000000002E-2</v>
      </c>
      <c r="R89" s="80">
        <f t="shared" si="15"/>
        <v>6.3648973881192852E-2</v>
      </c>
      <c r="S89" s="80">
        <f t="shared" si="16"/>
        <v>1.6738412095767517E-3</v>
      </c>
      <c r="T89" s="80">
        <f t="shared" si="17"/>
        <v>7.5700227100681302E-4</v>
      </c>
      <c r="U89" s="81">
        <f t="shared" si="18"/>
        <v>0</v>
      </c>
      <c r="V89" s="83">
        <f t="shared" si="19"/>
        <v>-1.2499999999999997E-2</v>
      </c>
    </row>
    <row r="90" spans="1:28">
      <c r="A90" s="75"/>
      <c r="B90" s="19"/>
      <c r="C90" s="71" t="s">
        <v>46</v>
      </c>
      <c r="D90" s="59">
        <f>SUM(D58:D89)</f>
        <v>288835807549.41266</v>
      </c>
      <c r="E90" s="99">
        <f>(D90/$D$181)</f>
        <v>0.13021151632346617</v>
      </c>
      <c r="F90" s="30"/>
      <c r="G90" s="11"/>
      <c r="H90" s="65">
        <f>SUM(H58:H89)</f>
        <v>64640</v>
      </c>
      <c r="I90" s="12"/>
      <c r="J90" s="12"/>
      <c r="K90" s="59">
        <f>SUM(K58:K89)</f>
        <v>288027196204.47491</v>
      </c>
      <c r="L90" s="99">
        <f>(K90/$K$181)</f>
        <v>0.13000718298414263</v>
      </c>
      <c r="M90" s="30"/>
      <c r="N90" s="11"/>
      <c r="O90" s="65">
        <f>SUM(O58:O89)</f>
        <v>64708</v>
      </c>
      <c r="P90" s="12"/>
      <c r="Q90" s="12"/>
      <c r="R90" s="80">
        <f t="shared" si="15"/>
        <v>-2.7995536696031388E-3</v>
      </c>
      <c r="S90" s="80" t="e">
        <f t="shared" si="16"/>
        <v>#DIV/0!</v>
      </c>
      <c r="T90" s="80">
        <f t="shared" si="17"/>
        <v>1.051980198019802E-3</v>
      </c>
      <c r="U90" s="81">
        <f t="shared" si="18"/>
        <v>0</v>
      </c>
      <c r="V90" s="83">
        <f t="shared" si="19"/>
        <v>0</v>
      </c>
    </row>
    <row r="91" spans="1:28" ht="8.25" customHeight="1">
      <c r="A91" s="142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</row>
    <row r="92" spans="1:28" ht="15" customHeight="1">
      <c r="A92" s="149" t="s">
        <v>128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</row>
    <row r="93" spans="1:28">
      <c r="A93" s="153" t="s">
        <v>230</v>
      </c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Z93" s="132"/>
      <c r="AB93" s="102"/>
    </row>
    <row r="94" spans="1:28" ht="16.5" customHeight="1">
      <c r="A94" s="75">
        <v>79</v>
      </c>
      <c r="B94" s="114" t="s">
        <v>129</v>
      </c>
      <c r="C94" s="115" t="s">
        <v>17</v>
      </c>
      <c r="D94" s="2">
        <v>1535915163.55</v>
      </c>
      <c r="E94" s="3">
        <f>(D94/$D$118)</f>
        <v>1.9428485655300198E-3</v>
      </c>
      <c r="F94" s="2">
        <v>95581.063853380285</v>
      </c>
      <c r="G94" s="2">
        <v>95581.063853380285</v>
      </c>
      <c r="H94" s="60">
        <v>229</v>
      </c>
      <c r="I94" s="5">
        <v>1.1000000000000001E-3</v>
      </c>
      <c r="J94" s="5">
        <v>1.9E-3</v>
      </c>
      <c r="K94" s="2">
        <v>1585554282.49</v>
      </c>
      <c r="L94" s="3">
        <f t="shared" ref="L94:L105" si="23">(K94/$K$118)</f>
        <v>2.070663025967721E-3</v>
      </c>
      <c r="M94" s="2">
        <f>108.1493*890.5127</f>
        <v>96308.325146110001</v>
      </c>
      <c r="N94" s="2">
        <f>108.1493*890.5127</f>
        <v>96308.325146110001</v>
      </c>
      <c r="O94" s="60">
        <v>229</v>
      </c>
      <c r="P94" s="5">
        <v>1.9E-3</v>
      </c>
      <c r="Q94" s="5">
        <v>3.8E-3</v>
      </c>
      <c r="R94" s="81">
        <f>((K94-D94)/D94)</f>
        <v>3.2318919767201137E-2</v>
      </c>
      <c r="S94" s="81">
        <f>((N94-G94)/G94)</f>
        <v>7.6088428336110831E-3</v>
      </c>
      <c r="T94" s="81">
        <f>((O94-H94)/H94)</f>
        <v>0</v>
      </c>
      <c r="U94" s="81">
        <f>P94-I94</f>
        <v>7.9999999999999993E-4</v>
      </c>
      <c r="V94" s="83">
        <f>Q94-J94</f>
        <v>1.9E-3</v>
      </c>
      <c r="Z94" s="132"/>
      <c r="AA94" s="103"/>
    </row>
    <row r="95" spans="1:28">
      <c r="A95" s="75">
        <v>80</v>
      </c>
      <c r="B95" s="114" t="s">
        <v>130</v>
      </c>
      <c r="C95" s="115" t="s">
        <v>21</v>
      </c>
      <c r="D95" s="2">
        <f>10109876.88*865.9922</f>
        <v>8755074521.0403366</v>
      </c>
      <c r="E95" s="3">
        <f>(D95/$D$118)</f>
        <v>1.1074689786248672E-2</v>
      </c>
      <c r="F95" s="2">
        <f>1.1098*865.9922</f>
        <v>961.07814355999994</v>
      </c>
      <c r="G95" s="2">
        <f>1.1098*865.9922</f>
        <v>961.07814355999994</v>
      </c>
      <c r="H95" s="60">
        <v>292</v>
      </c>
      <c r="I95" s="5">
        <v>3.3000000000000002E-2</v>
      </c>
      <c r="J95" s="5">
        <v>-1.7144999999999999</v>
      </c>
      <c r="K95" s="2">
        <f>10853970.24*890.5127</f>
        <v>9665598344.1420479</v>
      </c>
      <c r="L95" s="3">
        <f t="shared" si="23"/>
        <v>1.2622839429779025E-2</v>
      </c>
      <c r="M95" s="2">
        <f>1.1103*890.5127</f>
        <v>988.73625081</v>
      </c>
      <c r="N95" s="2">
        <f>1.1103*890.5127</f>
        <v>988.73625081</v>
      </c>
      <c r="O95" s="60">
        <v>296</v>
      </c>
      <c r="P95" s="5">
        <v>2.3599999999999999E-2</v>
      </c>
      <c r="Q95" s="5">
        <v>-1.0746</v>
      </c>
      <c r="R95" s="81">
        <f t="shared" ref="R95:R105" si="24">((K95-D95)/D95)</f>
        <v>0.10399955145025044</v>
      </c>
      <c r="S95" s="81">
        <f t="shared" ref="S95:S105" si="25">((N95-G95)/G95)</f>
        <v>2.8778208551855769E-2</v>
      </c>
      <c r="T95" s="81">
        <f t="shared" ref="T95:T105" si="26">((O95-H95)/H95)</f>
        <v>1.3698630136986301E-2</v>
      </c>
      <c r="U95" s="81">
        <f t="shared" ref="U95:U105" si="27">P95-I95</f>
        <v>-9.4000000000000021E-3</v>
      </c>
      <c r="V95" s="83">
        <f t="shared" ref="V95:V105" si="28">Q95-J95</f>
        <v>0.63989999999999991</v>
      </c>
    </row>
    <row r="96" spans="1:28">
      <c r="A96" s="75">
        <v>81</v>
      </c>
      <c r="B96" s="114" t="s">
        <v>243</v>
      </c>
      <c r="C96" s="115" t="s">
        <v>25</v>
      </c>
      <c r="D96" s="2">
        <f>422950.68*865.9922</f>
        <v>366271989.86469603</v>
      </c>
      <c r="E96" s="3">
        <v>0</v>
      </c>
      <c r="F96" s="2">
        <f>1.1024*865.9922</f>
        <v>954.66980128000012</v>
      </c>
      <c r="G96" s="2">
        <f>1.1024*865.9922</f>
        <v>954.66980128000012</v>
      </c>
      <c r="H96" s="60">
        <v>23</v>
      </c>
      <c r="I96" s="5">
        <v>2.72E-4</v>
      </c>
      <c r="J96" s="5">
        <v>2.5999999999999999E-3</v>
      </c>
      <c r="K96" s="2">
        <f>423473.74*891.0127</f>
        <v>377320480.45649797</v>
      </c>
      <c r="L96" s="3">
        <f t="shared" si="23"/>
        <v>4.9276368299082439E-4</v>
      </c>
      <c r="M96" s="2">
        <f>1.1037*891.0127</f>
        <v>983.41071698999986</v>
      </c>
      <c r="N96" s="2">
        <f>1.1037*891.0127</f>
        <v>983.41071698999986</v>
      </c>
      <c r="O96" s="60">
        <v>23</v>
      </c>
      <c r="P96" s="5">
        <v>1.8100000000000001E-4</v>
      </c>
      <c r="Q96" s="5">
        <v>0.10780000000000001</v>
      </c>
      <c r="R96" s="81">
        <f>((K96-D96)/D96)</f>
        <v>3.0164716105873526E-2</v>
      </c>
      <c r="S96" s="81">
        <f>((N96-G96)/G96)</f>
        <v>3.0105608946113679E-2</v>
      </c>
      <c r="T96" s="81">
        <f>((O96-H96)/H96)</f>
        <v>0</v>
      </c>
      <c r="U96" s="81">
        <f>P96-I96</f>
        <v>-9.0999999999999989E-5</v>
      </c>
      <c r="V96" s="83">
        <f t="shared" si="28"/>
        <v>0.1052</v>
      </c>
    </row>
    <row r="97" spans="1:24">
      <c r="A97" s="75">
        <v>82</v>
      </c>
      <c r="B97" s="114" t="s">
        <v>139</v>
      </c>
      <c r="C97" s="115" t="s">
        <v>64</v>
      </c>
      <c r="D97" s="2">
        <f>386316.54*865.9922</f>
        <v>334547110.37098801</v>
      </c>
      <c r="E97" s="3">
        <f t="shared" ref="E97:E105" si="29">(D97/$D$118)</f>
        <v>4.2318377271839994E-4</v>
      </c>
      <c r="F97" s="2">
        <f>103.98*865.9922</f>
        <v>90045.868956000006</v>
      </c>
      <c r="G97" s="2">
        <f>104.93*865.9922</f>
        <v>90868.561546000012</v>
      </c>
      <c r="H97" s="60">
        <v>40</v>
      </c>
      <c r="I97" s="5">
        <v>1.2999999999999999E-3</v>
      </c>
      <c r="J97" s="5">
        <v>1.43E-2</v>
      </c>
      <c r="K97" s="2">
        <f>370417.22*891.0127</f>
        <v>330046447.318694</v>
      </c>
      <c r="L97" s="3">
        <f t="shared" si="23"/>
        <v>4.3102590864411674E-4</v>
      </c>
      <c r="M97" s="2">
        <f>103.68*891.0127</f>
        <v>92380.196736000013</v>
      </c>
      <c r="N97" s="2">
        <f>104.52*891.0127</f>
        <v>93128.647404000003</v>
      </c>
      <c r="O97" s="60">
        <v>38</v>
      </c>
      <c r="P97" s="5">
        <v>1.4E-3</v>
      </c>
      <c r="Q97" s="5">
        <v>1.09E-2</v>
      </c>
      <c r="R97" s="81">
        <f>((K97-D97)/D97)</f>
        <v>-1.345300232096793E-2</v>
      </c>
      <c r="S97" s="81">
        <f>((N97-G97)/G97)</f>
        <v>2.4872032962201977E-2</v>
      </c>
      <c r="T97" s="81">
        <f>((O97-H97)/H97)</f>
        <v>-0.05</v>
      </c>
      <c r="U97" s="81">
        <f>P97-I97</f>
        <v>1.0000000000000005E-4</v>
      </c>
      <c r="V97" s="83">
        <f>Q97-J97</f>
        <v>-3.4000000000000002E-3</v>
      </c>
    </row>
    <row r="98" spans="1:24">
      <c r="A98" s="75">
        <v>83</v>
      </c>
      <c r="B98" s="114" t="s">
        <v>131</v>
      </c>
      <c r="C98" s="115" t="s">
        <v>67</v>
      </c>
      <c r="D98" s="2">
        <v>2322128008.3908939</v>
      </c>
      <c r="E98" s="3">
        <f t="shared" si="29"/>
        <v>2.9373647563005274E-3</v>
      </c>
      <c r="F98" s="2">
        <v>93205.52809692001</v>
      </c>
      <c r="G98" s="2">
        <v>93205.52809692001</v>
      </c>
      <c r="H98" s="60">
        <v>46</v>
      </c>
      <c r="I98" s="5">
        <v>9.6000000000000002E-4</v>
      </c>
      <c r="J98" s="5">
        <v>6.7000000000000002E-3</v>
      </c>
      <c r="K98" s="2">
        <v>2391402457.642024</v>
      </c>
      <c r="L98" s="3">
        <f t="shared" si="23"/>
        <v>3.1230647250192196E-3</v>
      </c>
      <c r="M98" s="2">
        <v>96016.686868510005</v>
      </c>
      <c r="N98" s="2">
        <v>96016.686868510005</v>
      </c>
      <c r="O98" s="60">
        <v>46</v>
      </c>
      <c r="P98" s="5">
        <v>1.2329436599565525E-3</v>
      </c>
      <c r="Q98" s="5">
        <v>1.122977007886572E-2</v>
      </c>
      <c r="R98" s="81">
        <f t="shared" si="24"/>
        <v>2.9832312861655486E-2</v>
      </c>
      <c r="S98" s="81">
        <f t="shared" si="25"/>
        <v>3.0160858792268246E-2</v>
      </c>
      <c r="T98" s="81">
        <f t="shared" si="26"/>
        <v>0</v>
      </c>
      <c r="U98" s="81">
        <f t="shared" si="27"/>
        <v>2.7294365995655251E-4</v>
      </c>
      <c r="V98" s="83">
        <f t="shared" si="28"/>
        <v>4.5297700788657193E-3</v>
      </c>
      <c r="X98" s="110"/>
    </row>
    <row r="99" spans="1:24">
      <c r="A99" s="75">
        <v>84</v>
      </c>
      <c r="B99" s="114" t="s">
        <v>132</v>
      </c>
      <c r="C99" s="115" t="s">
        <v>27</v>
      </c>
      <c r="D99" s="2">
        <v>25401433031.98</v>
      </c>
      <c r="E99" s="3">
        <f t="shared" si="29"/>
        <v>3.2131421643447192E-2</v>
      </c>
      <c r="F99" s="2">
        <v>110631.78</v>
      </c>
      <c r="G99" s="2">
        <v>110631.78</v>
      </c>
      <c r="H99" s="60">
        <v>2001</v>
      </c>
      <c r="I99" s="5">
        <v>1.5E-3</v>
      </c>
      <c r="J99" s="5">
        <v>7.4899999999999994E-2</v>
      </c>
      <c r="K99" s="2">
        <v>25741149459.555099</v>
      </c>
      <c r="L99" s="3">
        <f t="shared" si="23"/>
        <v>3.3616790683510318E-2</v>
      </c>
      <c r="M99" s="2">
        <v>112273.8045</v>
      </c>
      <c r="N99" s="2">
        <v>112273.8045</v>
      </c>
      <c r="O99" s="60">
        <v>2015</v>
      </c>
      <c r="P99" s="5">
        <v>1.4E-3</v>
      </c>
      <c r="Q99" s="5">
        <v>7.46E-2</v>
      </c>
      <c r="R99" s="81">
        <f t="shared" si="24"/>
        <v>1.3373907966034923E-2</v>
      </c>
      <c r="S99" s="81">
        <f t="shared" si="25"/>
        <v>1.4842249668223719E-2</v>
      </c>
      <c r="T99" s="81">
        <f t="shared" si="26"/>
        <v>6.9965017491254375E-3</v>
      </c>
      <c r="U99" s="81">
        <f t="shared" si="27"/>
        <v>-1.0000000000000005E-4</v>
      </c>
      <c r="V99" s="83">
        <f t="shared" si="28"/>
        <v>-2.9999999999999472E-4</v>
      </c>
    </row>
    <row r="100" spans="1:24">
      <c r="A100" s="75">
        <v>85</v>
      </c>
      <c r="B100" s="133" t="s">
        <v>133</v>
      </c>
      <c r="C100" s="133" t="s">
        <v>27</v>
      </c>
      <c r="D100" s="2">
        <v>31566022371.52</v>
      </c>
      <c r="E100" s="3">
        <f t="shared" si="29"/>
        <v>3.9929289546336122E-2</v>
      </c>
      <c r="F100" s="2">
        <v>99918.59</v>
      </c>
      <c r="G100" s="2">
        <v>99918.59</v>
      </c>
      <c r="H100" s="60">
        <v>248</v>
      </c>
      <c r="I100" s="5">
        <v>1.8E-3</v>
      </c>
      <c r="J100" s="5">
        <v>9.11E-2</v>
      </c>
      <c r="K100" s="2">
        <v>32504907077.666302</v>
      </c>
      <c r="L100" s="3">
        <f t="shared" si="23"/>
        <v>4.2449955823990901E-2</v>
      </c>
      <c r="M100" s="2">
        <v>101435.38</v>
      </c>
      <c r="N100" s="2">
        <v>101435.38</v>
      </c>
      <c r="O100" s="60">
        <v>262</v>
      </c>
      <c r="P100" s="5">
        <v>1.8E-3</v>
      </c>
      <c r="Q100" s="5">
        <v>9.1800000000000007E-2</v>
      </c>
      <c r="R100" s="81">
        <f t="shared" si="24"/>
        <v>2.9743522801067162E-2</v>
      </c>
      <c r="S100" s="81">
        <f t="shared" si="25"/>
        <v>1.5180258248239974E-2</v>
      </c>
      <c r="T100" s="81">
        <f t="shared" si="26"/>
        <v>5.6451612903225805E-2</v>
      </c>
      <c r="U100" s="81">
        <f t="shared" si="27"/>
        <v>0</v>
      </c>
      <c r="V100" s="83">
        <f t="shared" si="28"/>
        <v>7.0000000000000617E-4</v>
      </c>
    </row>
    <row r="101" spans="1:24">
      <c r="A101" s="75">
        <v>86</v>
      </c>
      <c r="B101" s="114" t="s">
        <v>134</v>
      </c>
      <c r="C101" s="115" t="s">
        <v>31</v>
      </c>
      <c r="D101" s="2">
        <f>108436.41*865.9922</f>
        <v>93905085.256002009</v>
      </c>
      <c r="E101" s="3">
        <f t="shared" si="29"/>
        <v>1.1878479001659943E-4</v>
      </c>
      <c r="F101" s="2">
        <f>114.96*865.9922</f>
        <v>99554.463311999993</v>
      </c>
      <c r="G101" s="2">
        <f>114.96*865.9922</f>
        <v>99554.463311999993</v>
      </c>
      <c r="H101" s="60">
        <v>3</v>
      </c>
      <c r="I101" s="5">
        <v>1.9E-3</v>
      </c>
      <c r="J101" s="5">
        <v>3.2000000000000002E-3</v>
      </c>
      <c r="K101" s="2">
        <f>108608*891.0127</f>
        <v>96771107.321600005</v>
      </c>
      <c r="L101" s="3">
        <f t="shared" si="23"/>
        <v>1.2637874093979819E-4</v>
      </c>
      <c r="M101" s="2">
        <f>115.53*891.0127</f>
        <v>102938.697231</v>
      </c>
      <c r="N101" s="2">
        <f>115.53*891.0127</f>
        <v>102938.697231</v>
      </c>
      <c r="O101" s="60">
        <v>3</v>
      </c>
      <c r="P101" s="5">
        <v>5.0000000000000001E-3</v>
      </c>
      <c r="Q101" s="5">
        <v>8.2000000000000007E-3</v>
      </c>
      <c r="R101" s="81">
        <f t="shared" si="24"/>
        <v>3.0520413860279334E-2</v>
      </c>
      <c r="S101" s="81">
        <f t="shared" si="25"/>
        <v>3.3993794013975467E-2</v>
      </c>
      <c r="T101" s="81">
        <f t="shared" si="26"/>
        <v>0</v>
      </c>
      <c r="U101" s="81">
        <f t="shared" si="27"/>
        <v>3.1000000000000003E-3</v>
      </c>
      <c r="V101" s="83">
        <f t="shared" si="28"/>
        <v>5.000000000000001E-3</v>
      </c>
    </row>
    <row r="102" spans="1:24">
      <c r="A102" s="75">
        <v>87</v>
      </c>
      <c r="B102" s="114" t="s">
        <v>135</v>
      </c>
      <c r="C102" s="115" t="s">
        <v>34</v>
      </c>
      <c r="D102" s="2">
        <f>11314235.15*865.9922</f>
        <v>9798039388.8658314</v>
      </c>
      <c r="E102" s="3">
        <f t="shared" si="29"/>
        <v>1.2393983224741379E-2</v>
      </c>
      <c r="F102" s="2">
        <f>1.32*865.9922</f>
        <v>1143.1097040000002</v>
      </c>
      <c r="G102" s="2">
        <f>1.32*865.9922</f>
        <v>1143.1097040000002</v>
      </c>
      <c r="H102" s="61">
        <v>116</v>
      </c>
      <c r="I102" s="12">
        <v>8.0000000000000004E-4</v>
      </c>
      <c r="J102" s="12">
        <v>4.3700000000000003E-2</v>
      </c>
      <c r="K102" s="2">
        <f>11028909.98*891.0127</f>
        <v>9826898859.3367462</v>
      </c>
      <c r="L102" s="3">
        <f t="shared" si="23"/>
        <v>1.2833490693234154E-2</v>
      </c>
      <c r="M102" s="2">
        <f>1.33*891.0127</f>
        <v>1185.046891</v>
      </c>
      <c r="N102" s="2">
        <f>1.33*891.0127</f>
        <v>1185.046891</v>
      </c>
      <c r="O102" s="61">
        <v>116</v>
      </c>
      <c r="P102" s="12">
        <v>8.9999999999999998E-4</v>
      </c>
      <c r="Q102" s="12">
        <v>4.4699999999999997E-2</v>
      </c>
      <c r="R102" s="81">
        <f t="shared" si="24"/>
        <v>2.9454331959218078E-3</v>
      </c>
      <c r="S102" s="81">
        <f t="shared" si="25"/>
        <v>3.6686931143399479E-2</v>
      </c>
      <c r="T102" s="81">
        <f t="shared" si="26"/>
        <v>0</v>
      </c>
      <c r="U102" s="81">
        <f t="shared" si="27"/>
        <v>9.9999999999999937E-5</v>
      </c>
      <c r="V102" s="83">
        <f t="shared" si="28"/>
        <v>9.9999999999999395E-4</v>
      </c>
    </row>
    <row r="103" spans="1:24">
      <c r="A103" s="75">
        <v>88</v>
      </c>
      <c r="B103" s="114" t="s">
        <v>136</v>
      </c>
      <c r="C103" s="115" t="s">
        <v>78</v>
      </c>
      <c r="D103" s="2">
        <f>8443747.3*865.9922</f>
        <v>7312219300.5710611</v>
      </c>
      <c r="E103" s="3">
        <f t="shared" si="29"/>
        <v>9.2495569521688185E-3</v>
      </c>
      <c r="F103" s="2">
        <f>102.66*865.9922</f>
        <v>88902.759252000003</v>
      </c>
      <c r="G103" s="2">
        <f>102.66*865.9922</f>
        <v>88902.759252000003</v>
      </c>
      <c r="H103" s="60">
        <v>225</v>
      </c>
      <c r="I103" s="5">
        <v>1.9E-3</v>
      </c>
      <c r="J103" s="5">
        <v>3.0000000000000001E-3</v>
      </c>
      <c r="K103" s="2">
        <f>8850960.14*891.0127</f>
        <v>7886317891.9337788</v>
      </c>
      <c r="L103" s="3">
        <f t="shared" si="23"/>
        <v>1.0299178684825612E-2</v>
      </c>
      <c r="M103" s="2">
        <f>102.85*891.0127</f>
        <v>91640.656194999989</v>
      </c>
      <c r="N103" s="2">
        <f>102.85*891.0127</f>
        <v>91640.656194999989</v>
      </c>
      <c r="O103" s="60">
        <v>232</v>
      </c>
      <c r="P103" s="5">
        <v>1.9E-3</v>
      </c>
      <c r="Q103" s="5">
        <v>4.8999999999999998E-3</v>
      </c>
      <c r="R103" s="81">
        <f t="shared" si="24"/>
        <v>7.8512222864798697E-2</v>
      </c>
      <c r="S103" s="81">
        <f t="shared" si="25"/>
        <v>3.0796535068605219E-2</v>
      </c>
      <c r="T103" s="81">
        <f t="shared" si="26"/>
        <v>3.111111111111111E-2</v>
      </c>
      <c r="U103" s="81">
        <f t="shared" si="27"/>
        <v>0</v>
      </c>
      <c r="V103" s="83">
        <f t="shared" si="28"/>
        <v>1.8999999999999998E-3</v>
      </c>
    </row>
    <row r="104" spans="1:24">
      <c r="A104" s="75">
        <v>89</v>
      </c>
      <c r="B104" s="114" t="s">
        <v>137</v>
      </c>
      <c r="C104" s="115" t="s">
        <v>38</v>
      </c>
      <c r="D104" s="2">
        <f>1852428.05*865.9922</f>
        <v>1604188242.3612101</v>
      </c>
      <c r="E104" s="3">
        <f t="shared" si="29"/>
        <v>2.0292102711636133E-3</v>
      </c>
      <c r="F104" s="2">
        <f>131.09*865.9922</f>
        <v>113522.91749800001</v>
      </c>
      <c r="G104" s="2">
        <f>134.3*865.9922</f>
        <v>116302.75246000002</v>
      </c>
      <c r="H104" s="60">
        <v>46</v>
      </c>
      <c r="I104" s="5">
        <v>0</v>
      </c>
      <c r="J104" s="5">
        <v>-1E-4</v>
      </c>
      <c r="K104" s="2">
        <f>1875025.67*891.0127</f>
        <v>1670671684.7960088</v>
      </c>
      <c r="L104" s="3">
        <f t="shared" si="23"/>
        <v>2.1818225490240267E-3</v>
      </c>
      <c r="M104" s="2">
        <f>132.29*891.0127</f>
        <v>117872.070083</v>
      </c>
      <c r="N104" s="2">
        <f>132.29*891.0127</f>
        <v>117872.070083</v>
      </c>
      <c r="O104" s="60">
        <v>46</v>
      </c>
      <c r="P104" s="5">
        <v>0</v>
      </c>
      <c r="Q104" s="5">
        <v>0</v>
      </c>
      <c r="R104" s="81">
        <f t="shared" si="24"/>
        <v>4.1443666447113163E-2</v>
      </c>
      <c r="S104" s="81">
        <f t="shared" si="25"/>
        <v>1.3493383344815642E-2</v>
      </c>
      <c r="T104" s="81">
        <f t="shared" si="26"/>
        <v>0</v>
      </c>
      <c r="U104" s="81">
        <f t="shared" si="27"/>
        <v>0</v>
      </c>
      <c r="V104" s="83">
        <f t="shared" si="28"/>
        <v>1E-4</v>
      </c>
    </row>
    <row r="105" spans="1:24" ht="16.5" customHeight="1">
      <c r="A105" s="75">
        <v>90</v>
      </c>
      <c r="B105" s="114" t="s">
        <v>138</v>
      </c>
      <c r="C105" s="115" t="s">
        <v>45</v>
      </c>
      <c r="D105" s="4">
        <v>129703234681.14999</v>
      </c>
      <c r="E105" s="3">
        <f t="shared" si="29"/>
        <v>0.16406748850791747</v>
      </c>
      <c r="F105" s="2">
        <v>110909.9</v>
      </c>
      <c r="G105" s="2">
        <v>110909.9</v>
      </c>
      <c r="H105" s="60">
        <v>3000</v>
      </c>
      <c r="I105" s="5">
        <v>5.4199999999999998E-2</v>
      </c>
      <c r="J105" s="5">
        <v>5.4199999999999998E-2</v>
      </c>
      <c r="K105" s="4">
        <v>131719609426.5</v>
      </c>
      <c r="L105" s="3">
        <f t="shared" si="23"/>
        <v>0.17201992265192786</v>
      </c>
      <c r="M105" s="2">
        <v>112506.91</v>
      </c>
      <c r="N105" s="2">
        <v>112506.91</v>
      </c>
      <c r="O105" s="60">
        <v>3010</v>
      </c>
      <c r="P105" s="5">
        <v>5.4100000000000002E-2</v>
      </c>
      <c r="Q105" s="5">
        <v>5.4199999999999998E-2</v>
      </c>
      <c r="R105" s="81">
        <f t="shared" si="24"/>
        <v>1.5546063676105447E-2</v>
      </c>
      <c r="S105" s="81">
        <f t="shared" si="25"/>
        <v>1.4399165448711155E-2</v>
      </c>
      <c r="T105" s="81">
        <f t="shared" si="26"/>
        <v>3.3333333333333335E-3</v>
      </c>
      <c r="U105" s="81">
        <f t="shared" si="27"/>
        <v>-9.9999999999995925E-5</v>
      </c>
      <c r="V105" s="83">
        <f t="shared" si="28"/>
        <v>0</v>
      </c>
    </row>
    <row r="106" spans="1:24" ht="6" customHeight="1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</row>
    <row r="107" spans="1:24">
      <c r="A107" s="153" t="s">
        <v>231</v>
      </c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</row>
    <row r="108" spans="1:24">
      <c r="A108" s="75">
        <v>91</v>
      </c>
      <c r="B108" s="114" t="s">
        <v>140</v>
      </c>
      <c r="C108" s="115" t="s">
        <v>97</v>
      </c>
      <c r="D108" s="4">
        <v>799078528.46000004</v>
      </c>
      <c r="E108" s="3">
        <f>(D108/$D$118)</f>
        <v>1.0107905759430382E-3</v>
      </c>
      <c r="F108" s="2">
        <v>82586.25</v>
      </c>
      <c r="G108" s="2">
        <v>82586.25</v>
      </c>
      <c r="H108" s="60">
        <v>28</v>
      </c>
      <c r="I108" s="5">
        <v>4.0000000000000001E-3</v>
      </c>
      <c r="J108" s="5">
        <v>8.4599999999999995E-2</v>
      </c>
      <c r="K108" s="4">
        <v>795087422.00999999</v>
      </c>
      <c r="L108" s="3">
        <f t="shared" ref="L108:L117" si="30">(K108/$K$118)</f>
        <v>1.0383486364040546E-3</v>
      </c>
      <c r="M108" s="2">
        <v>82087.73</v>
      </c>
      <c r="N108" s="2">
        <v>82087.73</v>
      </c>
      <c r="O108" s="60">
        <v>27</v>
      </c>
      <c r="P108" s="5">
        <v>-6.0000000000000001E-3</v>
      </c>
      <c r="Q108" s="5">
        <v>7.8299999999999995E-2</v>
      </c>
      <c r="R108" s="81">
        <f>((K108-D108)/D108)</f>
        <v>-4.9946360812519732E-3</v>
      </c>
      <c r="S108" s="81">
        <f>((N108-G108)/G108)</f>
        <v>-6.0363559309207539E-3</v>
      </c>
      <c r="T108" s="81">
        <f>((O108-H108)/H108)</f>
        <v>-3.5714285714285712E-2</v>
      </c>
      <c r="U108" s="81">
        <f>P108-I108</f>
        <v>-0.01</v>
      </c>
      <c r="V108" s="83">
        <f>Q108-J108</f>
        <v>-6.3E-3</v>
      </c>
    </row>
    <row r="109" spans="1:24">
      <c r="A109" s="75">
        <v>92</v>
      </c>
      <c r="B109" s="115" t="s">
        <v>141</v>
      </c>
      <c r="C109" s="115" t="s">
        <v>23</v>
      </c>
      <c r="D109" s="2">
        <f>7075967.25*865.9922</f>
        <v>6127732445.9554501</v>
      </c>
      <c r="E109" s="3">
        <f>(D109/$D$118)</f>
        <v>7.751245951019445E-3</v>
      </c>
      <c r="F109" s="4">
        <f>131.92*865.9922</f>
        <v>114241.691024</v>
      </c>
      <c r="G109" s="4">
        <f>131.92*865.9922</f>
        <v>114241.691024</v>
      </c>
      <c r="H109" s="60">
        <v>332</v>
      </c>
      <c r="I109" s="5">
        <v>5.0000000000000001E-4</v>
      </c>
      <c r="J109" s="5">
        <v>1.8E-3</v>
      </c>
      <c r="K109" s="2">
        <f>7084411.56*891.0127</f>
        <v>6312300671.9868116</v>
      </c>
      <c r="L109" s="3">
        <f t="shared" si="30"/>
        <v>8.2435825468856021E-3</v>
      </c>
      <c r="M109" s="4">
        <f>132.07*891.0127</f>
        <v>117676.04728899999</v>
      </c>
      <c r="N109" s="4">
        <f>132.07*891.0127</f>
        <v>117676.04728899999</v>
      </c>
      <c r="O109" s="60">
        <v>332</v>
      </c>
      <c r="P109" s="5">
        <v>5.0000000000000001E-4</v>
      </c>
      <c r="Q109" s="5">
        <v>3.0000000000000001E-3</v>
      </c>
      <c r="R109" s="81">
        <f t="shared" ref="R109:R118" si="31">((K109-D109)/D109)</f>
        <v>3.0120150913766484E-2</v>
      </c>
      <c r="S109" s="81">
        <f t="shared" ref="S109:S118" si="32">((N109-G109)/G109)</f>
        <v>3.0062197383602298E-2</v>
      </c>
      <c r="T109" s="81">
        <f t="shared" ref="T109:T118" si="33">((O109-H109)/H109)</f>
        <v>0</v>
      </c>
      <c r="U109" s="81">
        <f t="shared" ref="U109:U118" si="34">P109-I109</f>
        <v>0</v>
      </c>
      <c r="V109" s="83">
        <f t="shared" ref="V109:V118" si="35">Q109-J109</f>
        <v>1.2000000000000001E-3</v>
      </c>
    </row>
    <row r="110" spans="1:24">
      <c r="A110" s="75">
        <v>93</v>
      </c>
      <c r="B110" s="114" t="s">
        <v>142</v>
      </c>
      <c r="C110" s="115" t="s">
        <v>58</v>
      </c>
      <c r="D110" s="4">
        <v>10744324034.35</v>
      </c>
      <c r="E110" s="3">
        <f t="shared" ref="E110:E117" si="36">(D110/$D$118)</f>
        <v>1.3590981476788489E-2</v>
      </c>
      <c r="F110" s="4">
        <v>109391.32</v>
      </c>
      <c r="G110" s="4">
        <v>109391.32</v>
      </c>
      <c r="H110" s="60">
        <v>575</v>
      </c>
      <c r="I110" s="5">
        <v>1.6999999999999999E-3</v>
      </c>
      <c r="J110" s="5">
        <v>7.3099999999999998E-2</v>
      </c>
      <c r="K110" s="4">
        <v>10767787638.34</v>
      </c>
      <c r="L110" s="3">
        <f t="shared" si="30"/>
        <v>1.4062249385223142E-2</v>
      </c>
      <c r="M110" s="4">
        <v>109524.85</v>
      </c>
      <c r="N110" s="4">
        <v>109524.85</v>
      </c>
      <c r="O110" s="60">
        <v>579</v>
      </c>
      <c r="P110" s="5">
        <v>1.1999999999999999E-3</v>
      </c>
      <c r="Q110" s="5">
        <v>7.0099999999999996E-2</v>
      </c>
      <c r="R110" s="81">
        <f t="shared" si="31"/>
        <v>2.1838138830312416E-3</v>
      </c>
      <c r="S110" s="81">
        <f t="shared" si="32"/>
        <v>1.2206635773295252E-3</v>
      </c>
      <c r="T110" s="81">
        <f t="shared" si="33"/>
        <v>6.956521739130435E-3</v>
      </c>
      <c r="U110" s="81">
        <f t="shared" si="34"/>
        <v>-5.0000000000000001E-4</v>
      </c>
      <c r="V110" s="83">
        <f t="shared" si="35"/>
        <v>-3.0000000000000027E-3</v>
      </c>
    </row>
    <row r="111" spans="1:24">
      <c r="A111" s="75">
        <v>94</v>
      </c>
      <c r="B111" s="114" t="s">
        <v>143</v>
      </c>
      <c r="C111" s="115" t="s">
        <v>56</v>
      </c>
      <c r="D111" s="4">
        <v>3599410640.4200959</v>
      </c>
      <c r="E111" s="3">
        <f t="shared" si="36"/>
        <v>4.553057333798515E-3</v>
      </c>
      <c r="F111" s="4">
        <v>1089.8607442653604</v>
      </c>
      <c r="G111" s="4">
        <v>1089.8607442653604</v>
      </c>
      <c r="H111" s="60">
        <v>163</v>
      </c>
      <c r="I111" s="5">
        <v>4.9221388747890109E-2</v>
      </c>
      <c r="J111" s="5">
        <v>5.0456607167438917E-2</v>
      </c>
      <c r="K111" s="4">
        <v>3640695558.5629554</v>
      </c>
      <c r="L111" s="3">
        <f t="shared" si="30"/>
        <v>4.7545856771817946E-3</v>
      </c>
      <c r="M111" s="4">
        <v>1080.256894334922</v>
      </c>
      <c r="N111" s="4">
        <v>1080.256894334922</v>
      </c>
      <c r="O111" s="60">
        <v>164</v>
      </c>
      <c r="P111" s="5">
        <v>4.7397171556331531E-2</v>
      </c>
      <c r="Q111" s="5">
        <v>4.935833451910393E-2</v>
      </c>
      <c r="R111" s="81">
        <f t="shared" si="31"/>
        <v>1.146991056792592E-2</v>
      </c>
      <c r="S111" s="81">
        <f t="shared" si="32"/>
        <v>-8.8119972950416181E-3</v>
      </c>
      <c r="T111" s="81">
        <f t="shared" si="33"/>
        <v>6.1349693251533744E-3</v>
      </c>
      <c r="U111" s="81">
        <f t="shared" si="34"/>
        <v>-1.8242171915585775E-3</v>
      </c>
      <c r="V111" s="83">
        <f t="shared" si="35"/>
        <v>-1.0982726483349872E-3</v>
      </c>
    </row>
    <row r="112" spans="1:24">
      <c r="A112" s="75">
        <v>95</v>
      </c>
      <c r="B112" s="114" t="s">
        <v>254</v>
      </c>
      <c r="C112" s="115" t="s">
        <v>114</v>
      </c>
      <c r="D112" s="4">
        <v>764438409.98000002</v>
      </c>
      <c r="E112" s="3">
        <f t="shared" si="36"/>
        <v>9.6697272317628478E-4</v>
      </c>
      <c r="F112" s="4">
        <v>884.24</v>
      </c>
      <c r="G112" s="4">
        <v>884.24</v>
      </c>
      <c r="H112" s="60">
        <v>35</v>
      </c>
      <c r="I112" s="5">
        <v>1.1000000000000001E-3</v>
      </c>
      <c r="J112" s="5">
        <v>4.5100000000000001E-2</v>
      </c>
      <c r="K112" s="4">
        <v>791745267.76999998</v>
      </c>
      <c r="L112" s="3">
        <f t="shared" si="30"/>
        <v>1.033983932345496E-3</v>
      </c>
      <c r="M112" s="4">
        <f>1.029008*890.012</f>
        <v>915.82946809599991</v>
      </c>
      <c r="N112" s="4">
        <f>1.034967*890.012</f>
        <v>921.13304960399989</v>
      </c>
      <c r="O112" s="60">
        <v>35</v>
      </c>
      <c r="P112" s="5">
        <v>1.1000000000000001E-3</v>
      </c>
      <c r="Q112" s="5">
        <v>4.4999999999999998E-2</v>
      </c>
      <c r="R112" s="81">
        <f t="shared" si="31"/>
        <v>3.5721462230965589E-2</v>
      </c>
      <c r="S112" s="81">
        <f t="shared" si="32"/>
        <v>4.1722891527187056E-2</v>
      </c>
      <c r="T112" s="81">
        <f t="shared" si="33"/>
        <v>0</v>
      </c>
      <c r="U112" s="81">
        <f t="shared" si="34"/>
        <v>0</v>
      </c>
      <c r="V112" s="83">
        <f t="shared" si="35"/>
        <v>-1.0000000000000286E-4</v>
      </c>
    </row>
    <row r="113" spans="1:22">
      <c r="A113" s="75">
        <v>96</v>
      </c>
      <c r="B113" s="115" t="s">
        <v>144</v>
      </c>
      <c r="C113" s="131" t="s">
        <v>40</v>
      </c>
      <c r="D113" s="2">
        <v>11313043887</v>
      </c>
      <c r="E113" s="3">
        <f t="shared" si="36"/>
        <v>1.4310380943719742E-2</v>
      </c>
      <c r="F113" s="4">
        <f>1.0182*865.9922</f>
        <v>881.75325803999999</v>
      </c>
      <c r="G113" s="4">
        <f>1.0182*865.9922</f>
        <v>881.75325803999999</v>
      </c>
      <c r="H113" s="60">
        <v>401</v>
      </c>
      <c r="I113" s="5">
        <v>1.6000000000000001E-3</v>
      </c>
      <c r="J113" s="5">
        <v>2.8E-3</v>
      </c>
      <c r="K113" s="2">
        <v>12493487536</v>
      </c>
      <c r="L113" s="3">
        <f t="shared" si="30"/>
        <v>1.6315936320740205E-2</v>
      </c>
      <c r="M113" s="4">
        <f>1.02*891.0127</f>
        <v>908.83295399999997</v>
      </c>
      <c r="N113" s="4">
        <f>1.02*891.0127</f>
        <v>908.83295399999997</v>
      </c>
      <c r="O113" s="60">
        <v>399</v>
      </c>
      <c r="P113" s="5">
        <v>1.5E-3</v>
      </c>
      <c r="Q113" s="5">
        <v>4.7000000000000002E-3</v>
      </c>
      <c r="R113" s="81">
        <f t="shared" si="31"/>
        <v>0.10434359318242076</v>
      </c>
      <c r="S113" s="81">
        <f t="shared" si="32"/>
        <v>3.0711194671618137E-2</v>
      </c>
      <c r="T113" s="81">
        <f t="shared" si="33"/>
        <v>-4.9875311720698253E-3</v>
      </c>
      <c r="U113" s="81">
        <f t="shared" si="34"/>
        <v>-1.0000000000000005E-4</v>
      </c>
      <c r="V113" s="83">
        <f t="shared" si="35"/>
        <v>1.9000000000000002E-3</v>
      </c>
    </row>
    <row r="114" spans="1:22">
      <c r="A114" s="75">
        <v>97</v>
      </c>
      <c r="B114" s="114" t="s">
        <v>145</v>
      </c>
      <c r="C114" s="115" t="s">
        <v>80</v>
      </c>
      <c r="D114" s="4">
        <v>238795017.25999999</v>
      </c>
      <c r="E114" s="3">
        <f t="shared" si="36"/>
        <v>3.0206261891899355E-4</v>
      </c>
      <c r="F114" s="4">
        <f>1.03*865.9922</f>
        <v>891.97196600000007</v>
      </c>
      <c r="G114" s="4">
        <f>1.03*865.9922</f>
        <v>891.97196600000007</v>
      </c>
      <c r="H114" s="60">
        <v>3</v>
      </c>
      <c r="I114" s="5">
        <v>1.9820000000000001E-2</v>
      </c>
      <c r="J114" s="5">
        <v>-6.7340000000000004E-3</v>
      </c>
      <c r="K114" s="4">
        <v>235842901.63</v>
      </c>
      <c r="L114" s="3">
        <f t="shared" si="30"/>
        <v>3.0800028843872983E-4</v>
      </c>
      <c r="M114" s="4">
        <f>1.03*900.57</f>
        <v>927.58710000000008</v>
      </c>
      <c r="N114" s="4">
        <f>1.03*900.57</f>
        <v>927.58710000000008</v>
      </c>
      <c r="O114" s="60">
        <v>3</v>
      </c>
      <c r="P114" s="5">
        <v>-2.679E-3</v>
      </c>
      <c r="Q114" s="5">
        <v>-9.3939999999999996E-3</v>
      </c>
      <c r="R114" s="81">
        <f t="shared" si="31"/>
        <v>-1.2362551211802431E-2</v>
      </c>
      <c r="S114" s="81">
        <f t="shared" si="32"/>
        <v>3.9928535153087995E-2</v>
      </c>
      <c r="T114" s="81">
        <f t="shared" si="33"/>
        <v>0</v>
      </c>
      <c r="U114" s="81">
        <f t="shared" si="34"/>
        <v>-2.2499000000000002E-2</v>
      </c>
      <c r="V114" s="83">
        <f t="shared" si="35"/>
        <v>-2.6599999999999992E-3</v>
      </c>
    </row>
    <row r="115" spans="1:22">
      <c r="A115" s="75">
        <v>98</v>
      </c>
      <c r="B115" s="114" t="s">
        <v>146</v>
      </c>
      <c r="C115" s="115" t="s">
        <v>42</v>
      </c>
      <c r="D115" s="2">
        <v>491176164559.79999</v>
      </c>
      <c r="E115" s="3">
        <f t="shared" si="36"/>
        <v>0.62131094827652489</v>
      </c>
      <c r="F115" s="4">
        <v>1430.17</v>
      </c>
      <c r="G115" s="4">
        <v>1430.17</v>
      </c>
      <c r="H115" s="60">
        <v>10136</v>
      </c>
      <c r="I115" s="5">
        <v>1.4E-3</v>
      </c>
      <c r="J115" s="5">
        <v>2.5000000000000001E-3</v>
      </c>
      <c r="K115" s="2">
        <v>459062886033.31</v>
      </c>
      <c r="L115" s="3">
        <f t="shared" si="30"/>
        <v>0.5995156111655886</v>
      </c>
      <c r="M115" s="4">
        <v>1332.33</v>
      </c>
      <c r="N115" s="4">
        <v>1332.33</v>
      </c>
      <c r="O115" s="60">
        <v>10255</v>
      </c>
      <c r="P115" s="5">
        <v>1.4E-3</v>
      </c>
      <c r="Q115" s="5">
        <v>3.8999999999999998E-3</v>
      </c>
      <c r="R115" s="81">
        <f t="shared" si="31"/>
        <v>-6.5380368274324613E-2</v>
      </c>
      <c r="S115" s="81">
        <f t="shared" si="32"/>
        <v>-6.8411447590146723E-2</v>
      </c>
      <c r="T115" s="81">
        <f t="shared" si="33"/>
        <v>1.1740331491712707E-2</v>
      </c>
      <c r="U115" s="81">
        <f t="shared" si="34"/>
        <v>0</v>
      </c>
      <c r="V115" s="83">
        <f t="shared" si="35"/>
        <v>1.3999999999999998E-3</v>
      </c>
    </row>
    <row r="116" spans="1:22" ht="16.5" customHeight="1">
      <c r="A116" s="75">
        <v>99</v>
      </c>
      <c r="B116" s="114" t="s">
        <v>147</v>
      </c>
      <c r="C116" s="115" t="s">
        <v>45</v>
      </c>
      <c r="D116" s="2">
        <v>20920328725.119999</v>
      </c>
      <c r="E116" s="3">
        <f t="shared" si="36"/>
        <v>2.6463070108684882E-2</v>
      </c>
      <c r="F116" s="4">
        <v>969.89</v>
      </c>
      <c r="G116" s="4">
        <v>969.89</v>
      </c>
      <c r="H116" s="60">
        <v>160</v>
      </c>
      <c r="I116" s="5">
        <v>0.106</v>
      </c>
      <c r="J116" s="5">
        <v>0.106</v>
      </c>
      <c r="K116" s="2">
        <v>22177249204.41</v>
      </c>
      <c r="L116" s="3">
        <f t="shared" si="30"/>
        <v>2.8962496240196343E-2</v>
      </c>
      <c r="M116" s="4">
        <v>984.75</v>
      </c>
      <c r="N116" s="4">
        <v>984.75</v>
      </c>
      <c r="O116" s="60">
        <v>168</v>
      </c>
      <c r="P116" s="5">
        <v>0.1057</v>
      </c>
      <c r="Q116" s="5">
        <v>0.10589999999999999</v>
      </c>
      <c r="R116" s="81">
        <f t="shared" si="31"/>
        <v>6.0081296800119532E-2</v>
      </c>
      <c r="S116" s="81">
        <f t="shared" si="32"/>
        <v>1.5321325098722549E-2</v>
      </c>
      <c r="T116" s="81">
        <f t="shared" si="33"/>
        <v>0.05</v>
      </c>
      <c r="U116" s="81">
        <f t="shared" si="34"/>
        <v>-2.9999999999999472E-4</v>
      </c>
      <c r="V116" s="83">
        <f t="shared" si="35"/>
        <v>-1.0000000000000286E-4</v>
      </c>
    </row>
    <row r="117" spans="1:22">
      <c r="A117" s="75">
        <v>100</v>
      </c>
      <c r="B117" s="114" t="s">
        <v>148</v>
      </c>
      <c r="C117" s="115" t="s">
        <v>32</v>
      </c>
      <c r="D117" s="4">
        <v>26071764443.144836</v>
      </c>
      <c r="E117" s="3">
        <f t="shared" si="36"/>
        <v>3.2979354167012594E-2</v>
      </c>
      <c r="F117" s="4">
        <f>1.0926*865.9922</f>
        <v>946.18307772000003</v>
      </c>
      <c r="G117" s="4">
        <f>1.0926*865.9922</f>
        <v>946.18307772000003</v>
      </c>
      <c r="H117" s="60">
        <v>1060</v>
      </c>
      <c r="I117" s="5">
        <v>1.2829912023462064E-3</v>
      </c>
      <c r="J117" s="5">
        <v>-2.6810367863187023E-2</v>
      </c>
      <c r="K117" s="4">
        <v>25649659746.280884</v>
      </c>
      <c r="L117" s="3">
        <f t="shared" si="30"/>
        <v>3.3497309207142445E-2</v>
      </c>
      <c r="M117" s="4">
        <f>1.0946*891.0127</f>
        <v>975.30250142</v>
      </c>
      <c r="N117" s="4">
        <f>1.0946*891.0127</f>
        <v>975.30250142</v>
      </c>
      <c r="O117" s="60">
        <v>1084</v>
      </c>
      <c r="P117" s="5">
        <v>1.8304960644335289E-3</v>
      </c>
      <c r="Q117" s="5">
        <v>-2.5028948071613044E-2</v>
      </c>
      <c r="R117" s="81">
        <f t="shared" si="31"/>
        <v>-1.6190108566853767E-2</v>
      </c>
      <c r="S117" s="81">
        <f t="shared" si="32"/>
        <v>3.0775675855637272E-2</v>
      </c>
      <c r="T117" s="81">
        <f t="shared" si="33"/>
        <v>2.2641509433962263E-2</v>
      </c>
      <c r="U117" s="81">
        <f t="shared" si="34"/>
        <v>5.4750486208732241E-4</v>
      </c>
      <c r="V117" s="83">
        <f t="shared" si="35"/>
        <v>1.7814197915739793E-3</v>
      </c>
    </row>
    <row r="118" spans="1:22">
      <c r="A118" s="75"/>
      <c r="B118" s="19"/>
      <c r="C118" s="66" t="s">
        <v>46</v>
      </c>
      <c r="D118" s="59">
        <f>SUM(D94:D117)</f>
        <v>790548059586.41138</v>
      </c>
      <c r="E118" s="99">
        <f>(D118/$D$181)</f>
        <v>0.35639092825327856</v>
      </c>
      <c r="F118" s="30"/>
      <c r="G118" s="11"/>
      <c r="H118" s="65">
        <f>SUM(H94:H117)</f>
        <v>19162</v>
      </c>
      <c r="I118" s="33"/>
      <c r="J118" s="33"/>
      <c r="K118" s="59">
        <f>SUM(K94:K117)</f>
        <v>765722989499.45947</v>
      </c>
      <c r="L118" s="99">
        <f>(K118/$K$181)</f>
        <v>0.34562530942511843</v>
      </c>
      <c r="M118" s="30"/>
      <c r="N118" s="11"/>
      <c r="O118" s="65">
        <f>SUM(O94:O117)</f>
        <v>19362</v>
      </c>
      <c r="P118" s="33"/>
      <c r="Q118" s="33"/>
      <c r="R118" s="81">
        <f t="shared" si="31"/>
        <v>-3.1402354083241393E-2</v>
      </c>
      <c r="S118" s="81" t="e">
        <f t="shared" si="32"/>
        <v>#DIV/0!</v>
      </c>
      <c r="T118" s="81">
        <f t="shared" si="33"/>
        <v>1.0437323870159691E-2</v>
      </c>
      <c r="U118" s="81">
        <f t="shared" si="34"/>
        <v>0</v>
      </c>
      <c r="V118" s="83">
        <f t="shared" si="35"/>
        <v>0</v>
      </c>
    </row>
    <row r="119" spans="1:22" ht="8.25" customHeight="1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</row>
    <row r="120" spans="1:22" ht="15.75">
      <c r="A120" s="149" t="s">
        <v>149</v>
      </c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</row>
    <row r="121" spans="1:22">
      <c r="A121" s="75">
        <v>101</v>
      </c>
      <c r="B121" s="114" t="s">
        <v>245</v>
      </c>
      <c r="C121" s="115" t="s">
        <v>246</v>
      </c>
      <c r="D121" s="2">
        <v>2172835435.7594862</v>
      </c>
      <c r="E121" s="3">
        <f>(D121/$D$126)</f>
        <v>2.180740831113635E-2</v>
      </c>
      <c r="F121" s="14">
        <v>102.62752807012154</v>
      </c>
      <c r="G121" s="14">
        <v>102.62752807012154</v>
      </c>
      <c r="H121" s="60">
        <v>7</v>
      </c>
      <c r="I121" s="5">
        <v>5.6086643386521473E-4</v>
      </c>
      <c r="J121" s="5">
        <v>3.7726959361583656E-3</v>
      </c>
      <c r="K121" s="2">
        <v>2182907304.3728204</v>
      </c>
      <c r="L121" s="3">
        <f>(K121/$K$126)</f>
        <v>2.1917693071911489E-2</v>
      </c>
      <c r="M121" s="14">
        <v>102.870278245656</v>
      </c>
      <c r="N121" s="14">
        <v>102.870278245656</v>
      </c>
      <c r="O121" s="60">
        <v>7</v>
      </c>
      <c r="P121" s="5">
        <v>2.365351481218525E-3</v>
      </c>
      <c r="Q121" s="5">
        <v>6.1000000000000004E-3</v>
      </c>
      <c r="R121" s="81">
        <f t="shared" ref="R121:R126" si="37">((K121-D121)/D121)</f>
        <v>4.6353573066676762E-3</v>
      </c>
      <c r="S121" s="81">
        <f t="shared" ref="S121:T126" si="38">((N121-G121)/G121)</f>
        <v>2.3653514812184851E-3</v>
      </c>
      <c r="T121" s="81">
        <f t="shared" si="38"/>
        <v>0</v>
      </c>
      <c r="U121" s="81">
        <f t="shared" ref="U121:V126" si="39">P121-I121</f>
        <v>1.8044850473533103E-3</v>
      </c>
      <c r="V121" s="83">
        <f t="shared" si="39"/>
        <v>2.3273040638416348E-3</v>
      </c>
    </row>
    <row r="122" spans="1:22">
      <c r="A122" s="75">
        <v>102</v>
      </c>
      <c r="B122" s="114" t="s">
        <v>150</v>
      </c>
      <c r="C122" s="115" t="s">
        <v>40</v>
      </c>
      <c r="D122" s="2">
        <v>54330953714</v>
      </c>
      <c r="E122" s="3">
        <f>(D122/$D$126)</f>
        <v>0.54528625227455874</v>
      </c>
      <c r="F122" s="14">
        <v>102.5</v>
      </c>
      <c r="G122" s="14">
        <v>102.5</v>
      </c>
      <c r="H122" s="60">
        <v>675</v>
      </c>
      <c r="I122" s="5">
        <v>0</v>
      </c>
      <c r="J122" s="5">
        <v>7.6999999999999999E-2</v>
      </c>
      <c r="K122" s="2">
        <v>54330953714</v>
      </c>
      <c r="L122" s="3">
        <f>(K122/$K$126)</f>
        <v>0.54551522431678234</v>
      </c>
      <c r="M122" s="14">
        <v>102.5</v>
      </c>
      <c r="N122" s="14">
        <v>102.5</v>
      </c>
      <c r="O122" s="60">
        <v>675</v>
      </c>
      <c r="P122" s="5">
        <v>0</v>
      </c>
      <c r="Q122" s="5">
        <v>7.6999999999999999E-2</v>
      </c>
      <c r="R122" s="81">
        <f t="shared" si="37"/>
        <v>0</v>
      </c>
      <c r="S122" s="81">
        <f t="shared" si="38"/>
        <v>0</v>
      </c>
      <c r="T122" s="81">
        <f t="shared" si="38"/>
        <v>0</v>
      </c>
      <c r="U122" s="81">
        <f t="shared" si="39"/>
        <v>0</v>
      </c>
      <c r="V122" s="83">
        <f t="shared" si="39"/>
        <v>0</v>
      </c>
    </row>
    <row r="123" spans="1:22" ht="17.25" customHeight="1">
      <c r="A123" s="75">
        <v>103</v>
      </c>
      <c r="B123" s="114" t="s">
        <v>151</v>
      </c>
      <c r="C123" s="115" t="s">
        <v>120</v>
      </c>
      <c r="D123" s="2">
        <v>2600123054.1799998</v>
      </c>
      <c r="E123" s="3">
        <f>(D123/$D$126)</f>
        <v>2.6095830438204692E-2</v>
      </c>
      <c r="F123" s="14">
        <v>101.35</v>
      </c>
      <c r="G123" s="14">
        <v>101.35</v>
      </c>
      <c r="H123" s="60">
        <v>2771</v>
      </c>
      <c r="I123" s="5">
        <v>6.6000000000000003E-2</v>
      </c>
      <c r="J123" s="5">
        <v>3.3000000000000002E-2</v>
      </c>
      <c r="K123" s="2">
        <v>2602622954.1799998</v>
      </c>
      <c r="L123" s="3">
        <f>(K123/$K$126)</f>
        <v>2.6131888870113147E-2</v>
      </c>
      <c r="M123" s="14">
        <v>101.35</v>
      </c>
      <c r="N123" s="14">
        <v>101.35</v>
      </c>
      <c r="O123" s="60">
        <v>2771</v>
      </c>
      <c r="P123" s="5">
        <v>7.0400000000000004E-2</v>
      </c>
      <c r="Q123" s="5">
        <v>3.9100000000000003E-2</v>
      </c>
      <c r="R123" s="81">
        <f t="shared" si="37"/>
        <v>9.6145449577131369E-4</v>
      </c>
      <c r="S123" s="81">
        <f t="shared" si="38"/>
        <v>0</v>
      </c>
      <c r="T123" s="81">
        <f t="shared" si="38"/>
        <v>0</v>
      </c>
      <c r="U123" s="81">
        <f t="shared" si="39"/>
        <v>4.4000000000000011E-3</v>
      </c>
      <c r="V123" s="83">
        <f t="shared" si="39"/>
        <v>6.1000000000000013E-3</v>
      </c>
    </row>
    <row r="124" spans="1:22">
      <c r="A124" s="75">
        <v>104</v>
      </c>
      <c r="B124" s="114" t="s">
        <v>152</v>
      </c>
      <c r="C124" s="115" t="s">
        <v>120</v>
      </c>
      <c r="D124" s="2">
        <v>10837611362.93</v>
      </c>
      <c r="E124" s="3">
        <f>(D124/$D$126)</f>
        <v>0.10877041685681815</v>
      </c>
      <c r="F124" s="14">
        <v>36.6</v>
      </c>
      <c r="G124" s="14">
        <v>36.6</v>
      </c>
      <c r="H124" s="60">
        <v>5274</v>
      </c>
      <c r="I124" s="5">
        <v>3.4799999999999998E-2</v>
      </c>
      <c r="J124" s="5">
        <v>0.19500000000000001</v>
      </c>
      <c r="K124" s="2">
        <v>10891224758.440001</v>
      </c>
      <c r="L124" s="3">
        <f>(K124/$K$126)</f>
        <v>0.10935440133188622</v>
      </c>
      <c r="M124" s="14">
        <v>36.6</v>
      </c>
      <c r="N124" s="14">
        <v>36.6</v>
      </c>
      <c r="O124" s="60">
        <v>5274</v>
      </c>
      <c r="P124" s="5">
        <v>1.7399999999999999E-2</v>
      </c>
      <c r="Q124" s="5">
        <v>0.14069999999999999</v>
      </c>
      <c r="R124" s="81">
        <f t="shared" si="37"/>
        <v>4.9469752803080391E-3</v>
      </c>
      <c r="S124" s="81">
        <f t="shared" si="38"/>
        <v>0</v>
      </c>
      <c r="T124" s="81">
        <f t="shared" si="38"/>
        <v>0</v>
      </c>
      <c r="U124" s="81">
        <f t="shared" si="39"/>
        <v>-1.7399999999999999E-2</v>
      </c>
      <c r="V124" s="83">
        <f t="shared" si="39"/>
        <v>-5.4300000000000015E-2</v>
      </c>
    </row>
    <row r="125" spans="1:22">
      <c r="A125" s="75">
        <v>105</v>
      </c>
      <c r="B125" s="114" t="s">
        <v>153</v>
      </c>
      <c r="C125" s="115" t="s">
        <v>42</v>
      </c>
      <c r="D125" s="2">
        <v>29695966810.650002</v>
      </c>
      <c r="E125" s="3">
        <f>(D125/$D$126)</f>
        <v>0.29804009211928223</v>
      </c>
      <c r="F125" s="14">
        <v>6.55</v>
      </c>
      <c r="G125" s="14">
        <v>6.55</v>
      </c>
      <c r="H125" s="60">
        <v>208853</v>
      </c>
      <c r="I125" s="5">
        <v>-3.6799999999999999E-2</v>
      </c>
      <c r="J125" s="5">
        <v>2.3400000000000001E-2</v>
      </c>
      <c r="K125" s="2">
        <v>29587960266.23</v>
      </c>
      <c r="L125" s="3">
        <f>(K125/$K$126)</f>
        <v>0.29708079240930696</v>
      </c>
      <c r="M125" s="14">
        <v>6.65</v>
      </c>
      <c r="N125" s="14">
        <v>6.65</v>
      </c>
      <c r="O125" s="60">
        <v>208853</v>
      </c>
      <c r="P125" s="5">
        <v>1.5299999999999999E-2</v>
      </c>
      <c r="Q125" s="5">
        <v>3.9100000000000003E-2</v>
      </c>
      <c r="R125" s="81">
        <f t="shared" si="37"/>
        <v>-3.6370778937315855E-3</v>
      </c>
      <c r="S125" s="81">
        <f t="shared" si="38"/>
        <v>1.5267175572519165E-2</v>
      </c>
      <c r="T125" s="81">
        <f t="shared" si="38"/>
        <v>0</v>
      </c>
      <c r="U125" s="81">
        <f t="shared" si="39"/>
        <v>5.21E-2</v>
      </c>
      <c r="V125" s="83">
        <f t="shared" si="39"/>
        <v>1.5700000000000002E-2</v>
      </c>
    </row>
    <row r="126" spans="1:22">
      <c r="A126" s="75"/>
      <c r="B126" s="19"/>
      <c r="C126" s="71" t="s">
        <v>46</v>
      </c>
      <c r="D126" s="58">
        <f>SUM(D121:D125)</f>
        <v>99637490377.51947</v>
      </c>
      <c r="E126" s="99">
        <f>(D126/$D$181)</f>
        <v>4.4918075825837685E-2</v>
      </c>
      <c r="F126" s="30"/>
      <c r="G126" s="34"/>
      <c r="H126" s="65">
        <f>SUM(H121:H125)</f>
        <v>217580</v>
      </c>
      <c r="I126" s="35"/>
      <c r="J126" s="35"/>
      <c r="K126" s="58">
        <f>SUM(K121:K125)</f>
        <v>99595668997.222809</v>
      </c>
      <c r="L126" s="99">
        <f>(K126/$K$181)</f>
        <v>4.4954617252733156E-2</v>
      </c>
      <c r="M126" s="30"/>
      <c r="N126" s="34"/>
      <c r="O126" s="65">
        <f>SUM(O121:O125)</f>
        <v>217580</v>
      </c>
      <c r="P126" s="35"/>
      <c r="Q126" s="35"/>
      <c r="R126" s="81">
        <f t="shared" si="37"/>
        <v>-4.1973538412301532E-4</v>
      </c>
      <c r="S126" s="81" t="e">
        <f t="shared" si="38"/>
        <v>#DIV/0!</v>
      </c>
      <c r="T126" s="81">
        <f t="shared" si="38"/>
        <v>0</v>
      </c>
      <c r="U126" s="81">
        <f t="shared" si="39"/>
        <v>0</v>
      </c>
      <c r="V126" s="83">
        <f t="shared" si="39"/>
        <v>0</v>
      </c>
    </row>
    <row r="127" spans="1:22" ht="7.5" customHeight="1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</row>
    <row r="128" spans="1:22" ht="15" customHeight="1">
      <c r="A128" s="149" t="s">
        <v>154</v>
      </c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</row>
    <row r="129" spans="1:24">
      <c r="A129" s="75" t="s">
        <v>265</v>
      </c>
      <c r="B129" s="114" t="s">
        <v>155</v>
      </c>
      <c r="C129" s="115" t="s">
        <v>50</v>
      </c>
      <c r="D129" s="4">
        <v>241373137.63999999</v>
      </c>
      <c r="E129" s="3">
        <f t="shared" ref="E129:E154" si="40">(D129/$D$155)</f>
        <v>5.1243871671107959E-3</v>
      </c>
      <c r="F129" s="4">
        <v>5.39</v>
      </c>
      <c r="G129" s="4">
        <v>5.51</v>
      </c>
      <c r="H129" s="62">
        <v>11814</v>
      </c>
      <c r="I129" s="6">
        <v>2.1114999999999998E-2</v>
      </c>
      <c r="J129" s="6">
        <v>7.1947999999999998E-2</v>
      </c>
      <c r="K129" s="4">
        <v>251151823.93000001</v>
      </c>
      <c r="L129" s="16">
        <f t="shared" ref="L129:L145" si="41">(K129/$K$155)</f>
        <v>5.0567322120222665E-3</v>
      </c>
      <c r="M129" s="4">
        <v>5.61</v>
      </c>
      <c r="N129" s="4">
        <v>5.74</v>
      </c>
      <c r="O129" s="62">
        <v>11815</v>
      </c>
      <c r="P129" s="6">
        <v>4.2867000000000002E-2</v>
      </c>
      <c r="Q129" s="6">
        <v>0.114815</v>
      </c>
      <c r="R129" s="81">
        <f>((K129-D129)/D129)</f>
        <v>4.0512736361676696E-2</v>
      </c>
      <c r="S129" s="81">
        <f>((N129-G129)/G129)</f>
        <v>4.1742286751361241E-2</v>
      </c>
      <c r="T129" s="81">
        <f>((O129-H129)/H129)</f>
        <v>8.4645336041984089E-5</v>
      </c>
      <c r="U129" s="81">
        <f>P129-I129</f>
        <v>2.1752000000000004E-2</v>
      </c>
      <c r="V129" s="83">
        <f>Q129-J129</f>
        <v>4.2867000000000002E-2</v>
      </c>
    </row>
    <row r="130" spans="1:24">
      <c r="A130" s="75">
        <v>107</v>
      </c>
      <c r="B130" s="114" t="s">
        <v>257</v>
      </c>
      <c r="C130" s="114" t="s">
        <v>256</v>
      </c>
      <c r="D130" s="4">
        <v>634015661.34161413</v>
      </c>
      <c r="E130" s="3">
        <f t="shared" si="40"/>
        <v>1.3460245620090171E-2</v>
      </c>
      <c r="F130" s="4">
        <v>1211.8203146001401</v>
      </c>
      <c r="G130" s="4">
        <v>1222.1363359798611</v>
      </c>
      <c r="H130" s="62">
        <v>192</v>
      </c>
      <c r="I130" s="6">
        <v>3.2211976662407264E-2</v>
      </c>
      <c r="J130" s="6">
        <v>8.1097375801929134E-2</v>
      </c>
      <c r="K130" s="4">
        <v>655950892.03604972</v>
      </c>
      <c r="L130" s="16">
        <f t="shared" si="41"/>
        <v>1.3207023358858519E-2</v>
      </c>
      <c r="M130" s="4">
        <v>1252.0667710203388</v>
      </c>
      <c r="N130" s="4">
        <v>1265.2318645763714</v>
      </c>
      <c r="O130" s="62">
        <v>191</v>
      </c>
      <c r="P130" s="6">
        <v>3.4456553925356563E-2</v>
      </c>
      <c r="Q130" s="6">
        <v>0.11834826582980978</v>
      </c>
      <c r="R130" s="81">
        <f>((K130-D130)/D130)</f>
        <v>3.4597301031995598E-2</v>
      </c>
      <c r="S130" s="81">
        <f>((N130-G130)/G130)</f>
        <v>3.5262455855187419E-2</v>
      </c>
      <c r="T130" s="81">
        <f>((O130-H130)/H130)</f>
        <v>-5.208333333333333E-3</v>
      </c>
      <c r="U130" s="81">
        <f>P130-I130</f>
        <v>2.2445772629492988E-3</v>
      </c>
      <c r="V130" s="83">
        <f>Q130-J130</f>
        <v>3.7250890027880651E-2</v>
      </c>
    </row>
    <row r="131" spans="1:24">
      <c r="A131" s="75">
        <v>108</v>
      </c>
      <c r="B131" s="114" t="s">
        <v>156</v>
      </c>
      <c r="C131" s="115" t="s">
        <v>21</v>
      </c>
      <c r="D131" s="4">
        <v>6508569179.54</v>
      </c>
      <c r="E131" s="3">
        <f t="shared" si="40"/>
        <v>0.1381778797176331</v>
      </c>
      <c r="F131" s="4">
        <v>694.24919999999997</v>
      </c>
      <c r="G131" s="4">
        <v>715.18129999999996</v>
      </c>
      <c r="H131" s="62">
        <v>21194</v>
      </c>
      <c r="I131" s="6">
        <v>1.0245</v>
      </c>
      <c r="J131" s="6">
        <v>1.4633</v>
      </c>
      <c r="K131" s="4">
        <v>7069685891.04</v>
      </c>
      <c r="L131" s="16">
        <f t="shared" si="41"/>
        <v>0.14234222079177597</v>
      </c>
      <c r="M131" s="4">
        <v>750.92160000000001</v>
      </c>
      <c r="N131" s="4">
        <v>773.5625</v>
      </c>
      <c r="O131" s="62">
        <v>21188</v>
      </c>
      <c r="P131" s="6">
        <v>4.2682000000000002</v>
      </c>
      <c r="Q131" s="6">
        <v>2.5720999999999998</v>
      </c>
      <c r="R131" s="81">
        <f t="shared" ref="R131:R155" si="42">((K131-D131)/D131)</f>
        <v>8.6211991610060379E-2</v>
      </c>
      <c r="S131" s="81">
        <f t="shared" ref="S131:S155" si="43">((N131-G131)/G131)</f>
        <v>8.1631329007064421E-2</v>
      </c>
      <c r="T131" s="81">
        <f t="shared" ref="T131:T155" si="44">((O131-H131)/H131)</f>
        <v>-2.8309899028026802E-4</v>
      </c>
      <c r="U131" s="81">
        <f t="shared" ref="U131:U155" si="45">P131-I131</f>
        <v>3.2437000000000005</v>
      </c>
      <c r="V131" s="83">
        <f t="shared" ref="V131:V155" si="46">Q131-J131</f>
        <v>1.1087999999999998</v>
      </c>
    </row>
    <row r="132" spans="1:24">
      <c r="A132" s="75">
        <v>109</v>
      </c>
      <c r="B132" s="114" t="s">
        <v>157</v>
      </c>
      <c r="C132" s="115" t="s">
        <v>91</v>
      </c>
      <c r="D132" s="4">
        <v>3564542037.3899999</v>
      </c>
      <c r="E132" s="3">
        <f t="shared" si="40"/>
        <v>7.5675751045137254E-2</v>
      </c>
      <c r="F132" s="4">
        <v>19.781199999999998</v>
      </c>
      <c r="G132" s="4">
        <v>20.021799999999999</v>
      </c>
      <c r="H132" s="60">
        <v>6269</v>
      </c>
      <c r="I132" s="5">
        <v>3.2800000000000003E-2</v>
      </c>
      <c r="J132" s="5">
        <v>7.2700000000000001E-2</v>
      </c>
      <c r="K132" s="4">
        <v>3774518002.5599999</v>
      </c>
      <c r="L132" s="16">
        <f t="shared" si="41"/>
        <v>7.599676749201259E-2</v>
      </c>
      <c r="M132" s="4">
        <v>20.5749</v>
      </c>
      <c r="N132" s="4">
        <v>20.8325</v>
      </c>
      <c r="O132" s="60">
        <v>6272</v>
      </c>
      <c r="P132" s="5">
        <v>6.54E-2</v>
      </c>
      <c r="Q132" s="5">
        <v>0.11600000000000001</v>
      </c>
      <c r="R132" s="81">
        <f t="shared" si="42"/>
        <v>5.8906856187266897E-2</v>
      </c>
      <c r="S132" s="81">
        <f t="shared" si="43"/>
        <v>4.0490864957196691E-2</v>
      </c>
      <c r="T132" s="81">
        <f t="shared" si="44"/>
        <v>4.785452225235285E-4</v>
      </c>
      <c r="U132" s="81">
        <f t="shared" si="45"/>
        <v>3.2599999999999997E-2</v>
      </c>
      <c r="V132" s="83">
        <f t="shared" si="46"/>
        <v>4.3300000000000005E-2</v>
      </c>
    </row>
    <row r="133" spans="1:24">
      <c r="A133" s="75">
        <v>110</v>
      </c>
      <c r="B133" s="114" t="s">
        <v>158</v>
      </c>
      <c r="C133" s="115" t="s">
        <v>101</v>
      </c>
      <c r="D133" s="2">
        <v>1457199190.51</v>
      </c>
      <c r="E133" s="3">
        <f t="shared" si="40"/>
        <v>3.0936552860786205E-2</v>
      </c>
      <c r="F133" s="4">
        <v>3.4049999999999998</v>
      </c>
      <c r="G133" s="4">
        <v>3.4954000000000001</v>
      </c>
      <c r="H133" s="60">
        <v>2754</v>
      </c>
      <c r="I133" s="5">
        <v>3.47</v>
      </c>
      <c r="J133" s="5">
        <v>2.9979</v>
      </c>
      <c r="K133" s="2">
        <v>1574269886.54</v>
      </c>
      <c r="L133" s="16">
        <f t="shared" si="41"/>
        <v>3.1696609330228151E-2</v>
      </c>
      <c r="M133" s="4">
        <v>3.6770999999999998</v>
      </c>
      <c r="N133" s="4">
        <v>3.7795000000000001</v>
      </c>
      <c r="O133" s="60">
        <v>2753</v>
      </c>
      <c r="P133" s="5">
        <v>4.2496999999999998</v>
      </c>
      <c r="Q133" s="5">
        <v>3.6185999999999998</v>
      </c>
      <c r="R133" s="81">
        <f t="shared" si="42"/>
        <v>8.0339528591850784E-2</v>
      </c>
      <c r="S133" s="81">
        <f t="shared" si="43"/>
        <v>8.1278251416146946E-2</v>
      </c>
      <c r="T133" s="81">
        <f t="shared" si="44"/>
        <v>-3.6310820624546115E-4</v>
      </c>
      <c r="U133" s="81">
        <f t="shared" si="45"/>
        <v>0.77969999999999962</v>
      </c>
      <c r="V133" s="83">
        <f t="shared" si="46"/>
        <v>0.62069999999999981</v>
      </c>
    </row>
    <row r="134" spans="1:24">
      <c r="A134" s="75">
        <v>111</v>
      </c>
      <c r="B134" s="114" t="s">
        <v>159</v>
      </c>
      <c r="C134" s="115" t="s">
        <v>56</v>
      </c>
      <c r="D134" s="2">
        <v>3466969109.0155602</v>
      </c>
      <c r="E134" s="3">
        <f t="shared" si="40"/>
        <v>7.3604263443376297E-2</v>
      </c>
      <c r="F134" s="4">
        <v>6374.4834389695498</v>
      </c>
      <c r="G134" s="4">
        <v>6427.2545324653001</v>
      </c>
      <c r="H134" s="60">
        <v>855</v>
      </c>
      <c r="I134" s="5">
        <v>2.134317945711564</v>
      </c>
      <c r="J134" s="5">
        <v>3.0934562702440886</v>
      </c>
      <c r="K134" s="2">
        <v>3675181890.9326501</v>
      </c>
      <c r="L134" s="16">
        <f t="shared" si="41"/>
        <v>7.3996717850234706E-2</v>
      </c>
      <c r="M134" s="4">
        <v>6538.2164875037897</v>
      </c>
      <c r="N134" s="4">
        <v>6590.5683828306301</v>
      </c>
      <c r="O134" s="60">
        <v>859</v>
      </c>
      <c r="P134" s="5">
        <v>1.342995001360322</v>
      </c>
      <c r="Q134" s="5">
        <v>2.4987332214923503</v>
      </c>
      <c r="R134" s="81">
        <f t="shared" si="42"/>
        <v>6.0056139922230689E-2</v>
      </c>
      <c r="S134" s="81">
        <f t="shared" si="43"/>
        <v>2.5409581889187714E-2</v>
      </c>
      <c r="T134" s="81">
        <f t="shared" si="44"/>
        <v>4.6783625730994153E-3</v>
      </c>
      <c r="U134" s="81">
        <f t="shared" si="45"/>
        <v>-0.79132294435124195</v>
      </c>
      <c r="V134" s="83">
        <f t="shared" si="46"/>
        <v>-0.59472304875173831</v>
      </c>
    </row>
    <row r="135" spans="1:24">
      <c r="A135" s="75">
        <v>112</v>
      </c>
      <c r="B135" s="114" t="s">
        <v>160</v>
      </c>
      <c r="C135" s="115" t="s">
        <v>58</v>
      </c>
      <c r="D135" s="4">
        <v>509859423.10000002</v>
      </c>
      <c r="E135" s="3">
        <f t="shared" si="40"/>
        <v>1.0824390445058283E-2</v>
      </c>
      <c r="F135" s="4">
        <v>184.42</v>
      </c>
      <c r="G135" s="4">
        <v>185.82</v>
      </c>
      <c r="H135" s="60">
        <v>644</v>
      </c>
      <c r="I135" s="5">
        <v>2.0799999999999999E-2</v>
      </c>
      <c r="J135" s="5">
        <v>6.6500000000000004E-2</v>
      </c>
      <c r="K135" s="4">
        <v>518633161.56</v>
      </c>
      <c r="L135" s="16">
        <f t="shared" si="41"/>
        <v>1.0442245543931854E-2</v>
      </c>
      <c r="M135" s="4">
        <v>186.65</v>
      </c>
      <c r="N135" s="4">
        <v>188.09</v>
      </c>
      <c r="O135" s="60">
        <v>647</v>
      </c>
      <c r="P135" s="5">
        <v>1.2200000000000001E-2</v>
      </c>
      <c r="Q135" s="5">
        <v>7.9500000000000001E-2</v>
      </c>
      <c r="R135" s="81">
        <f t="shared" si="42"/>
        <v>1.7208152016990698E-2</v>
      </c>
      <c r="S135" s="81">
        <f t="shared" si="43"/>
        <v>1.2216123129910722E-2</v>
      </c>
      <c r="T135" s="81">
        <f t="shared" si="44"/>
        <v>4.658385093167702E-3</v>
      </c>
      <c r="U135" s="81">
        <f t="shared" si="45"/>
        <v>-8.5999999999999983E-3</v>
      </c>
      <c r="V135" s="83">
        <f t="shared" si="46"/>
        <v>1.2999999999999998E-2</v>
      </c>
    </row>
    <row r="136" spans="1:24">
      <c r="A136" s="75">
        <v>113</v>
      </c>
      <c r="B136" s="114" t="s">
        <v>161</v>
      </c>
      <c r="C136" s="115" t="s">
        <v>60</v>
      </c>
      <c r="D136" s="4">
        <v>3734808.11</v>
      </c>
      <c r="E136" s="3">
        <f t="shared" si="40"/>
        <v>7.9290524776828798E-5</v>
      </c>
      <c r="F136" s="4">
        <v>102.747</v>
      </c>
      <c r="G136" s="4">
        <v>102.99</v>
      </c>
      <c r="H136" s="60">
        <v>0</v>
      </c>
      <c r="I136" s="5">
        <v>0</v>
      </c>
      <c r="J136" s="5">
        <v>0</v>
      </c>
      <c r="K136" s="4">
        <v>3734808.11</v>
      </c>
      <c r="L136" s="16">
        <f t="shared" si="41"/>
        <v>7.5197241971146521E-5</v>
      </c>
      <c r="M136" s="4">
        <v>102.747</v>
      </c>
      <c r="N136" s="4">
        <v>102.99</v>
      </c>
      <c r="O136" s="60">
        <v>0</v>
      </c>
      <c r="P136" s="5">
        <v>0</v>
      </c>
      <c r="Q136" s="5">
        <v>0</v>
      </c>
      <c r="R136" s="81">
        <f t="shared" si="42"/>
        <v>0</v>
      </c>
      <c r="S136" s="81">
        <f t="shared" si="43"/>
        <v>0</v>
      </c>
      <c r="T136" s="81" t="e">
        <f t="shared" si="44"/>
        <v>#DIV/0!</v>
      </c>
      <c r="U136" s="81">
        <f t="shared" si="45"/>
        <v>0</v>
      </c>
      <c r="V136" s="83">
        <f t="shared" si="46"/>
        <v>0</v>
      </c>
    </row>
    <row r="137" spans="1:24">
      <c r="A137" s="75">
        <v>114</v>
      </c>
      <c r="B137" s="114" t="s">
        <v>162</v>
      </c>
      <c r="C137" s="115" t="s">
        <v>105</v>
      </c>
      <c r="D137" s="4">
        <v>186329923.65000001</v>
      </c>
      <c r="E137" s="3">
        <f t="shared" si="40"/>
        <v>3.955811648870748E-3</v>
      </c>
      <c r="F137" s="4">
        <v>1.6343000000000001</v>
      </c>
      <c r="G137" s="4">
        <v>1.6509</v>
      </c>
      <c r="H137" s="60">
        <v>275</v>
      </c>
      <c r="I137" s="5">
        <v>2.0225981646794455E-2</v>
      </c>
      <c r="J137" s="5">
        <v>0.10031643439035887</v>
      </c>
      <c r="K137" s="4">
        <v>201451523.78999999</v>
      </c>
      <c r="L137" s="16">
        <f t="shared" si="41"/>
        <v>4.0560581785533314E-3</v>
      </c>
      <c r="M137" s="4">
        <v>1.6343000000000001</v>
      </c>
      <c r="N137" s="4">
        <v>1.6509</v>
      </c>
      <c r="O137" s="60">
        <v>276</v>
      </c>
      <c r="P137" s="5">
        <v>-4.0000000000000001E-3</v>
      </c>
      <c r="Q137" s="5">
        <v>7.2599999999999998E-2</v>
      </c>
      <c r="R137" s="81">
        <f t="shared" si="42"/>
        <v>8.1154974165095595E-2</v>
      </c>
      <c r="S137" s="81">
        <f t="shared" si="43"/>
        <v>0</v>
      </c>
      <c r="T137" s="81">
        <f t="shared" si="44"/>
        <v>3.6363636363636364E-3</v>
      </c>
      <c r="U137" s="81">
        <f t="shared" si="45"/>
        <v>-2.4225981646794455E-2</v>
      </c>
      <c r="V137" s="83">
        <f t="shared" si="46"/>
        <v>-2.7716434390358868E-2</v>
      </c>
    </row>
    <row r="138" spans="1:24">
      <c r="A138" s="75">
        <v>115</v>
      </c>
      <c r="B138" s="114" t="s">
        <v>163</v>
      </c>
      <c r="C138" s="115" t="s">
        <v>25</v>
      </c>
      <c r="D138" s="9">
        <v>147459002.44</v>
      </c>
      <c r="E138" s="3">
        <f t="shared" si="40"/>
        <v>3.1305762818789845E-3</v>
      </c>
      <c r="F138" s="4">
        <v>137.6294</v>
      </c>
      <c r="G138" s="4">
        <v>138.27869999999999</v>
      </c>
      <c r="H138" s="60">
        <v>83</v>
      </c>
      <c r="I138" s="5">
        <v>5.1980000000000004E-3</v>
      </c>
      <c r="J138" s="5">
        <v>7.0900000000000005E-2</v>
      </c>
      <c r="K138" s="9">
        <v>164966087.37</v>
      </c>
      <c r="L138" s="16">
        <f t="shared" si="41"/>
        <v>3.3214543889900647E-3</v>
      </c>
      <c r="M138" s="4">
        <v>149.32640000000001</v>
      </c>
      <c r="N138" s="4">
        <v>150.01079999999999</v>
      </c>
      <c r="O138" s="60">
        <v>86</v>
      </c>
      <c r="P138" s="5">
        <v>9.5849999999999998E-3</v>
      </c>
      <c r="Q138" s="5">
        <v>0.32369999999999999</v>
      </c>
      <c r="R138" s="81">
        <f t="shared" si="42"/>
        <v>0.11872510080978958</v>
      </c>
      <c r="S138" s="81">
        <f t="shared" si="43"/>
        <v>8.4843869663223645E-2</v>
      </c>
      <c r="T138" s="81">
        <f t="shared" si="44"/>
        <v>3.614457831325301E-2</v>
      </c>
      <c r="U138" s="81">
        <f t="shared" si="45"/>
        <v>4.3869999999999994E-3</v>
      </c>
      <c r="V138" s="83">
        <f t="shared" si="46"/>
        <v>0.25279999999999997</v>
      </c>
    </row>
    <row r="139" spans="1:24">
      <c r="A139" s="75">
        <v>116</v>
      </c>
      <c r="B139" s="114" t="s">
        <v>164</v>
      </c>
      <c r="C139" s="115" t="s">
        <v>64</v>
      </c>
      <c r="D139" s="9">
        <v>198456867.66999999</v>
      </c>
      <c r="E139" s="3">
        <f t="shared" si="40"/>
        <v>4.2132684517277559E-3</v>
      </c>
      <c r="F139" s="4">
        <v>111.04</v>
      </c>
      <c r="G139" s="4">
        <v>111.43</v>
      </c>
      <c r="H139" s="60">
        <v>29</v>
      </c>
      <c r="I139" s="5">
        <v>-5.5999999999999999E-3</v>
      </c>
      <c r="J139" s="5">
        <v>7.0800000000000002E-2</v>
      </c>
      <c r="K139" s="9">
        <v>185138038.88999999</v>
      </c>
      <c r="L139" s="16">
        <f t="shared" si="41"/>
        <v>3.7275997851667041E-3</v>
      </c>
      <c r="M139" s="4">
        <v>107.34</v>
      </c>
      <c r="N139" s="4">
        <v>107.52</v>
      </c>
      <c r="O139" s="60">
        <v>31</v>
      </c>
      <c r="P139" s="5">
        <v>1.7600000000000001E-2</v>
      </c>
      <c r="Q139" s="5">
        <v>3.4200000000000001E-2</v>
      </c>
      <c r="R139" s="81">
        <f t="shared" si="42"/>
        <v>-6.7111957053292551E-2</v>
      </c>
      <c r="S139" s="81">
        <f t="shared" si="43"/>
        <v>-3.5089293727003597E-2</v>
      </c>
      <c r="T139" s="81">
        <f t="shared" si="44"/>
        <v>6.8965517241379309E-2</v>
      </c>
      <c r="U139" s="81">
        <f t="shared" si="45"/>
        <v>2.3200000000000002E-2</v>
      </c>
      <c r="V139" s="83">
        <f t="shared" si="46"/>
        <v>-3.6600000000000001E-2</v>
      </c>
    </row>
    <row r="140" spans="1:24" ht="15.75" customHeight="1">
      <c r="A140" s="75">
        <v>117</v>
      </c>
      <c r="B140" s="114" t="s">
        <v>165</v>
      </c>
      <c r="C140" s="115" t="s">
        <v>67</v>
      </c>
      <c r="D140" s="2">
        <v>517258629.29000002</v>
      </c>
      <c r="E140" s="3">
        <f t="shared" si="40"/>
        <v>1.0981476679332596E-2</v>
      </c>
      <c r="F140" s="4">
        <v>1.4109</v>
      </c>
      <c r="G140" s="4">
        <v>1.4109</v>
      </c>
      <c r="H140" s="60">
        <v>103</v>
      </c>
      <c r="I140" s="5">
        <v>3.3399999999999999E-2</v>
      </c>
      <c r="J140" s="5">
        <v>0.29530000000000001</v>
      </c>
      <c r="K140" s="2">
        <v>510792697.36000001</v>
      </c>
      <c r="L140" s="16">
        <f t="shared" si="41"/>
        <v>1.0284384345645683E-2</v>
      </c>
      <c r="M140" s="4">
        <v>1.5347999999999999</v>
      </c>
      <c r="N140" s="4">
        <v>1.5347999999999999</v>
      </c>
      <c r="O140" s="60">
        <v>103</v>
      </c>
      <c r="P140" s="5">
        <v>8.5757271815446443E-2</v>
      </c>
      <c r="Q140" s="5">
        <v>0.81203312254504589</v>
      </c>
      <c r="R140" s="81">
        <f t="shared" si="42"/>
        <v>-1.2500384843990481E-2</v>
      </c>
      <c r="S140" s="81">
        <f t="shared" si="43"/>
        <v>8.781628747607903E-2</v>
      </c>
      <c r="T140" s="81">
        <f t="shared" si="44"/>
        <v>0</v>
      </c>
      <c r="U140" s="81">
        <f t="shared" si="45"/>
        <v>5.2357271815446443E-2</v>
      </c>
      <c r="V140" s="83">
        <f t="shared" si="46"/>
        <v>0.51673312254504589</v>
      </c>
      <c r="X140" s="104"/>
    </row>
    <row r="141" spans="1:24">
      <c r="A141" s="75">
        <v>118</v>
      </c>
      <c r="B141" s="114" t="s">
        <v>166</v>
      </c>
      <c r="C141" s="115" t="s">
        <v>27</v>
      </c>
      <c r="D141" s="4">
        <v>7937165189.25</v>
      </c>
      <c r="E141" s="3">
        <f t="shared" si="40"/>
        <v>0.16850718284854804</v>
      </c>
      <c r="F141" s="4">
        <v>291.17</v>
      </c>
      <c r="G141" s="4">
        <v>293.81</v>
      </c>
      <c r="H141" s="60">
        <v>5480</v>
      </c>
      <c r="I141" s="5">
        <v>2.35E-2</v>
      </c>
      <c r="J141" s="5">
        <v>7.6799999999999993E-2</v>
      </c>
      <c r="K141" s="4">
        <v>8253512087.2600002</v>
      </c>
      <c r="L141" s="16">
        <f t="shared" si="41"/>
        <v>0.16617757251723245</v>
      </c>
      <c r="M141" s="4">
        <v>301.48</v>
      </c>
      <c r="N141" s="4">
        <v>304.27</v>
      </c>
      <c r="O141" s="60">
        <v>5482</v>
      </c>
      <c r="P141" s="5">
        <v>3.5499999999999997E-2</v>
      </c>
      <c r="Q141" s="5">
        <v>0.1149</v>
      </c>
      <c r="R141" s="81">
        <f t="shared" si="42"/>
        <v>3.9856408486805418E-2</v>
      </c>
      <c r="S141" s="81">
        <f t="shared" si="43"/>
        <v>3.5601238895885026E-2</v>
      </c>
      <c r="T141" s="81">
        <f t="shared" si="44"/>
        <v>3.6496350364963501E-4</v>
      </c>
      <c r="U141" s="81">
        <f t="shared" si="45"/>
        <v>1.1999999999999997E-2</v>
      </c>
      <c r="V141" s="83">
        <f t="shared" si="46"/>
        <v>3.8100000000000009E-2</v>
      </c>
    </row>
    <row r="142" spans="1:24">
      <c r="A142" s="75">
        <v>119</v>
      </c>
      <c r="B142" s="114" t="s">
        <v>167</v>
      </c>
      <c r="C142" s="115" t="s">
        <v>72</v>
      </c>
      <c r="D142" s="4">
        <v>2666931013.4000001</v>
      </c>
      <c r="E142" s="3">
        <f t="shared" si="40"/>
        <v>5.6619337156812014E-2</v>
      </c>
      <c r="F142" s="4">
        <v>1.8567</v>
      </c>
      <c r="G142" s="4">
        <v>1.8914</v>
      </c>
      <c r="H142" s="60">
        <v>10319</v>
      </c>
      <c r="I142" s="5">
        <v>2.3400000000000001E-2</v>
      </c>
      <c r="J142" s="5">
        <v>6.5299999999999997E-2</v>
      </c>
      <c r="K142" s="4">
        <v>2803510219.4299998</v>
      </c>
      <c r="L142" s="16">
        <f t="shared" si="41"/>
        <v>5.6446336767502568E-2</v>
      </c>
      <c r="M142" s="4">
        <v>1.9499</v>
      </c>
      <c r="N142" s="4">
        <v>1.9883999999999999</v>
      </c>
      <c r="O142" s="60">
        <v>10319</v>
      </c>
      <c r="P142" s="5">
        <v>5.0799999999999998E-2</v>
      </c>
      <c r="Q142" s="5">
        <v>0.1195</v>
      </c>
      <c r="R142" s="81">
        <f t="shared" si="42"/>
        <v>5.1212125601958675E-2</v>
      </c>
      <c r="S142" s="81">
        <f t="shared" si="43"/>
        <v>5.1284762609707081E-2</v>
      </c>
      <c r="T142" s="81">
        <f t="shared" si="44"/>
        <v>0</v>
      </c>
      <c r="U142" s="81">
        <f t="shared" si="45"/>
        <v>2.7399999999999997E-2</v>
      </c>
      <c r="V142" s="83">
        <f t="shared" si="46"/>
        <v>5.4199999999999998E-2</v>
      </c>
    </row>
    <row r="143" spans="1:24">
      <c r="A143" s="75">
        <v>120</v>
      </c>
      <c r="B143" s="114" t="s">
        <v>168</v>
      </c>
      <c r="C143" s="115" t="s">
        <v>74</v>
      </c>
      <c r="D143" s="4">
        <v>201827979.06999999</v>
      </c>
      <c r="E143" s="3">
        <f t="shared" si="40"/>
        <v>4.2848376419283071E-3</v>
      </c>
      <c r="F143" s="4">
        <v>262.61</v>
      </c>
      <c r="G143" s="4">
        <v>273.93</v>
      </c>
      <c r="H143" s="60">
        <v>60</v>
      </c>
      <c r="I143" s="5">
        <v>1.06E-2</v>
      </c>
      <c r="J143" s="5">
        <v>1.1877</v>
      </c>
      <c r="K143" s="4">
        <v>209789753.18000001</v>
      </c>
      <c r="L143" s="16">
        <f t="shared" si="41"/>
        <v>4.2239414632050717E-3</v>
      </c>
      <c r="M143" s="4">
        <v>272.97000000000003</v>
      </c>
      <c r="N143" s="4">
        <v>278.47000000000003</v>
      </c>
      <c r="O143" s="60">
        <v>183</v>
      </c>
      <c r="P143" s="5">
        <v>3.9450135181447799E-2</v>
      </c>
      <c r="Q143" s="5">
        <v>1.2738025822573928</v>
      </c>
      <c r="R143" s="81">
        <f t="shared" si="42"/>
        <v>3.9448317060334991E-2</v>
      </c>
      <c r="S143" s="81">
        <f t="shared" si="43"/>
        <v>1.6573577191253314E-2</v>
      </c>
      <c r="T143" s="81">
        <f t="shared" si="44"/>
        <v>2.0499999999999998</v>
      </c>
      <c r="U143" s="81">
        <f t="shared" si="45"/>
        <v>2.88501351814478E-2</v>
      </c>
      <c r="V143" s="83">
        <f t="shared" si="46"/>
        <v>8.6102582257392868E-2</v>
      </c>
    </row>
    <row r="144" spans="1:24" ht="13.5" customHeight="1">
      <c r="A144" s="75">
        <v>121</v>
      </c>
      <c r="B144" s="114" t="s">
        <v>240</v>
      </c>
      <c r="C144" s="115" t="s">
        <v>32</v>
      </c>
      <c r="D144" s="2">
        <v>2813186463.9133</v>
      </c>
      <c r="E144" s="3">
        <f t="shared" si="40"/>
        <v>5.9724361854498843E-2</v>
      </c>
      <c r="F144" s="4">
        <v>3.9009999999999998</v>
      </c>
      <c r="G144" s="4">
        <v>3.9796999999999998</v>
      </c>
      <c r="H144" s="60">
        <v>2289</v>
      </c>
      <c r="I144" s="5">
        <v>4.0516390600410679E-2</v>
      </c>
      <c r="J144" s="5">
        <v>7.2498831550875442E-2</v>
      </c>
      <c r="K144" s="2">
        <v>2852382265.8174</v>
      </c>
      <c r="L144" s="16">
        <f t="shared" si="41"/>
        <v>5.7430334603423096E-2</v>
      </c>
      <c r="M144" s="4">
        <v>3.9548999999999999</v>
      </c>
      <c r="N144" s="4">
        <v>4.0357000000000003</v>
      </c>
      <c r="O144" s="60">
        <v>2289</v>
      </c>
      <c r="P144" s="5">
        <v>1.3816970007690443E-2</v>
      </c>
      <c r="Q144" s="5">
        <v>8.7317515739697038E-2</v>
      </c>
      <c r="R144" s="81">
        <f t="shared" si="42"/>
        <v>1.3932884437946706E-2</v>
      </c>
      <c r="S144" s="81">
        <f t="shared" si="43"/>
        <v>1.4071412418021585E-2</v>
      </c>
      <c r="T144" s="81">
        <f t="shared" si="44"/>
        <v>0</v>
      </c>
      <c r="U144" s="81">
        <f t="shared" si="45"/>
        <v>-2.6699420592720235E-2</v>
      </c>
      <c r="V144" s="83">
        <f>Q144-J144</f>
        <v>1.4818684188821596E-2</v>
      </c>
    </row>
    <row r="145" spans="1:22">
      <c r="A145" s="75">
        <v>122</v>
      </c>
      <c r="B145" s="114" t="s">
        <v>169</v>
      </c>
      <c r="C145" s="115" t="s">
        <v>114</v>
      </c>
      <c r="D145" s="2">
        <v>193088452.27000001</v>
      </c>
      <c r="E145" s="3">
        <f t="shared" si="40"/>
        <v>4.0992962042255927E-3</v>
      </c>
      <c r="F145" s="4">
        <v>192.33838800000001</v>
      </c>
      <c r="G145" s="4">
        <v>198.3134</v>
      </c>
      <c r="H145" s="60">
        <v>139</v>
      </c>
      <c r="I145" s="5">
        <v>1.24E-2</v>
      </c>
      <c r="J145" s="5">
        <v>7.1099999999999997E-2</v>
      </c>
      <c r="K145" s="2">
        <v>203885852.61000001</v>
      </c>
      <c r="L145" s="16">
        <f t="shared" si="41"/>
        <v>4.1050713561847996E-3</v>
      </c>
      <c r="M145" s="4">
        <v>203.09384600000001</v>
      </c>
      <c r="N145" s="4">
        <v>209.14531299999999</v>
      </c>
      <c r="O145" s="60">
        <v>139</v>
      </c>
      <c r="P145" s="5">
        <v>3.9E-2</v>
      </c>
      <c r="Q145" s="5">
        <v>0.12959999999999999</v>
      </c>
      <c r="R145" s="81">
        <f t="shared" si="42"/>
        <v>5.591945149004432E-2</v>
      </c>
      <c r="S145" s="81">
        <f t="shared" si="43"/>
        <v>5.4620176952238156E-2</v>
      </c>
      <c r="T145" s="81">
        <f t="shared" si="44"/>
        <v>0</v>
      </c>
      <c r="U145" s="81">
        <f t="shared" si="45"/>
        <v>2.6599999999999999E-2</v>
      </c>
      <c r="V145" s="83">
        <f t="shared" si="46"/>
        <v>5.8499999999999996E-2</v>
      </c>
    </row>
    <row r="146" spans="1:22">
      <c r="A146" s="75">
        <v>123</v>
      </c>
      <c r="B146" s="114" t="s">
        <v>170</v>
      </c>
      <c r="C146" s="115" t="s">
        <v>29</v>
      </c>
      <c r="D146" s="2">
        <v>1565068013.04</v>
      </c>
      <c r="E146" s="3">
        <f t="shared" si="40"/>
        <v>3.3226623807821369E-2</v>
      </c>
      <c r="F146" s="4">
        <v>552.22</v>
      </c>
      <c r="G146" s="4">
        <v>552.22</v>
      </c>
      <c r="H146" s="60">
        <v>818</v>
      </c>
      <c r="I146" s="5">
        <v>1.0813E-2</v>
      </c>
      <c r="J146" s="5">
        <v>1.027E-2</v>
      </c>
      <c r="K146" s="2">
        <v>1682135147.1300001</v>
      </c>
      <c r="L146" s="16">
        <f t="shared" ref="L146:L154" si="47">(K146/$K$155)</f>
        <v>3.3868386262796452E-2</v>
      </c>
      <c r="M146" s="4">
        <v>552.22</v>
      </c>
      <c r="N146" s="4">
        <v>552.22</v>
      </c>
      <c r="O146" s="60">
        <v>818</v>
      </c>
      <c r="P146" s="5">
        <v>7.4800000000000005E-2</v>
      </c>
      <c r="Q146" s="5">
        <v>7.5999999999999998E-2</v>
      </c>
      <c r="R146" s="81">
        <f t="shared" si="42"/>
        <v>7.4800029848292704E-2</v>
      </c>
      <c r="S146" s="81">
        <f t="shared" si="43"/>
        <v>0</v>
      </c>
      <c r="T146" s="81">
        <f t="shared" si="44"/>
        <v>0</v>
      </c>
      <c r="U146" s="81">
        <f t="shared" si="45"/>
        <v>6.3987000000000002E-2</v>
      </c>
      <c r="V146" s="83">
        <f t="shared" si="46"/>
        <v>6.5729999999999997E-2</v>
      </c>
    </row>
    <row r="147" spans="1:22">
      <c r="A147" s="75">
        <v>124</v>
      </c>
      <c r="B147" s="114" t="s">
        <v>171</v>
      </c>
      <c r="C147" s="115" t="s">
        <v>80</v>
      </c>
      <c r="D147" s="4">
        <v>28875802.940000001</v>
      </c>
      <c r="E147" s="3">
        <f t="shared" si="40"/>
        <v>6.1303753794860849E-4</v>
      </c>
      <c r="F147" s="4">
        <v>1.75</v>
      </c>
      <c r="G147" s="4">
        <v>1.75</v>
      </c>
      <c r="H147" s="60">
        <v>8</v>
      </c>
      <c r="I147" s="5">
        <v>3.0785E-2</v>
      </c>
      <c r="J147" s="5">
        <v>7.4690000000000006E-2</v>
      </c>
      <c r="K147" s="4">
        <v>30431523.149999999</v>
      </c>
      <c r="L147" s="16">
        <f t="shared" si="47"/>
        <v>6.1271330211958247E-4</v>
      </c>
      <c r="M147" s="4">
        <v>1.84</v>
      </c>
      <c r="N147" s="4">
        <v>1.84</v>
      </c>
      <c r="O147" s="60">
        <v>8</v>
      </c>
      <c r="P147" s="5">
        <v>5.3876E-2</v>
      </c>
      <c r="Q147" s="5">
        <v>0.13259000000000001</v>
      </c>
      <c r="R147" s="81">
        <f t="shared" si="42"/>
        <v>5.387625802934632E-2</v>
      </c>
      <c r="S147" s="81">
        <f t="shared" si="43"/>
        <v>5.1428571428571476E-2</v>
      </c>
      <c r="T147" s="81">
        <f t="shared" si="44"/>
        <v>0</v>
      </c>
      <c r="U147" s="81">
        <f t="shared" si="45"/>
        <v>2.3091E-2</v>
      </c>
      <c r="V147" s="83">
        <f t="shared" si="46"/>
        <v>5.7900000000000007E-2</v>
      </c>
    </row>
    <row r="148" spans="1:22">
      <c r="A148" s="75">
        <v>125</v>
      </c>
      <c r="B148" s="114" t="s">
        <v>172</v>
      </c>
      <c r="C148" s="115" t="s">
        <v>38</v>
      </c>
      <c r="D148" s="4">
        <v>252796060.40000001</v>
      </c>
      <c r="E148" s="3">
        <f t="shared" si="40"/>
        <v>5.3668974952051579E-3</v>
      </c>
      <c r="F148" s="4">
        <v>2.5499999999999998</v>
      </c>
      <c r="G148" s="4">
        <v>2.6</v>
      </c>
      <c r="H148" s="60">
        <v>116</v>
      </c>
      <c r="I148" s="5">
        <v>0</v>
      </c>
      <c r="J148" s="5">
        <v>1E-3</v>
      </c>
      <c r="K148" s="4">
        <v>277126658.38</v>
      </c>
      <c r="L148" s="16">
        <f t="shared" si="47"/>
        <v>5.5797138094080346E-3</v>
      </c>
      <c r="M148" s="4">
        <v>0.01</v>
      </c>
      <c r="N148" s="4">
        <v>0.16</v>
      </c>
      <c r="O148" s="60">
        <v>116</v>
      </c>
      <c r="P148" s="5">
        <v>0</v>
      </c>
      <c r="Q148" s="5">
        <v>1E-3</v>
      </c>
      <c r="R148" s="81">
        <f t="shared" si="42"/>
        <v>9.624595391835461E-2</v>
      </c>
      <c r="S148" s="81">
        <f t="shared" si="43"/>
        <v>-0.93846153846153846</v>
      </c>
      <c r="T148" s="81">
        <v>1.1200000000000001</v>
      </c>
      <c r="U148" s="81">
        <f t="shared" si="45"/>
        <v>0</v>
      </c>
      <c r="V148" s="83">
        <f t="shared" si="46"/>
        <v>0</v>
      </c>
    </row>
    <row r="149" spans="1:22">
      <c r="A149" s="75">
        <v>126</v>
      </c>
      <c r="B149" s="114" t="s">
        <v>173</v>
      </c>
      <c r="C149" s="115" t="s">
        <v>42</v>
      </c>
      <c r="D149" s="2">
        <v>2574167863.4099998</v>
      </c>
      <c r="E149" s="3">
        <f t="shared" si="40"/>
        <v>5.4649961856655348E-2</v>
      </c>
      <c r="F149" s="4">
        <v>5330.99</v>
      </c>
      <c r="G149" s="4">
        <v>5378.01</v>
      </c>
      <c r="H149" s="60">
        <v>3763</v>
      </c>
      <c r="I149" s="5">
        <v>2.3400000000000001E-2</v>
      </c>
      <c r="J149" s="5">
        <v>7.1099999999999997E-2</v>
      </c>
      <c r="K149" s="2">
        <v>2892376875.8699999</v>
      </c>
      <c r="L149" s="3">
        <f t="shared" si="47"/>
        <v>5.8235592673205695E-2</v>
      </c>
      <c r="M149" s="4">
        <v>5606.23</v>
      </c>
      <c r="N149" s="4">
        <v>5654.54</v>
      </c>
      <c r="O149" s="60">
        <v>3836</v>
      </c>
      <c r="P149" s="5">
        <v>5.1400000000000001E-2</v>
      </c>
      <c r="Q149" s="5">
        <v>0.12609999999999999</v>
      </c>
      <c r="R149" s="81">
        <f t="shared" si="42"/>
        <v>0.12361626333042189</v>
      </c>
      <c r="S149" s="81">
        <f t="shared" si="43"/>
        <v>5.1418647417911037E-2</v>
      </c>
      <c r="T149" s="81">
        <f t="shared" si="44"/>
        <v>1.9399415360085038E-2</v>
      </c>
      <c r="U149" s="81">
        <f t="shared" si="45"/>
        <v>2.8000000000000001E-2</v>
      </c>
      <c r="V149" s="83">
        <f t="shared" si="46"/>
        <v>5.4999999999999993E-2</v>
      </c>
    </row>
    <row r="150" spans="1:22">
      <c r="A150" s="75">
        <v>127</v>
      </c>
      <c r="B150" s="114" t="s">
        <v>259</v>
      </c>
      <c r="C150" s="114" t="s">
        <v>260</v>
      </c>
      <c r="D150" s="2">
        <v>592791946.29999995</v>
      </c>
      <c r="E150" s="3">
        <f t="shared" si="40"/>
        <v>1.2585060094454146E-2</v>
      </c>
      <c r="F150" s="4">
        <v>1.17</v>
      </c>
      <c r="G150" s="4">
        <v>1.17</v>
      </c>
      <c r="H150" s="60">
        <v>32</v>
      </c>
      <c r="I150" s="5">
        <v>0</v>
      </c>
      <c r="J150" s="5">
        <v>0.19872330379945261</v>
      </c>
      <c r="K150" s="2">
        <v>594469335.13</v>
      </c>
      <c r="L150" s="3">
        <f t="shared" si="47"/>
        <v>1.1969143560148584E-2</v>
      </c>
      <c r="M150" s="4">
        <v>1.17</v>
      </c>
      <c r="N150" s="4">
        <v>1.17</v>
      </c>
      <c r="O150" s="60">
        <v>32</v>
      </c>
      <c r="P150" s="5">
        <v>0</v>
      </c>
      <c r="Q150" s="5">
        <v>0.1537043185341026</v>
      </c>
      <c r="R150" s="81">
        <f>((K150-D150)/D150)</f>
        <v>2.8296417326006493E-3</v>
      </c>
      <c r="S150" s="81">
        <f>((N150-G150)/G150)</f>
        <v>0</v>
      </c>
      <c r="T150" s="81">
        <f>((O150-H150)/H150)</f>
        <v>0</v>
      </c>
      <c r="U150" s="81">
        <f>P150-I150</f>
        <v>0</v>
      </c>
      <c r="V150" s="83">
        <f>Q150-J150</f>
        <v>-4.5018985265350003E-2</v>
      </c>
    </row>
    <row r="151" spans="1:22">
      <c r="A151" s="75">
        <v>128</v>
      </c>
      <c r="B151" s="114" t="s">
        <v>174</v>
      </c>
      <c r="C151" s="115" t="s">
        <v>45</v>
      </c>
      <c r="D151" s="4">
        <v>1842220924.9300001</v>
      </c>
      <c r="E151" s="3">
        <f t="shared" si="40"/>
        <v>3.9110620837908228E-2</v>
      </c>
      <c r="F151" s="4">
        <v>2.0106999999999999</v>
      </c>
      <c r="G151" s="4">
        <v>2.0255999999999998</v>
      </c>
      <c r="H151" s="60">
        <v>1963</v>
      </c>
      <c r="I151" s="5">
        <v>1.4800000000000001E-2</v>
      </c>
      <c r="J151" s="5">
        <v>8.7300000000000003E-2</v>
      </c>
      <c r="K151" s="4">
        <v>1939144447.5899999</v>
      </c>
      <c r="L151" s="16">
        <f t="shared" si="47"/>
        <v>3.9043053872567096E-2</v>
      </c>
      <c r="M151" s="4">
        <v>2.1011000000000002</v>
      </c>
      <c r="N151" s="4">
        <v>2.1168</v>
      </c>
      <c r="O151" s="60">
        <v>1970</v>
      </c>
      <c r="P151" s="5">
        <v>4.4999999999999998E-2</v>
      </c>
      <c r="Q151" s="5">
        <v>0.13619999999999999</v>
      </c>
      <c r="R151" s="81">
        <f t="shared" si="42"/>
        <v>5.2612323173824936E-2</v>
      </c>
      <c r="S151" s="81">
        <f t="shared" si="43"/>
        <v>4.5023696682464545E-2</v>
      </c>
      <c r="T151" s="81">
        <f t="shared" si="44"/>
        <v>3.5659704533876719E-3</v>
      </c>
      <c r="U151" s="81">
        <f t="shared" si="45"/>
        <v>3.0199999999999998E-2</v>
      </c>
      <c r="V151" s="83">
        <f t="shared" si="46"/>
        <v>4.8899999999999985E-2</v>
      </c>
    </row>
    <row r="152" spans="1:22">
      <c r="A152" s="75">
        <v>129</v>
      </c>
      <c r="B152" s="114" t="s">
        <v>175</v>
      </c>
      <c r="C152" s="115" t="s">
        <v>45</v>
      </c>
      <c r="D152" s="4">
        <v>962414514.04999995</v>
      </c>
      <c r="E152" s="3">
        <f t="shared" si="40"/>
        <v>2.0432201501206757E-2</v>
      </c>
      <c r="F152" s="4">
        <v>1.5428999999999999</v>
      </c>
      <c r="G152" s="4">
        <v>1.5545</v>
      </c>
      <c r="H152" s="60">
        <v>489</v>
      </c>
      <c r="I152" s="5">
        <v>2.1499999999999998E-2</v>
      </c>
      <c r="J152" s="5">
        <v>8.4500000000000006E-2</v>
      </c>
      <c r="K152" s="4">
        <v>1063955413.4299999</v>
      </c>
      <c r="L152" s="16">
        <f t="shared" si="47"/>
        <v>2.142185363044179E-2</v>
      </c>
      <c r="M152" s="4">
        <v>1.6652</v>
      </c>
      <c r="N152" s="4">
        <v>1.6781999999999999</v>
      </c>
      <c r="O152" s="60">
        <v>490</v>
      </c>
      <c r="P152" s="5">
        <v>7.9299999999999995E-2</v>
      </c>
      <c r="Q152" s="5">
        <v>0.17050000000000001</v>
      </c>
      <c r="R152" s="81">
        <f t="shared" si="42"/>
        <v>0.10550640903439729</v>
      </c>
      <c r="S152" s="81">
        <f t="shared" si="43"/>
        <v>7.9575426182052059E-2</v>
      </c>
      <c r="T152" s="81">
        <f t="shared" si="44"/>
        <v>2.0449897750511249E-3</v>
      </c>
      <c r="U152" s="81">
        <f t="shared" si="45"/>
        <v>5.7799999999999997E-2</v>
      </c>
      <c r="V152" s="83">
        <f t="shared" si="46"/>
        <v>8.6000000000000007E-2</v>
      </c>
    </row>
    <row r="153" spans="1:22">
      <c r="A153" s="75">
        <v>130</v>
      </c>
      <c r="B153" s="114" t="s">
        <v>176</v>
      </c>
      <c r="C153" s="115" t="s">
        <v>87</v>
      </c>
      <c r="D153" s="4">
        <v>7718678677.3199997</v>
      </c>
      <c r="E153" s="3">
        <f t="shared" si="40"/>
        <v>0.16386868210704983</v>
      </c>
      <c r="F153" s="4">
        <v>377.85</v>
      </c>
      <c r="G153" s="4">
        <v>382.41</v>
      </c>
      <c r="H153" s="60">
        <v>29</v>
      </c>
      <c r="I153" s="5">
        <v>8.6999999999999994E-2</v>
      </c>
      <c r="J153" s="5">
        <v>8.6900000000000005E-2</v>
      </c>
      <c r="K153" s="4">
        <v>7946692558.54</v>
      </c>
      <c r="L153" s="16">
        <f t="shared" si="47"/>
        <v>0.16000001756310897</v>
      </c>
      <c r="M153" s="4">
        <v>390.2</v>
      </c>
      <c r="N153" s="4">
        <v>394.95</v>
      </c>
      <c r="O153" s="60">
        <v>29</v>
      </c>
      <c r="P153" s="5">
        <v>3.2800000000000003E-2</v>
      </c>
      <c r="Q153" s="5">
        <v>0.1225</v>
      </c>
      <c r="R153" s="81">
        <f t="shared" si="42"/>
        <v>2.9540532875138276E-2</v>
      </c>
      <c r="S153" s="81">
        <f t="shared" si="43"/>
        <v>3.2792029497136485E-2</v>
      </c>
      <c r="T153" s="81">
        <f t="shared" si="44"/>
        <v>0</v>
      </c>
      <c r="U153" s="81">
        <f t="shared" si="45"/>
        <v>-5.4199999999999991E-2</v>
      </c>
      <c r="V153" s="83">
        <f t="shared" si="46"/>
        <v>3.5599999999999993E-2</v>
      </c>
    </row>
    <row r="154" spans="1:22">
      <c r="A154" s="75">
        <v>131</v>
      </c>
      <c r="B154" s="114" t="s">
        <v>177</v>
      </c>
      <c r="C154" s="115" t="s">
        <v>40</v>
      </c>
      <c r="D154" s="2">
        <v>317850140.43000001</v>
      </c>
      <c r="E154" s="3">
        <f t="shared" si="40"/>
        <v>6.7480051699586319E-3</v>
      </c>
      <c r="F154" s="4">
        <v>219.95</v>
      </c>
      <c r="G154" s="4">
        <v>223.53</v>
      </c>
      <c r="H154" s="60">
        <v>689</v>
      </c>
      <c r="I154" s="5">
        <v>2.8899999999999999E-2</v>
      </c>
      <c r="J154" s="5">
        <v>7.4200000000000002E-2</v>
      </c>
      <c r="K154" s="2">
        <v>331936197.33999997</v>
      </c>
      <c r="L154" s="16">
        <f t="shared" si="47"/>
        <v>6.6832580992650303E-3</v>
      </c>
      <c r="M154" s="4">
        <v>229.75</v>
      </c>
      <c r="N154" s="4">
        <v>232.87</v>
      </c>
      <c r="O154" s="60">
        <v>691</v>
      </c>
      <c r="P154" s="5">
        <v>4.2999999999999997E-2</v>
      </c>
      <c r="Q154" s="5">
        <v>0.1221</v>
      </c>
      <c r="R154" s="81">
        <f t="shared" si="42"/>
        <v>4.4316660961495259E-2</v>
      </c>
      <c r="S154" s="81">
        <f t="shared" si="43"/>
        <v>4.1784100568156415E-2</v>
      </c>
      <c r="T154" s="81">
        <f t="shared" si="44"/>
        <v>2.9027576197387518E-3</v>
      </c>
      <c r="U154" s="81">
        <f t="shared" si="45"/>
        <v>1.4099999999999998E-2</v>
      </c>
      <c r="V154" s="83">
        <f t="shared" si="46"/>
        <v>4.7899999999999998E-2</v>
      </c>
    </row>
    <row r="155" spans="1:22">
      <c r="A155" s="84"/>
      <c r="B155" s="19"/>
      <c r="C155" s="71" t="s">
        <v>46</v>
      </c>
      <c r="D155" s="72">
        <f>SUM(D129:D154)</f>
        <v>47102830010.420479</v>
      </c>
      <c r="E155" s="99">
        <f>(D155/$D$181)</f>
        <v>2.1234662595405719E-2</v>
      </c>
      <c r="F155" s="30"/>
      <c r="G155" s="36"/>
      <c r="H155" s="65">
        <f>SUM(H129:H154)</f>
        <v>70406</v>
      </c>
      <c r="I155" s="37"/>
      <c r="J155" s="37"/>
      <c r="K155" s="72">
        <f>SUM(K129:K154)</f>
        <v>49666823038.976089</v>
      </c>
      <c r="L155" s="99">
        <f>(K155/$K$181)</f>
        <v>2.2418173825798172E-2</v>
      </c>
      <c r="M155" s="30"/>
      <c r="N155" s="36"/>
      <c r="O155" s="65">
        <f>SUM(O129:O154)</f>
        <v>70623</v>
      </c>
      <c r="P155" s="37"/>
      <c r="Q155" s="37"/>
      <c r="R155" s="81">
        <f t="shared" si="42"/>
        <v>5.4433948618127254E-2</v>
      </c>
      <c r="S155" s="81" t="e">
        <f t="shared" si="43"/>
        <v>#DIV/0!</v>
      </c>
      <c r="T155" s="81">
        <f t="shared" si="44"/>
        <v>3.082123682640684E-3</v>
      </c>
      <c r="U155" s="81">
        <f t="shared" si="45"/>
        <v>0</v>
      </c>
      <c r="V155" s="83">
        <f t="shared" si="46"/>
        <v>0</v>
      </c>
    </row>
    <row r="156" spans="1:22" ht="8.25" customHeight="1">
      <c r="A156" s="142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</row>
    <row r="157" spans="1:22" ht="15" customHeight="1">
      <c r="A157" s="149" t="s">
        <v>178</v>
      </c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</row>
    <row r="158" spans="1:22">
      <c r="A158" s="75">
        <v>132</v>
      </c>
      <c r="B158" s="114" t="s">
        <v>179</v>
      </c>
      <c r="C158" s="115" t="s">
        <v>21</v>
      </c>
      <c r="D158" s="17">
        <v>840191277.26999998</v>
      </c>
      <c r="E158" s="3">
        <f>(D158/$D$161)</f>
        <v>0.1732908449768728</v>
      </c>
      <c r="F158" s="17">
        <v>57.729399999999998</v>
      </c>
      <c r="G158" s="17">
        <v>59.47</v>
      </c>
      <c r="H158" s="62">
        <v>1427</v>
      </c>
      <c r="I158" s="6">
        <v>1.7318</v>
      </c>
      <c r="J158" s="6">
        <v>1.7907999999999999</v>
      </c>
      <c r="K158" s="17">
        <v>909813850.95000005</v>
      </c>
      <c r="L158" s="16">
        <f>(K158/$K$161)</f>
        <v>0.1756123024107504</v>
      </c>
      <c r="M158" s="17">
        <v>61.553400000000003</v>
      </c>
      <c r="N158" s="17">
        <v>63.409300000000002</v>
      </c>
      <c r="O158" s="62">
        <v>1433</v>
      </c>
      <c r="P158" s="6">
        <v>3.4634</v>
      </c>
      <c r="Q158" s="6">
        <v>2.4820000000000002</v>
      </c>
      <c r="R158" s="81">
        <f>((K158-D158)/D158)</f>
        <v>8.2865146977271556E-2</v>
      </c>
      <c r="S158" s="81">
        <f t="shared" ref="S158:T161" si="48">((N158-G158)/G158)</f>
        <v>6.6240121069446836E-2</v>
      </c>
      <c r="T158" s="81">
        <f t="shared" si="48"/>
        <v>4.2046250875963564E-3</v>
      </c>
      <c r="U158" s="81">
        <f t="shared" ref="U158:V161" si="49">P158-I158</f>
        <v>1.7316</v>
      </c>
      <c r="V158" s="83">
        <f t="shared" si="49"/>
        <v>0.69120000000000026</v>
      </c>
    </row>
    <row r="159" spans="1:22">
      <c r="A159" s="75">
        <v>133</v>
      </c>
      <c r="B159" s="114" t="s">
        <v>180</v>
      </c>
      <c r="C159" s="115" t="s">
        <v>181</v>
      </c>
      <c r="D159" s="97">
        <v>858952357.73000002</v>
      </c>
      <c r="E159" s="3">
        <f>(D159/$D$161)</f>
        <v>0.17716034895001123</v>
      </c>
      <c r="F159" s="17">
        <v>23.543800000000001</v>
      </c>
      <c r="G159" s="17">
        <v>23.76</v>
      </c>
      <c r="H159" s="60">
        <v>1503</v>
      </c>
      <c r="I159" s="5">
        <v>6.4899999999999999E-2</v>
      </c>
      <c r="J159" s="5">
        <v>8.0500000000000002E-2</v>
      </c>
      <c r="K159" s="97">
        <v>878209691.44000006</v>
      </c>
      <c r="L159" s="16">
        <f>(K159/$K$161)</f>
        <v>0.16951206639927127</v>
      </c>
      <c r="M159" s="17">
        <v>23.983499999999999</v>
      </c>
      <c r="N159" s="17">
        <v>24.209499999999998</v>
      </c>
      <c r="O159" s="60">
        <v>1503</v>
      </c>
      <c r="P159" s="5">
        <v>2.7099999999999999E-2</v>
      </c>
      <c r="Q159" s="5">
        <v>0.1008</v>
      </c>
      <c r="R159" s="81">
        <f>((K159-D159)/D159)</f>
        <v>2.2419559754038556E-2</v>
      </c>
      <c r="S159" s="81">
        <f t="shared" si="48"/>
        <v>1.8918350168350036E-2</v>
      </c>
      <c r="T159" s="81">
        <f t="shared" si="48"/>
        <v>0</v>
      </c>
      <c r="U159" s="81">
        <f t="shared" si="49"/>
        <v>-3.78E-2</v>
      </c>
      <c r="V159" s="83">
        <f t="shared" si="49"/>
        <v>2.0299999999999999E-2</v>
      </c>
    </row>
    <row r="160" spans="1:22">
      <c r="A160" s="75">
        <v>134</v>
      </c>
      <c r="B160" s="114" t="s">
        <v>182</v>
      </c>
      <c r="C160" s="115" t="s">
        <v>42</v>
      </c>
      <c r="D160" s="9">
        <v>3149302209.8000002</v>
      </c>
      <c r="E160" s="3">
        <f>(D160/$D$161)</f>
        <v>0.64954880607311594</v>
      </c>
      <c r="F160" s="17">
        <v>2.25</v>
      </c>
      <c r="G160" s="17">
        <v>2.2799999999999998</v>
      </c>
      <c r="H160" s="60">
        <v>17851</v>
      </c>
      <c r="I160" s="5">
        <v>3.6400000000000002E-2</v>
      </c>
      <c r="J160" s="5">
        <v>9.6199999999999994E-2</v>
      </c>
      <c r="K160" s="9">
        <v>3392785765.73</v>
      </c>
      <c r="L160" s="16">
        <f>(K160/$K$161)</f>
        <v>0.65487563118997838</v>
      </c>
      <c r="M160" s="17">
        <v>2.39</v>
      </c>
      <c r="N160" s="17">
        <v>2.42</v>
      </c>
      <c r="O160" s="60">
        <v>17882</v>
      </c>
      <c r="P160" s="5">
        <v>6.1400000000000003E-2</v>
      </c>
      <c r="Q160" s="5">
        <v>0.16350000000000001</v>
      </c>
      <c r="R160" s="81">
        <f>((K160-D160)/D160)</f>
        <v>7.7313493500981767E-2</v>
      </c>
      <c r="S160" s="81">
        <f t="shared" si="48"/>
        <v>6.1403508771929884E-2</v>
      </c>
      <c r="T160" s="81">
        <f t="shared" si="48"/>
        <v>1.7365973895019887E-3</v>
      </c>
      <c r="U160" s="81">
        <f t="shared" si="49"/>
        <v>2.5000000000000001E-2</v>
      </c>
      <c r="V160" s="83">
        <f t="shared" si="49"/>
        <v>6.7300000000000013E-2</v>
      </c>
    </row>
    <row r="161" spans="1:24">
      <c r="A161" s="75"/>
      <c r="B161" s="19"/>
      <c r="C161" s="66" t="s">
        <v>46</v>
      </c>
      <c r="D161" s="72">
        <f>SUM(D158:D160)</f>
        <v>4848445844.8000002</v>
      </c>
      <c r="E161" s="99">
        <f>(D161/$D$181)</f>
        <v>2.1857521427831039E-3</v>
      </c>
      <c r="F161" s="30"/>
      <c r="G161" s="36"/>
      <c r="H161" s="65">
        <f>SUM(H158:H160)</f>
        <v>20781</v>
      </c>
      <c r="I161" s="37"/>
      <c r="J161" s="37"/>
      <c r="K161" s="72">
        <f>SUM(K158:K160)</f>
        <v>5180809308.1199999</v>
      </c>
      <c r="L161" s="99">
        <f>(K161/$K$181)</f>
        <v>2.3384681467667661E-3</v>
      </c>
      <c r="M161" s="30"/>
      <c r="N161" s="36"/>
      <c r="O161" s="65">
        <f>SUM(O158:O160)</f>
        <v>20818</v>
      </c>
      <c r="P161" s="37"/>
      <c r="Q161" s="37"/>
      <c r="R161" s="81">
        <f>((K161-D161)/D161)</f>
        <v>6.8550515765059508E-2</v>
      </c>
      <c r="S161" s="81" t="e">
        <f t="shared" si="48"/>
        <v>#DIV/0!</v>
      </c>
      <c r="T161" s="81">
        <f t="shared" si="48"/>
        <v>1.78047254703816E-3</v>
      </c>
      <c r="U161" s="81">
        <f t="shared" si="49"/>
        <v>0</v>
      </c>
      <c r="V161" s="83">
        <f t="shared" si="49"/>
        <v>0</v>
      </c>
    </row>
    <row r="162" spans="1:24" ht="6" customHeight="1">
      <c r="A162" s="142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</row>
    <row r="163" spans="1:24" ht="15" customHeight="1">
      <c r="A163" s="149" t="s">
        <v>183</v>
      </c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</row>
    <row r="164" spans="1:24">
      <c r="A164" s="153" t="s">
        <v>232</v>
      </c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</row>
    <row r="165" spans="1:24">
      <c r="A165" s="75">
        <v>135</v>
      </c>
      <c r="B165" s="114" t="s">
        <v>184</v>
      </c>
      <c r="C165" s="115" t="s">
        <v>185</v>
      </c>
      <c r="D165" s="13">
        <v>3806387952.5599999</v>
      </c>
      <c r="E165" s="3">
        <f>(D165/$D$180)</f>
        <v>8.1491093256718924E-2</v>
      </c>
      <c r="F165" s="18">
        <v>1.86</v>
      </c>
      <c r="G165" s="18">
        <v>1.89</v>
      </c>
      <c r="H165" s="61">
        <v>14970</v>
      </c>
      <c r="I165" s="12">
        <v>9.5999999999999992E-3</v>
      </c>
      <c r="J165" s="12">
        <v>1.84E-2</v>
      </c>
      <c r="K165" s="13">
        <v>3922746061.5</v>
      </c>
      <c r="L165" s="3">
        <f>(K165/$K$180)</f>
        <v>8.3355271349782767E-2</v>
      </c>
      <c r="M165" s="18">
        <v>1.91</v>
      </c>
      <c r="N165" s="18">
        <v>1.95</v>
      </c>
      <c r="O165" s="61">
        <v>14972</v>
      </c>
      <c r="P165" s="12">
        <v>3.0300000000000001E-2</v>
      </c>
      <c r="Q165" s="12">
        <v>4.9200000000000001E-2</v>
      </c>
      <c r="R165" s="81">
        <f>((K165-D165)/D165)</f>
        <v>3.0569166987233394E-2</v>
      </c>
      <c r="S165" s="81">
        <f>((N165-G165)/G165)</f>
        <v>3.1746031746031779E-2</v>
      </c>
      <c r="T165" s="81">
        <f>((O165-H165)/H165)</f>
        <v>1.3360053440213761E-4</v>
      </c>
      <c r="U165" s="81">
        <f>P165-I165</f>
        <v>2.0700000000000003E-2</v>
      </c>
      <c r="V165" s="83">
        <f>Q165-J165</f>
        <v>3.0800000000000001E-2</v>
      </c>
    </row>
    <row r="166" spans="1:24">
      <c r="A166" s="75">
        <v>136</v>
      </c>
      <c r="B166" s="114" t="s">
        <v>186</v>
      </c>
      <c r="C166" s="115" t="s">
        <v>42</v>
      </c>
      <c r="D166" s="13">
        <v>611014027.80999994</v>
      </c>
      <c r="E166" s="3">
        <f>(D166/$D$180)</f>
        <v>1.3081220764147342E-2</v>
      </c>
      <c r="F166" s="18">
        <v>411.8</v>
      </c>
      <c r="G166" s="18">
        <v>417.03</v>
      </c>
      <c r="H166" s="61">
        <v>1344</v>
      </c>
      <c r="I166" s="12">
        <v>4.07E-2</v>
      </c>
      <c r="J166" s="12">
        <v>9.2100000000000001E-2</v>
      </c>
      <c r="K166" s="13">
        <v>734103613.90999997</v>
      </c>
      <c r="L166" s="3">
        <f>(K166/$K$180)</f>
        <v>1.5599124943847504E-2</v>
      </c>
      <c r="M166" s="18">
        <v>463.35</v>
      </c>
      <c r="N166" s="18">
        <v>469.11</v>
      </c>
      <c r="O166" s="61">
        <v>1358</v>
      </c>
      <c r="P166" s="12">
        <v>0.1249</v>
      </c>
      <c r="Q166" s="12">
        <v>0.22850000000000001</v>
      </c>
      <c r="R166" s="81">
        <f>((K166-D166)/D166)</f>
        <v>0.20145132598866583</v>
      </c>
      <c r="S166" s="81">
        <f>((N166-G166)/G166)</f>
        <v>0.12488310193511269</v>
      </c>
      <c r="T166" s="81">
        <f>((O166-H166)/H166)</f>
        <v>1.0416666666666666E-2</v>
      </c>
      <c r="U166" s="81">
        <f>P166-I166</f>
        <v>8.4199999999999997E-2</v>
      </c>
      <c r="V166" s="83">
        <f>Q166-J166</f>
        <v>0.13640000000000002</v>
      </c>
    </row>
    <row r="167" spans="1:24" ht="6" customHeight="1">
      <c r="A167" s="142"/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</row>
    <row r="168" spans="1:24" ht="15" customHeight="1">
      <c r="A168" s="153" t="s">
        <v>231</v>
      </c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</row>
    <row r="169" spans="1:24">
      <c r="A169" s="75">
        <v>137</v>
      </c>
      <c r="B169" s="114" t="s">
        <v>187</v>
      </c>
      <c r="C169" s="115" t="s">
        <v>188</v>
      </c>
      <c r="D169" s="2">
        <v>408046817.85000002</v>
      </c>
      <c r="E169" s="3">
        <f t="shared" ref="E169:E179" si="50">(D169/$D$180)</f>
        <v>8.7358886432366625E-3</v>
      </c>
      <c r="F169" s="2">
        <v>1032.81</v>
      </c>
      <c r="G169" s="2">
        <v>1032.81</v>
      </c>
      <c r="H169" s="60">
        <v>21</v>
      </c>
      <c r="I169" s="5">
        <v>2E-3</v>
      </c>
      <c r="J169" s="5">
        <v>3.3E-3</v>
      </c>
      <c r="K169" s="2">
        <v>411296426.70999998</v>
      </c>
      <c r="L169" s="3">
        <f t="shared" ref="L169:L179" si="51">(K169/$K$180)</f>
        <v>8.7397258747099471E-3</v>
      </c>
      <c r="M169" s="2">
        <v>1041.03</v>
      </c>
      <c r="N169" s="2">
        <v>1041.03</v>
      </c>
      <c r="O169" s="60">
        <v>21</v>
      </c>
      <c r="P169" s="5">
        <v>2.0999999999999999E-3</v>
      </c>
      <c r="Q169" s="5">
        <v>5.7000000000000002E-3</v>
      </c>
      <c r="R169" s="81">
        <f>((K169-D169)/D169)</f>
        <v>7.9638137533387821E-3</v>
      </c>
      <c r="S169" s="81">
        <f>((N169-G169)/G169)</f>
        <v>7.9588694919685392E-3</v>
      </c>
      <c r="T169" s="81">
        <f>((O169-H169)/H169)</f>
        <v>0</v>
      </c>
      <c r="U169" s="81">
        <f>P169-I169</f>
        <v>9.9999999999999829E-5</v>
      </c>
      <c r="V169" s="83">
        <f>Q169-J169</f>
        <v>2.4000000000000002E-3</v>
      </c>
      <c r="X169" s="70"/>
    </row>
    <row r="170" spans="1:24">
      <c r="A170" s="75">
        <v>138</v>
      </c>
      <c r="B170" s="114" t="s">
        <v>189</v>
      </c>
      <c r="C170" s="115" t="s">
        <v>58</v>
      </c>
      <c r="D170" s="2">
        <v>108069230.56</v>
      </c>
      <c r="E170" s="3">
        <f t="shared" si="50"/>
        <v>2.3136579496117454E-3</v>
      </c>
      <c r="F170" s="17">
        <v>109.72</v>
      </c>
      <c r="G170" s="17">
        <v>109.72</v>
      </c>
      <c r="H170" s="60">
        <v>65</v>
      </c>
      <c r="I170" s="5">
        <v>1.6000000000000001E-3</v>
      </c>
      <c r="J170" s="5">
        <v>9.0899999999999995E-2</v>
      </c>
      <c r="K170" s="2">
        <v>107606735.06</v>
      </c>
      <c r="L170" s="3">
        <f t="shared" si="51"/>
        <v>2.2865585636610503E-3</v>
      </c>
      <c r="M170" s="17">
        <v>109.83</v>
      </c>
      <c r="N170" s="17">
        <v>109.83</v>
      </c>
      <c r="O170" s="60">
        <v>65</v>
      </c>
      <c r="P170" s="5">
        <v>1E-3</v>
      </c>
      <c r="Q170" s="5">
        <v>7.8100000000000003E-2</v>
      </c>
      <c r="R170" s="81">
        <f t="shared" ref="R170:R181" si="52">((K170-D170)/D170)</f>
        <v>-4.2796224013385816E-3</v>
      </c>
      <c r="S170" s="81">
        <f t="shared" ref="S170:S180" si="53">((N170-G170)/G170)</f>
        <v>1.0025519504192439E-3</v>
      </c>
      <c r="T170" s="81">
        <f t="shared" ref="T170:T180" si="54">((O170-H170)/H170)</f>
        <v>0</v>
      </c>
      <c r="U170" s="81">
        <f t="shared" ref="U170:U180" si="55">P170-I170</f>
        <v>-6.0000000000000006E-4</v>
      </c>
      <c r="V170" s="83">
        <f t="shared" ref="V170:V180" si="56">Q170-J170</f>
        <v>-1.2799999999999992E-2</v>
      </c>
    </row>
    <row r="171" spans="1:24">
      <c r="A171" s="75">
        <v>139</v>
      </c>
      <c r="B171" s="134" t="s">
        <v>190</v>
      </c>
      <c r="C171" s="115" t="s">
        <v>64</v>
      </c>
      <c r="D171" s="9">
        <v>55452506.75</v>
      </c>
      <c r="E171" s="3">
        <f t="shared" si="50"/>
        <v>1.1871846630462071E-3</v>
      </c>
      <c r="F171" s="17">
        <v>99.93</v>
      </c>
      <c r="G171" s="17">
        <v>100.44</v>
      </c>
      <c r="H171" s="60">
        <v>12</v>
      </c>
      <c r="I171" s="5">
        <v>2.0999999999999999E-3</v>
      </c>
      <c r="J171" s="5">
        <v>3.9300000000000002E-2</v>
      </c>
      <c r="K171" s="9">
        <v>53993878.439999998</v>
      </c>
      <c r="L171" s="3">
        <f t="shared" si="51"/>
        <v>1.1473274889663375E-3</v>
      </c>
      <c r="M171" s="17">
        <v>97.37</v>
      </c>
      <c r="N171" s="17">
        <v>97.61</v>
      </c>
      <c r="O171" s="60">
        <v>12</v>
      </c>
      <c r="P171" s="5">
        <v>7.4000000000000003E-3</v>
      </c>
      <c r="Q171" s="5">
        <v>1.1299999999999999E-2</v>
      </c>
      <c r="R171" s="81">
        <f t="shared" si="52"/>
        <v>-2.630410049046164E-2</v>
      </c>
      <c r="S171" s="81">
        <f t="shared" si="53"/>
        <v>-2.8176025487853428E-2</v>
      </c>
      <c r="T171" s="81">
        <f t="shared" si="54"/>
        <v>0</v>
      </c>
      <c r="U171" s="81">
        <f t="shared" si="55"/>
        <v>5.3000000000000009E-3</v>
      </c>
      <c r="V171" s="83">
        <f t="shared" si="56"/>
        <v>-2.8000000000000004E-2</v>
      </c>
    </row>
    <row r="172" spans="1:24">
      <c r="A172" s="75">
        <v>140</v>
      </c>
      <c r="B172" s="114" t="s">
        <v>191</v>
      </c>
      <c r="C172" s="115" t="s">
        <v>27</v>
      </c>
      <c r="D172" s="2">
        <v>8660405494.2099991</v>
      </c>
      <c r="E172" s="3">
        <f t="shared" si="50"/>
        <v>0.18541092515149857</v>
      </c>
      <c r="F172" s="17">
        <v>134.24</v>
      </c>
      <c r="G172" s="17">
        <v>134.24</v>
      </c>
      <c r="H172" s="60">
        <v>635</v>
      </c>
      <c r="I172" s="5">
        <v>2.3999999999999998E-3</v>
      </c>
      <c r="J172" s="5">
        <v>0.13170000000000001</v>
      </c>
      <c r="K172" s="2">
        <v>8691506067.2099991</v>
      </c>
      <c r="L172" s="3">
        <f t="shared" si="51"/>
        <v>0.18468767422419924</v>
      </c>
      <c r="M172" s="17">
        <v>134.56</v>
      </c>
      <c r="N172" s="17">
        <v>134.56</v>
      </c>
      <c r="O172" s="60">
        <v>639</v>
      </c>
      <c r="P172" s="5">
        <v>2.3999999999999998E-3</v>
      </c>
      <c r="Q172" s="5">
        <v>0.13270000000000001</v>
      </c>
      <c r="R172" s="81">
        <f t="shared" si="52"/>
        <v>3.5911220347352789E-3</v>
      </c>
      <c r="S172" s="81">
        <f t="shared" si="53"/>
        <v>2.3837902264600207E-3</v>
      </c>
      <c r="T172" s="81">
        <f t="shared" si="54"/>
        <v>6.2992125984251968E-3</v>
      </c>
      <c r="U172" s="81">
        <f t="shared" si="55"/>
        <v>0</v>
      </c>
      <c r="V172" s="83">
        <f t="shared" si="56"/>
        <v>1.0000000000000009E-3</v>
      </c>
    </row>
    <row r="173" spans="1:24">
      <c r="A173" s="75">
        <v>141</v>
      </c>
      <c r="B173" s="114" t="s">
        <v>249</v>
      </c>
      <c r="C173" s="115" t="s">
        <v>56</v>
      </c>
      <c r="D173" s="2">
        <v>207249161.85922799</v>
      </c>
      <c r="E173" s="3">
        <f t="shared" si="50"/>
        <v>4.4370045793909289E-3</v>
      </c>
      <c r="F173" s="4">
        <v>1033.2850925724899</v>
      </c>
      <c r="G173" s="4">
        <v>1033.2850925724899</v>
      </c>
      <c r="H173" s="60">
        <v>7</v>
      </c>
      <c r="I173" s="5">
        <v>0.11776239062335354</v>
      </c>
      <c r="J173" s="5">
        <v>0.11776239062335354</v>
      </c>
      <c r="K173" s="2">
        <v>207249161.85922799</v>
      </c>
      <c r="L173" s="3">
        <f t="shared" si="51"/>
        <v>4.403881835059487E-3</v>
      </c>
      <c r="M173" s="4">
        <v>1033.2850925724899</v>
      </c>
      <c r="N173" s="4">
        <v>1033.2850925724899</v>
      </c>
      <c r="O173" s="60">
        <v>7</v>
      </c>
      <c r="P173" s="5">
        <v>0.11776239062335354</v>
      </c>
      <c r="Q173" s="5">
        <v>0.11776239062335354</v>
      </c>
      <c r="R173" s="81">
        <f t="shared" si="52"/>
        <v>0</v>
      </c>
      <c r="S173" s="81">
        <f t="shared" si="53"/>
        <v>0</v>
      </c>
      <c r="T173" s="81">
        <f t="shared" si="54"/>
        <v>0</v>
      </c>
      <c r="U173" s="81">
        <f t="shared" si="55"/>
        <v>0</v>
      </c>
      <c r="V173" s="83">
        <f t="shared" si="56"/>
        <v>0</v>
      </c>
    </row>
    <row r="174" spans="1:24">
      <c r="A174" s="75">
        <v>142</v>
      </c>
      <c r="B174" s="114" t="s">
        <v>192</v>
      </c>
      <c r="C174" s="115" t="s">
        <v>185</v>
      </c>
      <c r="D174" s="2">
        <v>18424576501.830002</v>
      </c>
      <c r="E174" s="3">
        <f t="shared" si="50"/>
        <v>0.3944524049148439</v>
      </c>
      <c r="F174" s="7">
        <v>1227.31</v>
      </c>
      <c r="G174" s="7">
        <v>1227.31</v>
      </c>
      <c r="H174" s="60">
        <v>7497</v>
      </c>
      <c r="I174" s="5">
        <v>7.9000000000000008E-3</v>
      </c>
      <c r="J174" s="5">
        <v>9.7000000000000003E-3</v>
      </c>
      <c r="K174" s="2">
        <v>18565650266.700001</v>
      </c>
      <c r="L174" s="3">
        <f t="shared" si="51"/>
        <v>0.39450547945338754</v>
      </c>
      <c r="M174" s="7">
        <v>1230.51</v>
      </c>
      <c r="N174" s="7">
        <v>1230.51</v>
      </c>
      <c r="O174" s="60">
        <v>7529</v>
      </c>
      <c r="P174" s="5">
        <v>2.5999999999999999E-3</v>
      </c>
      <c r="Q174" s="5">
        <v>1.24E-2</v>
      </c>
      <c r="R174" s="81">
        <f t="shared" si="52"/>
        <v>7.6568253743030095E-3</v>
      </c>
      <c r="S174" s="81">
        <f t="shared" si="53"/>
        <v>2.6073282218836689E-3</v>
      </c>
      <c r="T174" s="81">
        <f t="shared" si="54"/>
        <v>4.2683740162731756E-3</v>
      </c>
      <c r="U174" s="81">
        <f t="shared" si="55"/>
        <v>-5.3000000000000009E-3</v>
      </c>
      <c r="V174" s="83">
        <f t="shared" si="56"/>
        <v>2.6999999999999993E-3</v>
      </c>
    </row>
    <row r="175" spans="1:24">
      <c r="A175" s="75">
        <v>143</v>
      </c>
      <c r="B175" s="114" t="s">
        <v>193</v>
      </c>
      <c r="C175" s="115" t="s">
        <v>78</v>
      </c>
      <c r="D175" s="2">
        <v>948377003.74999988</v>
      </c>
      <c r="E175" s="3">
        <f t="shared" si="50"/>
        <v>2.0303836555372948E-2</v>
      </c>
      <c r="F175" s="14">
        <v>102.48</v>
      </c>
      <c r="G175" s="14">
        <v>102.48</v>
      </c>
      <c r="H175" s="60">
        <v>532</v>
      </c>
      <c r="I175" s="5">
        <v>2.2000000000000001E-3</v>
      </c>
      <c r="J175" s="5">
        <v>3.3999999999999998E-3</v>
      </c>
      <c r="K175" s="2">
        <v>919492813.67999995</v>
      </c>
      <c r="L175" s="3">
        <f t="shared" si="51"/>
        <v>1.9538499761864239E-2</v>
      </c>
      <c r="M175" s="14">
        <v>102.72</v>
      </c>
      <c r="N175" s="14">
        <v>102.72</v>
      </c>
      <c r="O175" s="60">
        <v>532</v>
      </c>
      <c r="P175" s="5">
        <v>2.3E-3</v>
      </c>
      <c r="Q175" s="5">
        <v>5.7000000000000002E-3</v>
      </c>
      <c r="R175" s="81">
        <f t="shared" si="52"/>
        <v>-3.0456442908029482E-2</v>
      </c>
      <c r="S175" s="81">
        <f t="shared" si="53"/>
        <v>2.3419203747072101E-3</v>
      </c>
      <c r="T175" s="81">
        <f t="shared" si="54"/>
        <v>0</v>
      </c>
      <c r="U175" s="81">
        <f t="shared" si="55"/>
        <v>9.9999999999999829E-5</v>
      </c>
      <c r="V175" s="83">
        <f t="shared" si="56"/>
        <v>2.3000000000000004E-3</v>
      </c>
    </row>
    <row r="176" spans="1:24" ht="15.75" customHeight="1">
      <c r="A176" s="75">
        <v>144</v>
      </c>
      <c r="B176" s="114" t="s">
        <v>194</v>
      </c>
      <c r="C176" s="115" t="s">
        <v>42</v>
      </c>
      <c r="D176" s="2">
        <v>8017938792.1700001</v>
      </c>
      <c r="E176" s="3">
        <f t="shared" si="50"/>
        <v>0.17165633298096941</v>
      </c>
      <c r="F176" s="14">
        <v>128.59</v>
      </c>
      <c r="G176" s="14">
        <v>128.59</v>
      </c>
      <c r="H176" s="60">
        <v>1951</v>
      </c>
      <c r="I176" s="5">
        <v>1.2999999999999999E-3</v>
      </c>
      <c r="J176" s="5">
        <v>2.5000000000000001E-3</v>
      </c>
      <c r="K176" s="2">
        <v>8013259562.0299997</v>
      </c>
      <c r="L176" s="3">
        <f t="shared" si="51"/>
        <v>0.17027546894887169</v>
      </c>
      <c r="M176" s="14">
        <v>128.69999999999999</v>
      </c>
      <c r="N176" s="14">
        <v>128.69999999999999</v>
      </c>
      <c r="O176" s="60">
        <v>1953</v>
      </c>
      <c r="P176" s="5">
        <v>8.9999999999999998E-4</v>
      </c>
      <c r="Q176" s="5">
        <v>3.2000000000000002E-3</v>
      </c>
      <c r="R176" s="81">
        <f t="shared" si="52"/>
        <v>-5.835951435012067E-4</v>
      </c>
      <c r="S176" s="81">
        <f t="shared" si="53"/>
        <v>8.5543199315642909E-4</v>
      </c>
      <c r="T176" s="81">
        <f t="shared" si="54"/>
        <v>1.0251153254741158E-3</v>
      </c>
      <c r="U176" s="81">
        <f t="shared" si="55"/>
        <v>-3.9999999999999996E-4</v>
      </c>
      <c r="V176" s="83">
        <f t="shared" si="56"/>
        <v>7.000000000000001E-4</v>
      </c>
    </row>
    <row r="177" spans="1:22">
      <c r="A177" s="75">
        <v>145</v>
      </c>
      <c r="B177" s="114" t="s">
        <v>195</v>
      </c>
      <c r="C177" s="115" t="s">
        <v>45</v>
      </c>
      <c r="D177" s="2">
        <v>4972158352.7799997</v>
      </c>
      <c r="E177" s="3">
        <f t="shared" si="50"/>
        <v>0.10644911266626388</v>
      </c>
      <c r="F177" s="14">
        <v>1.1833</v>
      </c>
      <c r="G177" s="14">
        <v>1.1833</v>
      </c>
      <c r="H177" s="60">
        <v>597</v>
      </c>
      <c r="I177" s="5">
        <v>9.7100000000000006E-2</v>
      </c>
      <c r="J177" s="5">
        <v>9.7100000000000006E-2</v>
      </c>
      <c r="K177" s="2">
        <v>4944330910.3100004</v>
      </c>
      <c r="L177" s="3">
        <f t="shared" si="51"/>
        <v>0.10506314663519509</v>
      </c>
      <c r="M177" s="14">
        <v>1.1854</v>
      </c>
      <c r="N177" s="14">
        <v>1.1854</v>
      </c>
      <c r="O177" s="60">
        <v>598</v>
      </c>
      <c r="P177" s="5">
        <v>9.7000000000000003E-2</v>
      </c>
      <c r="Q177" s="5">
        <v>9.7000000000000003E-2</v>
      </c>
      <c r="R177" s="81">
        <f t="shared" si="52"/>
        <v>-5.5966524988973095E-3</v>
      </c>
      <c r="S177" s="81">
        <f t="shared" si="53"/>
        <v>1.7746978788134799E-3</v>
      </c>
      <c r="T177" s="81">
        <f t="shared" si="54"/>
        <v>1.6750418760469012E-3</v>
      </c>
      <c r="U177" s="81">
        <f t="shared" si="55"/>
        <v>-1.0000000000000286E-4</v>
      </c>
      <c r="V177" s="83">
        <f t="shared" si="56"/>
        <v>-1.0000000000000286E-4</v>
      </c>
    </row>
    <row r="178" spans="1:22">
      <c r="A178" s="75">
        <v>146</v>
      </c>
      <c r="B178" s="114" t="s">
        <v>196</v>
      </c>
      <c r="C178" s="115" t="s">
        <v>197</v>
      </c>
      <c r="D178" s="2">
        <v>354895444.62</v>
      </c>
      <c r="E178" s="3">
        <f t="shared" si="50"/>
        <v>7.5979690284754993E-3</v>
      </c>
      <c r="F178" s="18">
        <v>100.32680000000001</v>
      </c>
      <c r="G178" s="18">
        <v>100.6173</v>
      </c>
      <c r="H178" s="61">
        <v>173</v>
      </c>
      <c r="I178" s="5">
        <v>5.3290000000000004E-3</v>
      </c>
      <c r="J178" s="5">
        <v>3.2699999999999999E-3</v>
      </c>
      <c r="K178" s="2">
        <v>354398255.52999997</v>
      </c>
      <c r="L178" s="3">
        <f t="shared" si="51"/>
        <v>7.5306844471846263E-3</v>
      </c>
      <c r="M178" s="18">
        <v>100.66849999999999</v>
      </c>
      <c r="N178" s="18">
        <v>100.66849999999999</v>
      </c>
      <c r="O178" s="61">
        <v>173</v>
      </c>
      <c r="P178" s="5">
        <v>3.4629999999999999E-3</v>
      </c>
      <c r="Q178" s="5">
        <v>9.6399999999999993E-3</v>
      </c>
      <c r="R178" s="81">
        <f>((K178-D178)/D178)</f>
        <v>-1.4009452573627496E-3</v>
      </c>
      <c r="S178" s="81">
        <f>((N178-G178)/G178)</f>
        <v>5.0885881453780174E-4</v>
      </c>
      <c r="T178" s="81">
        <f>((O178-H178)/H178)</f>
        <v>0</v>
      </c>
      <c r="U178" s="81">
        <f>P178-I178</f>
        <v>-1.8660000000000005E-3</v>
      </c>
      <c r="V178" s="83">
        <f>Q178-J178</f>
        <v>6.3699999999999989E-3</v>
      </c>
    </row>
    <row r="179" spans="1:22">
      <c r="A179" s="75">
        <v>147</v>
      </c>
      <c r="B179" s="114" t="s">
        <v>244</v>
      </c>
      <c r="C179" s="115" t="s">
        <v>197</v>
      </c>
      <c r="D179" s="2">
        <v>134680000</v>
      </c>
      <c r="E179" s="3">
        <f t="shared" si="50"/>
        <v>2.8833688464239386E-3</v>
      </c>
      <c r="F179" s="18">
        <v>100.1319</v>
      </c>
      <c r="G179" s="18">
        <v>100.1319</v>
      </c>
      <c r="H179" s="61">
        <v>61</v>
      </c>
      <c r="I179" s="5">
        <v>-6.3E-5</v>
      </c>
      <c r="J179" s="5">
        <v>1.3190000000000001E-3</v>
      </c>
      <c r="K179" s="2">
        <v>134930000</v>
      </c>
      <c r="L179" s="3">
        <f t="shared" si="51"/>
        <v>2.8671564732705265E-3</v>
      </c>
      <c r="M179" s="18">
        <v>100.17570000000001</v>
      </c>
      <c r="N179" s="18">
        <v>100.17570000000001</v>
      </c>
      <c r="O179" s="61">
        <v>62</v>
      </c>
      <c r="P179" s="5">
        <v>4.3800000000000002E-4</v>
      </c>
      <c r="Q179" s="5">
        <v>1.7570000000000001E-3</v>
      </c>
      <c r="R179" s="81">
        <f t="shared" si="52"/>
        <v>1.8562518562518563E-3</v>
      </c>
      <c r="S179" s="81">
        <f t="shared" si="53"/>
        <v>4.3742303901158871E-4</v>
      </c>
      <c r="T179" s="81">
        <f t="shared" si="54"/>
        <v>1.6393442622950821E-2</v>
      </c>
      <c r="U179" s="81">
        <f t="shared" si="55"/>
        <v>5.0100000000000003E-4</v>
      </c>
      <c r="V179" s="83">
        <f t="shared" si="56"/>
        <v>4.3800000000000002E-4</v>
      </c>
    </row>
    <row r="180" spans="1:22">
      <c r="A180" s="85"/>
      <c r="B180" s="19"/>
      <c r="C180" s="66" t="s">
        <v>46</v>
      </c>
      <c r="D180" s="59">
        <f>SUM(D165:D179)</f>
        <v>46709251286.749229</v>
      </c>
      <c r="E180" s="99">
        <f>(D180/$D$181)</f>
        <v>2.105723140071868E-2</v>
      </c>
      <c r="F180" s="30"/>
      <c r="G180" s="34"/>
      <c r="H180" s="68">
        <f>SUM(H165:H179)</f>
        <v>27865</v>
      </c>
      <c r="I180" s="35"/>
      <c r="J180" s="35"/>
      <c r="K180" s="59">
        <f>SUM(K165:K179)</f>
        <v>47060563752.939224</v>
      </c>
      <c r="L180" s="99">
        <f>(K180/$K$181)</f>
        <v>2.1241783428054713E-2</v>
      </c>
      <c r="M180" s="30"/>
      <c r="N180" s="34"/>
      <c r="O180" s="68">
        <f>SUM(O165:O179)</f>
        <v>27921</v>
      </c>
      <c r="P180" s="35"/>
      <c r="Q180" s="35"/>
      <c r="R180" s="81">
        <f t="shared" si="52"/>
        <v>7.52126091752743E-3</v>
      </c>
      <c r="S180" s="81" t="e">
        <f t="shared" si="53"/>
        <v>#DIV/0!</v>
      </c>
      <c r="T180" s="81">
        <f t="shared" si="54"/>
        <v>2.0096895747353312E-3</v>
      </c>
      <c r="U180" s="81">
        <f t="shared" si="55"/>
        <v>0</v>
      </c>
      <c r="V180" s="83">
        <f t="shared" si="56"/>
        <v>0</v>
      </c>
    </row>
    <row r="181" spans="1:22">
      <c r="A181" s="86"/>
      <c r="B181" s="38"/>
      <c r="C181" s="67" t="s">
        <v>198</v>
      </c>
      <c r="D181" s="69">
        <f>SUM(D22,D55,D90,D118,D126,D155,D161,D180)</f>
        <v>2218204777155.7969</v>
      </c>
      <c r="E181" s="39"/>
      <c r="F181" s="39"/>
      <c r="G181" s="40"/>
      <c r="H181" s="69">
        <f>SUM(H22,H55,H90,H118,H126,H155,H161,H180)</f>
        <v>772964</v>
      </c>
      <c r="I181" s="41"/>
      <c r="J181" s="41"/>
      <c r="K181" s="69">
        <f>SUM(K22,K55,K90,K118,K126,K155,K161,K180)</f>
        <v>2215471403911.6323</v>
      </c>
      <c r="L181" s="39"/>
      <c r="M181" s="39"/>
      <c r="N181" s="40"/>
      <c r="O181" s="69">
        <f>SUM(O22,O55,O90,O118,O126,O155,O161,O180)</f>
        <v>774929</v>
      </c>
      <c r="P181" s="42"/>
      <c r="Q181" s="69"/>
      <c r="R181" s="25">
        <f t="shared" si="52"/>
        <v>-1.2322456755635104E-3</v>
      </c>
      <c r="S181" s="25"/>
      <c r="T181" s="25"/>
      <c r="U181" s="25"/>
      <c r="V181" s="25"/>
    </row>
    <row r="182" spans="1:22" ht="6.75" customHeight="1">
      <c r="A182" s="142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9"/>
    </row>
    <row r="183" spans="1:22" ht="15.75">
      <c r="A183" s="149" t="s">
        <v>199</v>
      </c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</row>
    <row r="184" spans="1:22">
      <c r="A184" s="75">
        <v>1</v>
      </c>
      <c r="B184" s="114" t="s">
        <v>200</v>
      </c>
      <c r="C184" s="115" t="s">
        <v>201</v>
      </c>
      <c r="D184" s="2">
        <v>92548651821</v>
      </c>
      <c r="E184" s="3">
        <f>(D184/$D$186)</f>
        <v>0.97764471782494933</v>
      </c>
      <c r="F184" s="14">
        <v>114</v>
      </c>
      <c r="G184" s="14">
        <v>114</v>
      </c>
      <c r="H184" s="64">
        <v>0</v>
      </c>
      <c r="I184" s="20">
        <v>0</v>
      </c>
      <c r="J184" s="20">
        <v>0.13800000000000001</v>
      </c>
      <c r="K184" s="2">
        <v>92548651821</v>
      </c>
      <c r="L184" s="3">
        <f>(K184/$K$186)</f>
        <v>0.97764471782494933</v>
      </c>
      <c r="M184" s="14">
        <v>114</v>
      </c>
      <c r="N184" s="14">
        <v>114</v>
      </c>
      <c r="O184" s="64">
        <v>0</v>
      </c>
      <c r="P184" s="20">
        <v>0</v>
      </c>
      <c r="Q184" s="20">
        <v>0.13800000000000001</v>
      </c>
      <c r="R184" s="81">
        <f>((K184-D184)/D184)</f>
        <v>0</v>
      </c>
      <c r="S184" s="81">
        <f>((N184-G184)/G184)</f>
        <v>0</v>
      </c>
      <c r="T184" s="81" t="e">
        <f>((O184-H184)/H184)</f>
        <v>#DIV/0!</v>
      </c>
      <c r="U184" s="81">
        <f>P184-I184</f>
        <v>0</v>
      </c>
      <c r="V184" s="83">
        <f>Q184-J184</f>
        <v>0</v>
      </c>
    </row>
    <row r="185" spans="1:22">
      <c r="A185" s="75">
        <v>2</v>
      </c>
      <c r="B185" s="114" t="s">
        <v>202</v>
      </c>
      <c r="C185" s="115" t="s">
        <v>45</v>
      </c>
      <c r="D185" s="2">
        <v>2116260834.49</v>
      </c>
      <c r="E185" s="3">
        <f>(D185/$D$186)</f>
        <v>2.2355282175050624E-2</v>
      </c>
      <c r="F185" s="21">
        <v>1000000</v>
      </c>
      <c r="G185" s="21">
        <v>1000000</v>
      </c>
      <c r="H185" s="64">
        <v>0</v>
      </c>
      <c r="I185" s="20">
        <v>0.1658</v>
      </c>
      <c r="J185" s="20" t="s">
        <v>255</v>
      </c>
      <c r="K185" s="2">
        <v>2116260834.49</v>
      </c>
      <c r="L185" s="3">
        <f>(K185/$K$186)</f>
        <v>2.2355282175050624E-2</v>
      </c>
      <c r="M185" s="21">
        <v>1000000</v>
      </c>
      <c r="N185" s="21">
        <v>1000000</v>
      </c>
      <c r="O185" s="64">
        <v>0</v>
      </c>
      <c r="P185" s="20">
        <v>0.16569999999999999</v>
      </c>
      <c r="Q185" s="20" t="s">
        <v>264</v>
      </c>
      <c r="R185" s="81">
        <f>((K185-D185)/D185)</f>
        <v>0</v>
      </c>
      <c r="S185" s="81">
        <f>((N185-G185)/G185)</f>
        <v>0</v>
      </c>
      <c r="T185" s="81" t="e">
        <f>((O185-H185)/H185)</f>
        <v>#DIV/0!</v>
      </c>
      <c r="U185" s="81">
        <f>P185-I185</f>
        <v>-1.0000000000001674E-4</v>
      </c>
      <c r="V185" s="83" t="e">
        <f>Q185-J185</f>
        <v>#VALUE!</v>
      </c>
    </row>
    <row r="186" spans="1:22">
      <c r="A186" s="38"/>
      <c r="B186" s="38"/>
      <c r="C186" s="67" t="s">
        <v>203</v>
      </c>
      <c r="D186" s="73">
        <f>SUM(D184:D185)</f>
        <v>94664912655.490005</v>
      </c>
      <c r="E186" s="24"/>
      <c r="F186" s="22"/>
      <c r="G186" s="22"/>
      <c r="H186" s="73">
        <f>SUM(H184:H185)</f>
        <v>0</v>
      </c>
      <c r="I186" s="23"/>
      <c r="J186" s="23"/>
      <c r="K186" s="73">
        <f>SUM(K184:K185)</f>
        <v>94664912655.490005</v>
      </c>
      <c r="L186" s="24"/>
      <c r="M186" s="22"/>
      <c r="N186" s="22"/>
      <c r="O186" s="23"/>
      <c r="P186" s="23"/>
      <c r="Q186" s="73"/>
      <c r="R186" s="25">
        <f>((K186-D186)/D186)</f>
        <v>0</v>
      </c>
      <c r="S186" s="26"/>
      <c r="T186" s="26"/>
      <c r="U186" s="25">
        <f>O186-H186</f>
        <v>0</v>
      </c>
      <c r="V186" s="87">
        <f>P186-I186</f>
        <v>0</v>
      </c>
    </row>
    <row r="187" spans="1:22" ht="8.25" customHeight="1">
      <c r="A187" s="154"/>
      <c r="B187" s="154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</row>
    <row r="188" spans="1:22" ht="15.75">
      <c r="A188" s="149" t="s">
        <v>204</v>
      </c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</row>
    <row r="189" spans="1:22">
      <c r="A189" s="75">
        <v>1</v>
      </c>
      <c r="B189" s="114" t="s">
        <v>205</v>
      </c>
      <c r="C189" s="115" t="s">
        <v>74</v>
      </c>
      <c r="D189" s="27">
        <v>820621327.71000004</v>
      </c>
      <c r="E189" s="10">
        <f t="shared" ref="E189:E200" si="57">(D189/$D$201)</f>
        <v>7.1224343019624159E-2</v>
      </c>
      <c r="F189" s="21">
        <v>193.38</v>
      </c>
      <c r="G189" s="21">
        <v>196.8</v>
      </c>
      <c r="H189" s="63">
        <v>103</v>
      </c>
      <c r="I189" s="28">
        <v>4.0000000000000002E-4</v>
      </c>
      <c r="J189" s="28">
        <v>0.53348905109489064</v>
      </c>
      <c r="K189" s="27">
        <v>931502810.96000004</v>
      </c>
      <c r="L189" s="10">
        <f t="shared" ref="L189:L200" si="58">(K189/$K$201)</f>
        <v>7.2746373872613068E-2</v>
      </c>
      <c r="M189" s="21">
        <v>219.51</v>
      </c>
      <c r="N189" s="21">
        <v>223.27</v>
      </c>
      <c r="O189" s="63">
        <v>61</v>
      </c>
      <c r="P189" s="28">
        <v>0.13512255662426309</v>
      </c>
      <c r="Q189" s="28">
        <v>0.28181021897810221</v>
      </c>
      <c r="R189" s="81">
        <f>((K189-D189)/D189)</f>
        <v>0.13511893915726314</v>
      </c>
      <c r="S189" s="81">
        <f>((N189-G189)/G189)</f>
        <v>0.13450203252032519</v>
      </c>
      <c r="T189" s="81">
        <f>((O189-H189)/H189)</f>
        <v>-0.40776699029126212</v>
      </c>
      <c r="U189" s="81">
        <f>P189-I189</f>
        <v>0.13472255662426308</v>
      </c>
      <c r="V189" s="83">
        <f>Q189-J189</f>
        <v>-0.25167883211678843</v>
      </c>
    </row>
    <row r="190" spans="1:22">
      <c r="A190" s="75">
        <v>2</v>
      </c>
      <c r="B190" s="114" t="s">
        <v>206</v>
      </c>
      <c r="C190" s="115" t="s">
        <v>185</v>
      </c>
      <c r="D190" s="27">
        <v>835316870.13</v>
      </c>
      <c r="E190" s="10">
        <f t="shared" si="57"/>
        <v>7.2499816028718814E-2</v>
      </c>
      <c r="F190" s="21">
        <v>23.76</v>
      </c>
      <c r="G190" s="21">
        <v>26.26</v>
      </c>
      <c r="H190" s="63">
        <v>184</v>
      </c>
      <c r="I190" s="28">
        <v>5.4199999999999998E-2</v>
      </c>
      <c r="J190" s="28">
        <v>0.1084</v>
      </c>
      <c r="K190" s="27">
        <v>1034989068.87</v>
      </c>
      <c r="L190" s="10">
        <f t="shared" si="58"/>
        <v>8.0828206713074349E-2</v>
      </c>
      <c r="M190" s="21">
        <v>29.44</v>
      </c>
      <c r="N190" s="21">
        <v>32.54</v>
      </c>
      <c r="O190" s="63">
        <v>184</v>
      </c>
      <c r="P190" s="28">
        <v>0.23899999999999999</v>
      </c>
      <c r="Q190" s="28">
        <v>0.37340000000000001</v>
      </c>
      <c r="R190" s="81">
        <f t="shared" ref="R190:R202" si="59">((K190-D190)/D190)</f>
        <v>0.23903767046980043</v>
      </c>
      <c r="S190" s="81">
        <f t="shared" ref="S190:S201" si="60">((N190-G190)/G190)</f>
        <v>0.23914699162223904</v>
      </c>
      <c r="T190" s="81">
        <f t="shared" ref="T190:T201" si="61">((O190-H190)/H190)</f>
        <v>0</v>
      </c>
      <c r="U190" s="81">
        <f t="shared" ref="U190:U201" si="62">P190-I190</f>
        <v>0.18479999999999999</v>
      </c>
      <c r="V190" s="83">
        <f t="shared" ref="V190:V201" si="63">Q190-J190</f>
        <v>0.26500000000000001</v>
      </c>
    </row>
    <row r="191" spans="1:22">
      <c r="A191" s="75">
        <v>3</v>
      </c>
      <c r="B191" s="114" t="s">
        <v>207</v>
      </c>
      <c r="C191" s="115" t="s">
        <v>36</v>
      </c>
      <c r="D191" s="27">
        <v>332780324.79000002</v>
      </c>
      <c r="E191" s="10">
        <f t="shared" si="57"/>
        <v>2.8883066041150943E-2</v>
      </c>
      <c r="F191" s="21">
        <v>24.829719999999998</v>
      </c>
      <c r="G191" s="21">
        <v>25.221343000000001</v>
      </c>
      <c r="H191" s="63">
        <v>73</v>
      </c>
      <c r="I191" s="28">
        <v>8.2282238520117179E-3</v>
      </c>
      <c r="J191" s="28">
        <v>5.7025940177941603E-2</v>
      </c>
      <c r="K191" s="27">
        <v>354513465.24000001</v>
      </c>
      <c r="L191" s="10">
        <f t="shared" si="58"/>
        <v>2.7685980956564282E-2</v>
      </c>
      <c r="M191" s="21">
        <v>26.451294000000001</v>
      </c>
      <c r="N191" s="21">
        <v>26.848163</v>
      </c>
      <c r="O191" s="63">
        <v>73</v>
      </c>
      <c r="P191" s="28">
        <v>6.5307768611965411E-2</v>
      </c>
      <c r="Q191" s="28">
        <v>0.12605794569592765</v>
      </c>
      <c r="R191" s="81">
        <f t="shared" si="59"/>
        <v>6.5307768611965314E-2</v>
      </c>
      <c r="S191" s="81">
        <f t="shared" si="60"/>
        <v>6.450171983307941E-2</v>
      </c>
      <c r="T191" s="81">
        <f t="shared" si="61"/>
        <v>0</v>
      </c>
      <c r="U191" s="81">
        <f t="shared" si="62"/>
        <v>5.7079544759953693E-2</v>
      </c>
      <c r="V191" s="83">
        <f t="shared" si="63"/>
        <v>6.903200551798605E-2</v>
      </c>
    </row>
    <row r="192" spans="1:22">
      <c r="A192" s="75">
        <v>4</v>
      </c>
      <c r="B192" s="114" t="s">
        <v>208</v>
      </c>
      <c r="C192" s="115" t="s">
        <v>36</v>
      </c>
      <c r="D192" s="27">
        <v>520204536.76999998</v>
      </c>
      <c r="E192" s="10">
        <f t="shared" si="57"/>
        <v>4.5150211329097613E-2</v>
      </c>
      <c r="F192" s="21">
        <v>39.036518000000001</v>
      </c>
      <c r="G192" s="21">
        <v>39.499608000000002</v>
      </c>
      <c r="H192" s="63">
        <v>60</v>
      </c>
      <c r="I192" s="28">
        <v>8.9384062088222471E-3</v>
      </c>
      <c r="J192" s="28">
        <v>3.674400361214647E-2</v>
      </c>
      <c r="K192" s="27">
        <v>580512363.86000001</v>
      </c>
      <c r="L192" s="10">
        <f t="shared" si="58"/>
        <v>4.5335525520864346E-2</v>
      </c>
      <c r="M192" s="21">
        <v>43.562060000000002</v>
      </c>
      <c r="N192" s="21">
        <v>44.033501999999999</v>
      </c>
      <c r="O192" s="63">
        <v>60</v>
      </c>
      <c r="P192" s="28">
        <v>0.11593099026866849</v>
      </c>
      <c r="Q192" s="28">
        <v>0.15693476260600647</v>
      </c>
      <c r="R192" s="81">
        <f t="shared" si="59"/>
        <v>0.11593099026866842</v>
      </c>
      <c r="S192" s="81">
        <f t="shared" si="60"/>
        <v>0.11478326569721897</v>
      </c>
      <c r="T192" s="81">
        <f t="shared" si="61"/>
        <v>0</v>
      </c>
      <c r="U192" s="81">
        <f t="shared" si="62"/>
        <v>0.10699258405984624</v>
      </c>
      <c r="V192" s="83">
        <f t="shared" si="63"/>
        <v>0.12019075899386</v>
      </c>
    </row>
    <row r="193" spans="1:22">
      <c r="A193" s="75">
        <v>5</v>
      </c>
      <c r="B193" s="114" t="s">
        <v>209</v>
      </c>
      <c r="C193" s="115" t="s">
        <v>210</v>
      </c>
      <c r="D193" s="27">
        <v>812973735.88</v>
      </c>
      <c r="E193" s="10">
        <f t="shared" si="57"/>
        <v>7.0560584126964129E-2</v>
      </c>
      <c r="F193" s="21">
        <v>20100</v>
      </c>
      <c r="G193" s="21">
        <v>23700</v>
      </c>
      <c r="H193" s="63">
        <v>226</v>
      </c>
      <c r="I193" s="28">
        <v>7.0000000000000007E-2</v>
      </c>
      <c r="J193" s="28">
        <v>1.35</v>
      </c>
      <c r="K193" s="27">
        <v>743291142.94000006</v>
      </c>
      <c r="L193" s="10">
        <f t="shared" si="58"/>
        <v>5.8047849930575289E-2</v>
      </c>
      <c r="M193" s="21">
        <v>19400</v>
      </c>
      <c r="N193" s="21">
        <v>23200</v>
      </c>
      <c r="O193" s="63">
        <v>226</v>
      </c>
      <c r="P193" s="28">
        <v>-0.09</v>
      </c>
      <c r="Q193" s="28">
        <v>1.1499999999999999</v>
      </c>
      <c r="R193" s="81">
        <f t="shared" si="59"/>
        <v>-8.5713215402429099E-2</v>
      </c>
      <c r="S193" s="81">
        <f t="shared" si="60"/>
        <v>-2.1097046413502109E-2</v>
      </c>
      <c r="T193" s="81">
        <f t="shared" si="61"/>
        <v>0</v>
      </c>
      <c r="U193" s="81">
        <f t="shared" si="62"/>
        <v>-0.16</v>
      </c>
      <c r="V193" s="83">
        <f t="shared" si="63"/>
        <v>-0.20000000000000018</v>
      </c>
    </row>
    <row r="194" spans="1:22">
      <c r="A194" s="75">
        <v>6</v>
      </c>
      <c r="B194" s="114" t="s">
        <v>211</v>
      </c>
      <c r="C194" s="115" t="s">
        <v>212</v>
      </c>
      <c r="D194" s="27">
        <v>1052306277.71</v>
      </c>
      <c r="E194" s="10">
        <f t="shared" si="57"/>
        <v>9.1333018963172141E-2</v>
      </c>
      <c r="F194" s="21">
        <v>600</v>
      </c>
      <c r="G194" s="21">
        <v>600</v>
      </c>
      <c r="H194" s="63">
        <v>46</v>
      </c>
      <c r="I194" s="28">
        <v>4.4900000000000002E-2</v>
      </c>
      <c r="J194" s="28">
        <v>0.12180000000000001</v>
      </c>
      <c r="K194" s="27">
        <v>1117233592.6700001</v>
      </c>
      <c r="L194" s="10">
        <f t="shared" si="58"/>
        <v>8.7251151235553881E-2</v>
      </c>
      <c r="M194" s="21">
        <v>900</v>
      </c>
      <c r="N194" s="21">
        <v>900</v>
      </c>
      <c r="O194" s="63">
        <v>46</v>
      </c>
      <c r="P194" s="28">
        <v>6.08E-2</v>
      </c>
      <c r="Q194" s="28">
        <v>0.18820000000000001</v>
      </c>
      <c r="R194" s="81">
        <f t="shared" si="59"/>
        <v>6.1700016749204493E-2</v>
      </c>
      <c r="S194" s="81">
        <f t="shared" si="60"/>
        <v>0.5</v>
      </c>
      <c r="T194" s="81">
        <f t="shared" si="61"/>
        <v>0</v>
      </c>
      <c r="U194" s="81">
        <f t="shared" si="62"/>
        <v>1.5899999999999997E-2</v>
      </c>
      <c r="V194" s="83">
        <f t="shared" si="63"/>
        <v>6.6400000000000001E-2</v>
      </c>
    </row>
    <row r="195" spans="1:22">
      <c r="A195" s="75">
        <v>7</v>
      </c>
      <c r="B195" s="114" t="s">
        <v>213</v>
      </c>
      <c r="C195" s="115" t="s">
        <v>212</v>
      </c>
      <c r="D195" s="27">
        <v>719360393.25999999</v>
      </c>
      <c r="E195" s="10">
        <f t="shared" si="57"/>
        <v>6.2435583470952988E-2</v>
      </c>
      <c r="F195" s="21">
        <v>824.99</v>
      </c>
      <c r="G195" s="21">
        <v>824.99</v>
      </c>
      <c r="H195" s="63">
        <v>377</v>
      </c>
      <c r="I195" s="28">
        <v>3.9300000000000002E-2</v>
      </c>
      <c r="J195" s="28">
        <v>0.13300000000000001</v>
      </c>
      <c r="K195" s="27">
        <v>827339738.58000004</v>
      </c>
      <c r="L195" s="10">
        <f t="shared" si="58"/>
        <v>6.4611684725227422E-2</v>
      </c>
      <c r="M195" s="21">
        <v>877</v>
      </c>
      <c r="N195" s="21">
        <v>877</v>
      </c>
      <c r="O195" s="63">
        <v>377</v>
      </c>
      <c r="P195" s="28">
        <v>3.9300000000000002E-2</v>
      </c>
      <c r="Q195" s="28">
        <v>0.13300000000000001</v>
      </c>
      <c r="R195" s="81">
        <f t="shared" si="59"/>
        <v>0.150104657320177</v>
      </c>
      <c r="S195" s="81">
        <f t="shared" si="60"/>
        <v>6.3043188402283651E-2</v>
      </c>
      <c r="T195" s="81">
        <f t="shared" si="61"/>
        <v>0</v>
      </c>
      <c r="U195" s="81">
        <f t="shared" si="62"/>
        <v>0</v>
      </c>
      <c r="V195" s="83">
        <f t="shared" si="63"/>
        <v>0</v>
      </c>
    </row>
    <row r="196" spans="1:22">
      <c r="A196" s="75">
        <v>8</v>
      </c>
      <c r="B196" s="114" t="s">
        <v>214</v>
      </c>
      <c r="C196" s="115" t="s">
        <v>215</v>
      </c>
      <c r="D196" s="27">
        <v>289432139.54000002</v>
      </c>
      <c r="E196" s="10">
        <f t="shared" si="57"/>
        <v>2.512073875172996E-2</v>
      </c>
      <c r="F196" s="21">
        <v>12.78</v>
      </c>
      <c r="G196" s="21">
        <v>12.88</v>
      </c>
      <c r="H196" s="63">
        <v>50</v>
      </c>
      <c r="I196" s="28">
        <v>7.2099999999999997E-2</v>
      </c>
      <c r="J196" s="28">
        <v>7.2099999999999997E-2</v>
      </c>
      <c r="K196" s="27">
        <v>312550893.77999997</v>
      </c>
      <c r="L196" s="10">
        <f t="shared" si="58"/>
        <v>2.440888412318018E-2</v>
      </c>
      <c r="M196" s="21">
        <v>13.83</v>
      </c>
      <c r="N196" s="21">
        <v>13.93</v>
      </c>
      <c r="O196" s="63">
        <v>53</v>
      </c>
      <c r="P196" s="28">
        <v>7.3800000000000004E-2</v>
      </c>
      <c r="Q196" s="28">
        <v>0.15110000000000001</v>
      </c>
      <c r="R196" s="81">
        <f t="shared" si="59"/>
        <v>7.9876251050567587E-2</v>
      </c>
      <c r="S196" s="81">
        <f t="shared" si="60"/>
        <v>8.1521739130434701E-2</v>
      </c>
      <c r="T196" s="81">
        <f t="shared" si="61"/>
        <v>0.06</v>
      </c>
      <c r="U196" s="81">
        <f t="shared" si="62"/>
        <v>1.7000000000000071E-3</v>
      </c>
      <c r="V196" s="83">
        <f t="shared" si="63"/>
        <v>7.9000000000000015E-2</v>
      </c>
    </row>
    <row r="197" spans="1:22">
      <c r="A197" s="75">
        <v>9</v>
      </c>
      <c r="B197" s="114" t="s">
        <v>216</v>
      </c>
      <c r="C197" s="115" t="s">
        <v>215</v>
      </c>
      <c r="D197" s="29">
        <v>834931739.08000004</v>
      </c>
      <c r="E197" s="10">
        <f t="shared" si="57"/>
        <v>7.2466389276224757E-2</v>
      </c>
      <c r="F197" s="21">
        <v>10.35</v>
      </c>
      <c r="G197" s="21">
        <v>10.45</v>
      </c>
      <c r="H197" s="63">
        <v>88</v>
      </c>
      <c r="I197" s="28">
        <v>7.8899999999999998E-2</v>
      </c>
      <c r="J197" s="28">
        <v>0.1608</v>
      </c>
      <c r="K197" s="29">
        <v>834093689.38</v>
      </c>
      <c r="L197" s="10">
        <f t="shared" si="58"/>
        <v>6.513913931176557E-2</v>
      </c>
      <c r="M197" s="21">
        <v>10.34</v>
      </c>
      <c r="N197" s="21">
        <v>0.44</v>
      </c>
      <c r="O197" s="63">
        <v>88</v>
      </c>
      <c r="P197" s="28">
        <v>1.46E-2</v>
      </c>
      <c r="Q197" s="28">
        <v>0.17780000000000001</v>
      </c>
      <c r="R197" s="81">
        <f t="shared" si="59"/>
        <v>-1.0037343902191134E-3</v>
      </c>
      <c r="S197" s="81">
        <f t="shared" si="60"/>
        <v>-0.95789473684210535</v>
      </c>
      <c r="T197" s="81">
        <f t="shared" si="61"/>
        <v>0</v>
      </c>
      <c r="U197" s="81">
        <f t="shared" si="62"/>
        <v>-6.4299999999999996E-2</v>
      </c>
      <c r="V197" s="83">
        <f t="shared" si="63"/>
        <v>1.7000000000000015E-2</v>
      </c>
    </row>
    <row r="198" spans="1:22" ht="15" customHeight="1">
      <c r="A198" s="75">
        <v>10</v>
      </c>
      <c r="B198" s="114" t="s">
        <v>217</v>
      </c>
      <c r="C198" s="115" t="s">
        <v>215</v>
      </c>
      <c r="D198" s="27">
        <v>500342880.43000001</v>
      </c>
      <c r="E198" s="10">
        <f t="shared" si="57"/>
        <v>4.3426354811688203E-2</v>
      </c>
      <c r="F198" s="21">
        <v>141.13</v>
      </c>
      <c r="G198" s="21">
        <v>143.13</v>
      </c>
      <c r="H198" s="63">
        <v>95</v>
      </c>
      <c r="I198" s="28">
        <v>-0.36180000000000001</v>
      </c>
      <c r="J198" s="28">
        <v>1.3715999999999999</v>
      </c>
      <c r="K198" s="27">
        <v>497215633.04000002</v>
      </c>
      <c r="L198" s="10">
        <f t="shared" si="58"/>
        <v>3.8830408143544548E-2</v>
      </c>
      <c r="M198" s="21">
        <v>140.24</v>
      </c>
      <c r="N198" s="21">
        <v>142.24</v>
      </c>
      <c r="O198" s="63">
        <v>154</v>
      </c>
      <c r="P198" s="28">
        <v>0.56410000000000005</v>
      </c>
      <c r="Q198" s="28">
        <v>2.7092999999999998</v>
      </c>
      <c r="R198" s="81">
        <f t="shared" si="59"/>
        <v>-6.2502086315536177E-3</v>
      </c>
      <c r="S198" s="81">
        <f t="shared" si="60"/>
        <v>-6.2181233843358235E-3</v>
      </c>
      <c r="T198" s="81">
        <f t="shared" si="61"/>
        <v>0.62105263157894741</v>
      </c>
      <c r="U198" s="81">
        <f t="shared" si="62"/>
        <v>0.92590000000000006</v>
      </c>
      <c r="V198" s="83">
        <f t="shared" si="63"/>
        <v>1.3376999999999999</v>
      </c>
    </row>
    <row r="199" spans="1:22">
      <c r="A199" s="75">
        <v>11</v>
      </c>
      <c r="B199" s="114" t="s">
        <v>218</v>
      </c>
      <c r="C199" s="115" t="s">
        <v>215</v>
      </c>
      <c r="D199" s="27">
        <v>4495620684.71</v>
      </c>
      <c r="E199" s="10">
        <f t="shared" si="57"/>
        <v>0.39018926138251381</v>
      </c>
      <c r="F199" s="21">
        <v>31.34</v>
      </c>
      <c r="G199" s="21">
        <v>31.54</v>
      </c>
      <c r="H199" s="63">
        <v>213</v>
      </c>
      <c r="I199" s="28">
        <v>7.8899999999999998E-2</v>
      </c>
      <c r="J199" s="28">
        <v>0.1148</v>
      </c>
      <c r="K199" s="27">
        <v>5121899395.3299999</v>
      </c>
      <c r="L199" s="10">
        <f t="shared" si="58"/>
        <v>0.39999837248648612</v>
      </c>
      <c r="M199" s="21">
        <v>35.770000000000003</v>
      </c>
      <c r="N199" s="21">
        <v>35.869999999999997</v>
      </c>
      <c r="O199" s="63">
        <v>212</v>
      </c>
      <c r="P199" s="28">
        <v>0.13619999999999999</v>
      </c>
      <c r="Q199" s="28">
        <v>0.26669999999999999</v>
      </c>
      <c r="R199" s="81">
        <f t="shared" si="59"/>
        <v>0.13930861933036937</v>
      </c>
      <c r="S199" s="81">
        <f t="shared" si="60"/>
        <v>0.13728598604946096</v>
      </c>
      <c r="T199" s="81">
        <f t="shared" si="61"/>
        <v>-4.6948356807511738E-3</v>
      </c>
      <c r="U199" s="81">
        <f t="shared" si="62"/>
        <v>5.729999999999999E-2</v>
      </c>
      <c r="V199" s="83">
        <f t="shared" si="63"/>
        <v>0.15189999999999998</v>
      </c>
    </row>
    <row r="200" spans="1:22">
      <c r="A200" s="75">
        <v>12</v>
      </c>
      <c r="B200" s="114" t="s">
        <v>219</v>
      </c>
      <c r="C200" s="115" t="s">
        <v>215</v>
      </c>
      <c r="D200" s="29">
        <v>307750328.35000002</v>
      </c>
      <c r="E200" s="10">
        <f t="shared" si="57"/>
        <v>2.6710632798162482E-2</v>
      </c>
      <c r="F200" s="21">
        <v>29.34</v>
      </c>
      <c r="G200" s="21">
        <v>29.54</v>
      </c>
      <c r="H200" s="63">
        <v>46</v>
      </c>
      <c r="I200" s="28">
        <v>0.1057</v>
      </c>
      <c r="J200" s="28">
        <v>0.1057</v>
      </c>
      <c r="K200" s="29">
        <v>449658793.63999999</v>
      </c>
      <c r="L200" s="10">
        <f t="shared" si="58"/>
        <v>3.511642298055101E-2</v>
      </c>
      <c r="M200" s="21">
        <v>43.14</v>
      </c>
      <c r="N200" s="21">
        <v>43.34</v>
      </c>
      <c r="O200" s="63">
        <v>46</v>
      </c>
      <c r="P200" s="28">
        <v>0.32150000000000001</v>
      </c>
      <c r="Q200" s="28">
        <v>0.46110000000000001</v>
      </c>
      <c r="R200" s="81">
        <f t="shared" si="59"/>
        <v>0.46111556095111456</v>
      </c>
      <c r="S200" s="81">
        <f t="shared" si="60"/>
        <v>0.4671631685849697</v>
      </c>
      <c r="T200" s="81">
        <f t="shared" si="61"/>
        <v>0</v>
      </c>
      <c r="U200" s="81">
        <f t="shared" si="62"/>
        <v>0.21579999999999999</v>
      </c>
      <c r="V200" s="83">
        <f t="shared" si="63"/>
        <v>0.35539999999999999</v>
      </c>
    </row>
    <row r="201" spans="1:22">
      <c r="A201" s="43"/>
      <c r="B201" s="43"/>
      <c r="C201" s="74" t="s">
        <v>220</v>
      </c>
      <c r="D201" s="73">
        <f>SUM(D189:D200)</f>
        <v>11521641238.360001</v>
      </c>
      <c r="E201" s="24"/>
      <c r="F201" s="24"/>
      <c r="G201" s="22"/>
      <c r="H201" s="73">
        <f>SUM(H189:H200)</f>
        <v>1561</v>
      </c>
      <c r="I201" s="23"/>
      <c r="J201" s="23"/>
      <c r="K201" s="73">
        <f>SUM(K189:K200)</f>
        <v>12804800588.289999</v>
      </c>
      <c r="L201" s="24"/>
      <c r="M201" s="24"/>
      <c r="N201" s="22"/>
      <c r="O201" s="73">
        <f>SUM(O189:O200)</f>
        <v>1580</v>
      </c>
      <c r="P201" s="23"/>
      <c r="Q201" s="23"/>
      <c r="R201" s="81">
        <f t="shared" si="59"/>
        <v>0.11136949358029519</v>
      </c>
      <c r="S201" s="81" t="e">
        <f t="shared" si="60"/>
        <v>#DIV/0!</v>
      </c>
      <c r="T201" s="81">
        <f t="shared" si="61"/>
        <v>1.2171684817424727E-2</v>
      </c>
      <c r="U201" s="81">
        <f t="shared" si="62"/>
        <v>0</v>
      </c>
      <c r="V201" s="83">
        <f t="shared" si="63"/>
        <v>0</v>
      </c>
    </row>
    <row r="202" spans="1:22">
      <c r="A202" s="88"/>
      <c r="B202" s="88"/>
      <c r="C202" s="89" t="s">
        <v>221</v>
      </c>
      <c r="D202" s="90">
        <f>SUM(D181,D186,D201)</f>
        <v>2324391331049.647</v>
      </c>
      <c r="E202" s="91"/>
      <c r="F202" s="91"/>
      <c r="G202" s="92"/>
      <c r="H202" s="90">
        <f>SUM(H181,H186,H201)</f>
        <v>774525</v>
      </c>
      <c r="I202" s="93"/>
      <c r="J202" s="93"/>
      <c r="K202" s="90">
        <f>SUM(K181,K186,K201)</f>
        <v>2322941117155.4126</v>
      </c>
      <c r="L202" s="91"/>
      <c r="M202" s="91"/>
      <c r="N202" s="92"/>
      <c r="O202" s="90">
        <f>SUM(O181,O186,O201)</f>
        <v>776509</v>
      </c>
      <c r="P202" s="94"/>
      <c r="Q202" s="90"/>
      <c r="R202" s="156">
        <f t="shared" si="59"/>
        <v>-6.2391124715625596E-4</v>
      </c>
      <c r="S202" s="95"/>
      <c r="T202" s="95"/>
      <c r="U202" s="96"/>
      <c r="V202" s="96"/>
    </row>
    <row r="203" spans="1:22">
      <c r="A203" s="111" t="s">
        <v>250</v>
      </c>
      <c r="B203" s="112" t="s">
        <v>263</v>
      </c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</row>
    <row r="205" spans="1:22">
      <c r="C205" s="117"/>
    </row>
    <row r="206" spans="1:22">
      <c r="B206" s="117"/>
      <c r="D206" s="116"/>
    </row>
  </sheetData>
  <sheetProtection algorithmName="SHA-512" hashValue="g1Hy9rk0KJnt/U+bgzYiOZ1RucAufXAi9nUbewlNcUYNd2jg5a5FMWiFDZej8a0cl34ox/KfbW98+nddPz4/Kw==" saltValue="nkKCYuQ0tO/FVPFwv65HqQ==" spinCount="100000" sheet="1" objects="1" scenarios="1"/>
  <protectedRanges>
    <protectedRange password="CADF" sqref="K10 D10" name="Fund Name_1_1_1_3_1_1_2"/>
    <protectedRange password="CADF" sqref="O53:Q53 H53:J53" name="Yield_1_1_1_1_1_2"/>
    <protectedRange password="CADF" sqref="O47:Q48 H47:J48" name="Yield_1_1_2_1_1_1_1_1_2"/>
    <protectedRange password="CADF" sqref="K81 D81" name="Yield_2_1_2_1_1_2"/>
    <protectedRange password="CADF" sqref="O81:Q81 H81:J81" name="Yield_1_1_2_1_2_1_2"/>
    <protectedRange password="CADF" sqref="M81:N81 F81:G81" name="Fund Name_2_2_1_1_2"/>
    <protectedRange password="CADF" sqref="N79 G79" name="BidOffer Prices_2_1_1_1_1_1_1_1_1_1_2"/>
    <protectedRange password="CADF" sqref="K99:K100 D99:D100" name="Yield_2_1_2_6_3_2"/>
    <protectedRange password="CADF" sqref="K144 K153:K154 D144 D153:D154" name="Fund Name_1_1_1_2_2"/>
  </protectedRanges>
  <mergeCells count="31">
    <mergeCell ref="A187:V187"/>
    <mergeCell ref="A188:V188"/>
    <mergeCell ref="A164:V164"/>
    <mergeCell ref="A167:V167"/>
    <mergeCell ref="A168:V168"/>
    <mergeCell ref="A182:U182"/>
    <mergeCell ref="A183:V183"/>
    <mergeCell ref="A163:V163"/>
    <mergeCell ref="A92:V92"/>
    <mergeCell ref="A93:V93"/>
    <mergeCell ref="A106:V106"/>
    <mergeCell ref="A107:V107"/>
    <mergeCell ref="A119:V119"/>
    <mergeCell ref="A120:V120"/>
    <mergeCell ref="A127:V127"/>
    <mergeCell ref="A128:V128"/>
    <mergeCell ref="A156:V156"/>
    <mergeCell ref="A157:V157"/>
    <mergeCell ref="A162:V162"/>
    <mergeCell ref="A91:V91"/>
    <mergeCell ref="A1:V1"/>
    <mergeCell ref="U2:V2"/>
    <mergeCell ref="A4:V4"/>
    <mergeCell ref="A5:V5"/>
    <mergeCell ref="A23:V23"/>
    <mergeCell ref="A24:V24"/>
    <mergeCell ref="A56:V56"/>
    <mergeCell ref="A57:V57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78 E78 E62" formula="1"/>
    <ignoredError sqref="S12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workbookViewId="0">
      <selection activeCell="I1" sqref="I1"/>
    </sheetView>
  </sheetViews>
  <sheetFormatPr defaultRowHeight="15"/>
  <cols>
    <col min="1" max="1" width="34" customWidth="1"/>
    <col min="2" max="2" width="17.5703125" customWidth="1"/>
    <col min="3" max="3" width="17.42578125" customWidth="1"/>
  </cols>
  <sheetData>
    <row r="1" spans="1:3">
      <c r="A1" s="98"/>
      <c r="B1" s="98"/>
      <c r="C1" s="98"/>
    </row>
    <row r="2" spans="1:3">
      <c r="A2" s="98"/>
      <c r="B2" s="98"/>
      <c r="C2" s="98"/>
    </row>
    <row r="3" spans="1:3">
      <c r="A3" s="98"/>
      <c r="B3" s="98"/>
      <c r="C3" s="98"/>
    </row>
    <row r="4" spans="1:3" ht="33" customHeight="1">
      <c r="A4" s="118" t="s">
        <v>222</v>
      </c>
      <c r="B4" s="119" t="s">
        <v>258</v>
      </c>
      <c r="C4" s="119" t="s">
        <v>266</v>
      </c>
    </row>
    <row r="5" spans="1:3" ht="19.5" customHeight="1">
      <c r="A5" s="120" t="s">
        <v>15</v>
      </c>
      <c r="B5" s="121">
        <f>26318158433.3255/1000000000</f>
        <v>26.3181584333255</v>
      </c>
      <c r="C5" s="121">
        <f>30206984491.4949/1000000000</f>
        <v>30.2069844914949</v>
      </c>
    </row>
    <row r="6" spans="1:3" ht="16.5">
      <c r="A6" s="122" t="s">
        <v>47</v>
      </c>
      <c r="B6" s="123">
        <f>903708318785.281/1000000000</f>
        <v>903.70831878528099</v>
      </c>
      <c r="C6" s="123">
        <f>930010368618.945/1000000000</f>
        <v>930.01036861894499</v>
      </c>
    </row>
    <row r="7" spans="1:3" ht="16.5">
      <c r="A7" s="122" t="s">
        <v>223</v>
      </c>
      <c r="B7" s="121">
        <f>287055376560.052/1000000000</f>
        <v>287.05537656005203</v>
      </c>
      <c r="C7" s="121">
        <f>288027196204.475/1000000000</f>
        <v>288.02719620447499</v>
      </c>
    </row>
    <row r="8" spans="1:3" ht="16.5">
      <c r="A8" s="122" t="s">
        <v>128</v>
      </c>
      <c r="B8" s="123">
        <f>726920775377.211/1000000000</f>
        <v>726.92077537721104</v>
      </c>
      <c r="C8" s="123">
        <f>765722989499.459/1000000000</f>
        <v>765.722989499459</v>
      </c>
    </row>
    <row r="9" spans="1:3" ht="16.5">
      <c r="A9" s="122" t="s">
        <v>224</v>
      </c>
      <c r="B9" s="121">
        <f>96815736652.8144/1000000000</f>
        <v>96.815736652814408</v>
      </c>
      <c r="C9" s="121">
        <f>99595668997.2228/1000000000</f>
        <v>99.595668997222788</v>
      </c>
    </row>
    <row r="10" spans="1:3" ht="16.5">
      <c r="A10" s="122" t="s">
        <v>154</v>
      </c>
      <c r="B10" s="124">
        <f>44249451355.6766/1000000000</f>
        <v>44.249451355676598</v>
      </c>
      <c r="C10" s="124">
        <f>49666823038.9761/1000000000</f>
        <v>49.666823038976098</v>
      </c>
    </row>
    <row r="11" spans="1:3" ht="16.5">
      <c r="A11" s="122" t="s">
        <v>178</v>
      </c>
      <c r="B11" s="121">
        <f>4619717314.71/1000000000</f>
        <v>4.6197173147099999</v>
      </c>
      <c r="C11" s="121">
        <f>5180809308.12/1000000000</f>
        <v>5.1808093081199997</v>
      </c>
    </row>
    <row r="12" spans="1:3" ht="16.5">
      <c r="A12" s="122" t="s">
        <v>225</v>
      </c>
      <c r="B12" s="121">
        <f>47837509740.9087/1000000000</f>
        <v>47.8375097409087</v>
      </c>
      <c r="C12" s="121">
        <f>47060563752.9392/1000000000</f>
        <v>47.060563752939203</v>
      </c>
    </row>
    <row r="13" spans="1:3">
      <c r="A13" s="98"/>
      <c r="B13" s="98"/>
      <c r="C13" s="98"/>
    </row>
    <row r="14" spans="1:3">
      <c r="A14" s="98"/>
      <c r="B14" s="98"/>
      <c r="C14" s="98"/>
    </row>
    <row r="15" spans="1:3">
      <c r="A15" s="98"/>
      <c r="B15" s="98"/>
      <c r="C15" s="98"/>
    </row>
    <row r="16" spans="1:3" ht="16.5">
      <c r="A16" s="98"/>
      <c r="B16" s="121">
        <v>30206984491.4949</v>
      </c>
      <c r="C16" s="125"/>
    </row>
    <row r="17" spans="1:3" ht="16.5">
      <c r="A17" s="98"/>
      <c r="B17" s="123">
        <v>930010368618.94495</v>
      </c>
      <c r="C17" s="121"/>
    </row>
    <row r="18" spans="1:3" ht="16.5">
      <c r="A18" s="126"/>
      <c r="B18" s="121">
        <v>288027196204.47498</v>
      </c>
      <c r="C18" s="123"/>
    </row>
    <row r="19" spans="1:3" ht="16.5">
      <c r="A19" s="127"/>
      <c r="B19" s="123">
        <v>765722989499.45898</v>
      </c>
      <c r="C19" s="121"/>
    </row>
    <row r="20" spans="1:3" ht="16.5">
      <c r="A20" s="127"/>
      <c r="B20" s="121">
        <v>99595668997.222794</v>
      </c>
      <c r="C20" s="123"/>
    </row>
    <row r="21" spans="1:3" ht="16.5">
      <c r="A21" s="127"/>
      <c r="B21" s="124">
        <v>49666823038.976097</v>
      </c>
      <c r="C21" s="128"/>
    </row>
    <row r="22" spans="1:3" ht="16.5">
      <c r="A22" s="127"/>
      <c r="B22" s="121">
        <v>5180809308.1199999</v>
      </c>
      <c r="C22" s="129"/>
    </row>
    <row r="23" spans="1:3" ht="16.5">
      <c r="A23" s="127"/>
      <c r="B23" s="121">
        <v>47060563752.939201</v>
      </c>
      <c r="C23" s="130"/>
    </row>
    <row r="24" spans="1:3" ht="16.5">
      <c r="A24" s="127"/>
      <c r="B24" s="130"/>
      <c r="C24" s="130"/>
    </row>
    <row r="25" spans="1:3" ht="16.5">
      <c r="A25" s="140"/>
      <c r="B25" s="105"/>
      <c r="C25" s="105"/>
    </row>
    <row r="26" spans="1:3" ht="16.5">
      <c r="A26" s="140"/>
      <c r="B26" s="105"/>
      <c r="C26" s="105"/>
    </row>
    <row r="27" spans="1:3">
      <c r="B27" s="100"/>
      <c r="C27" s="100"/>
    </row>
    <row r="28" spans="1:3">
      <c r="B28" s="100"/>
      <c r="C28" s="100"/>
    </row>
  </sheetData>
  <sheetProtection algorithmName="SHA-512" hashValue="HDVmQGO34O2IXsu1rPdDRa9IMiaFIzUFv1GJkHicv2m3cgnE6RxNlDHTdaRc1lQqiLN3ZW3lRWJ0WxgTjsc6wg==" saltValue="99lijN38kYc6CniZU6G/R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N1" sqref="N1"/>
    </sheetView>
  </sheetViews>
  <sheetFormatPr defaultRowHeight="15"/>
  <cols>
    <col min="1" max="1" width="26.7109375" customWidth="1"/>
    <col min="2" max="2" width="17.42578125" customWidth="1"/>
  </cols>
  <sheetData>
    <row r="1" spans="1:2" ht="16.5">
      <c r="A1" s="135" t="s">
        <v>222</v>
      </c>
      <c r="B1" s="136">
        <v>45310</v>
      </c>
    </row>
    <row r="2" spans="1:2" ht="16.5">
      <c r="A2" s="137" t="s">
        <v>178</v>
      </c>
      <c r="B2" s="47">
        <v>5180809308.1199999</v>
      </c>
    </row>
    <row r="3" spans="1:2" ht="16.5">
      <c r="A3" s="137" t="s">
        <v>15</v>
      </c>
      <c r="B3" s="47">
        <v>30206984491.494904</v>
      </c>
    </row>
    <row r="4" spans="1:2" ht="16.5">
      <c r="A4" s="137" t="s">
        <v>154</v>
      </c>
      <c r="B4" s="47">
        <v>47060563752.939224</v>
      </c>
    </row>
    <row r="5" spans="1:2" ht="16.5">
      <c r="A5" s="137" t="s">
        <v>225</v>
      </c>
      <c r="B5" s="49">
        <v>49666823038.976089</v>
      </c>
    </row>
    <row r="6" spans="1:2" ht="16.5">
      <c r="A6" s="137" t="s">
        <v>224</v>
      </c>
      <c r="B6" s="47">
        <v>99595668997.222809</v>
      </c>
    </row>
    <row r="7" spans="1:2" ht="16.5">
      <c r="A7" s="137" t="s">
        <v>223</v>
      </c>
      <c r="B7" s="47">
        <v>288027196204.47491</v>
      </c>
    </row>
    <row r="8" spans="1:2" ht="16.5">
      <c r="A8" s="137" t="s">
        <v>128</v>
      </c>
      <c r="B8" s="48">
        <v>765722989499.45947</v>
      </c>
    </row>
    <row r="9" spans="1:2" ht="16.5">
      <c r="A9" s="137" t="s">
        <v>47</v>
      </c>
      <c r="B9" s="48">
        <v>930010368618.9447</v>
      </c>
    </row>
    <row r="10" spans="1:2">
      <c r="A10" s="100"/>
      <c r="B10" s="100"/>
    </row>
    <row r="11" spans="1:2">
      <c r="A11" s="100"/>
      <c r="B11" s="100"/>
    </row>
    <row r="12" spans="1:2" ht="16.5">
      <c r="A12" s="137"/>
      <c r="B12" s="100"/>
    </row>
    <row r="13" spans="1:2" ht="16.5">
      <c r="A13" s="47">
        <v>5180809308.1199999</v>
      </c>
      <c r="B13" s="138"/>
    </row>
    <row r="14" spans="1:2" ht="16.5">
      <c r="A14" s="47">
        <v>30206984491.494904</v>
      </c>
      <c r="B14" s="138"/>
    </row>
    <row r="15" spans="1:2" ht="16.5">
      <c r="A15" s="47">
        <v>47060563752.939224</v>
      </c>
      <c r="B15" s="49"/>
    </row>
    <row r="16" spans="1:2" ht="16.5">
      <c r="A16" s="49">
        <v>49666823038.976089</v>
      </c>
      <c r="B16" s="138"/>
    </row>
    <row r="17" spans="1:17" ht="16.5">
      <c r="A17" s="47">
        <v>99595668997.222809</v>
      </c>
      <c r="B17" s="138"/>
    </row>
    <row r="18" spans="1:17" ht="16.5">
      <c r="A18" s="47">
        <v>288027196204.47491</v>
      </c>
      <c r="B18" s="138"/>
    </row>
    <row r="19" spans="1:17" ht="16.5">
      <c r="A19" s="48">
        <v>765722989499.45947</v>
      </c>
      <c r="B19" s="139"/>
    </row>
    <row r="20" spans="1:17" ht="16.5">
      <c r="A20" s="48">
        <v>930010368618.9447</v>
      </c>
      <c r="B20" s="139"/>
    </row>
    <row r="21" spans="1:17" ht="16.5">
      <c r="A21" s="140"/>
      <c r="B21" s="139"/>
    </row>
    <row r="22" spans="1:17" ht="16.5">
      <c r="A22" s="100"/>
      <c r="B22" s="141"/>
    </row>
    <row r="23" spans="1:17">
      <c r="A23" s="100"/>
      <c r="B23" s="100"/>
    </row>
    <row r="24" spans="1:17">
      <c r="A24" s="100"/>
      <c r="B24" s="100"/>
    </row>
    <row r="25" spans="1:17">
      <c r="A25" s="100"/>
      <c r="B25" s="100"/>
    </row>
    <row r="26" spans="1:17">
      <c r="A26" s="100"/>
      <c r="B26" s="100"/>
    </row>
    <row r="32" spans="1:17" ht="16.5" customHeight="1">
      <c r="A32" s="155" t="s">
        <v>267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09"/>
    </row>
    <row r="33" spans="1:17" ht="15" customHeight="1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09"/>
    </row>
  </sheetData>
  <sheetProtection algorithmName="SHA-512" hashValue="hun54+dsMw2rRFq/mJQtF9dOC1T1t14/xP/mch256GVHJkt8uMKEJz+V7sDqhrW9TD7i3MXfKRg7UtPNKb7X1Q==" saltValue="iLocGrwEU+VMJ76K2pxXdQ==" spinCount="100000" sheet="1" objects="1" scenarios="1"/>
  <sortState xmlns:xlrd2="http://schemas.microsoft.com/office/spreadsheetml/2017/richdata2" ref="A13:A20">
    <sortCondition ref="A13:A20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"/>
  <sheetViews>
    <sheetView zoomScale="110" zoomScaleNormal="110" workbookViewId="0">
      <selection activeCell="I1" sqref="I1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0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10">
      <c r="A2" s="106" t="s">
        <v>233</v>
      </c>
      <c r="B2" s="107">
        <v>45261</v>
      </c>
      <c r="C2" s="107">
        <v>45268</v>
      </c>
      <c r="D2" s="107">
        <v>45275</v>
      </c>
      <c r="E2" s="107">
        <v>45282</v>
      </c>
      <c r="F2" s="107">
        <v>45289</v>
      </c>
      <c r="G2" s="107">
        <v>45296</v>
      </c>
      <c r="H2" s="107">
        <v>45303</v>
      </c>
      <c r="I2" s="107">
        <v>45310</v>
      </c>
      <c r="J2" s="100"/>
    </row>
    <row r="3" spans="1:10">
      <c r="A3" s="106" t="s">
        <v>234</v>
      </c>
      <c r="B3" s="108">
        <f>2120381651104.61/1000000000</f>
        <v>2120.3816511046102</v>
      </c>
      <c r="C3" s="108">
        <f>2247779681993.52/1000000000</f>
        <v>2247.7796819935202</v>
      </c>
      <c r="D3" s="108">
        <f>2080204371491.04/1000000000</f>
        <v>2080.2043714910401</v>
      </c>
      <c r="E3" s="108">
        <f>2101781808992.51/1000000000</f>
        <v>2101.7818089925099</v>
      </c>
      <c r="F3" s="108">
        <f>2134044598687.96/1000000000</f>
        <v>2134.0445986879599</v>
      </c>
      <c r="G3" s="108">
        <f>2137525044219.98/1000000000</f>
        <v>2137.5250442199799</v>
      </c>
      <c r="H3" s="108">
        <f>2218204777155.8/1000000000</f>
        <v>2218.2047771558</v>
      </c>
      <c r="I3" s="108">
        <f>2215471403911.63/1000000000</f>
        <v>2215.4714039116297</v>
      </c>
      <c r="J3" s="100"/>
    </row>
  </sheetData>
  <sheetProtection algorithmName="SHA-512" hashValue="HqNuiNyVZ7seJOFflMUzIZH4n1dOwFhx3A6rM1HiwA2EYo1FVdFTcuoxkZW9gV3Jzv1tzkznjezvJTsQmWH4Zg==" saltValue="hHacZSypMyyxD3IkZfCna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topLeftCell="C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0" ht="16.5">
      <c r="A1" s="44" t="s">
        <v>222</v>
      </c>
      <c r="B1" s="45">
        <v>45254</v>
      </c>
      <c r="C1" s="45">
        <v>45261</v>
      </c>
      <c r="D1" s="45">
        <v>45268</v>
      </c>
      <c r="E1" s="45">
        <v>45275</v>
      </c>
      <c r="F1" s="45">
        <v>45648</v>
      </c>
      <c r="G1" s="45">
        <v>45655</v>
      </c>
      <c r="H1" s="45">
        <v>45296</v>
      </c>
      <c r="I1" s="45">
        <v>45303</v>
      </c>
      <c r="J1" s="45">
        <v>45310</v>
      </c>
    </row>
    <row r="2" spans="1:10" ht="16.5">
      <c r="A2" s="46" t="s">
        <v>15</v>
      </c>
      <c r="B2" s="47">
        <v>22917888550.564899</v>
      </c>
      <c r="C2" s="47">
        <v>23002842288.0406</v>
      </c>
      <c r="D2" s="47">
        <v>23062133182.5075</v>
      </c>
      <c r="E2" s="47">
        <v>23529063102.022598</v>
      </c>
      <c r="F2" s="47">
        <v>24230078910.4828</v>
      </c>
      <c r="G2" s="47">
        <v>24405214546.111698</v>
      </c>
      <c r="H2" s="47">
        <v>26318158433.3255</v>
      </c>
      <c r="I2" s="47">
        <v>27950770849.196804</v>
      </c>
      <c r="J2" s="47">
        <v>30206984491.494904</v>
      </c>
    </row>
    <row r="3" spans="1:10" ht="16.5">
      <c r="A3" s="46" t="s">
        <v>47</v>
      </c>
      <c r="B3" s="48">
        <v>869350685967.34192</v>
      </c>
      <c r="C3" s="48">
        <v>869196903201.49829</v>
      </c>
      <c r="D3" s="48">
        <v>866516570168.81689</v>
      </c>
      <c r="E3" s="48">
        <v>854204297161.97668</v>
      </c>
      <c r="F3" s="48">
        <v>864670150184.58435</v>
      </c>
      <c r="G3" s="48">
        <v>881602898033.37561</v>
      </c>
      <c r="H3" s="48">
        <v>903708318785.28052</v>
      </c>
      <c r="I3" s="48">
        <v>912572121651.28699</v>
      </c>
      <c r="J3" s="48">
        <v>930010368618.9447</v>
      </c>
    </row>
    <row r="4" spans="1:10" ht="16.5">
      <c r="A4" s="46" t="s">
        <v>223</v>
      </c>
      <c r="B4" s="47">
        <v>292383213255.36121</v>
      </c>
      <c r="C4" s="47">
        <v>291948133511.51477</v>
      </c>
      <c r="D4" s="47">
        <v>288458901847.26001</v>
      </c>
      <c r="E4" s="47">
        <v>285507286565.07678</v>
      </c>
      <c r="F4" s="47">
        <v>287057877236.40979</v>
      </c>
      <c r="G4" s="47">
        <v>287675389277.73108</v>
      </c>
      <c r="H4" s="47">
        <v>287055376560.05243</v>
      </c>
      <c r="I4" s="47">
        <v>288835807549.41266</v>
      </c>
      <c r="J4" s="47">
        <v>288027196204.47491</v>
      </c>
    </row>
    <row r="5" spans="1:10" ht="16.5">
      <c r="A5" s="46" t="s">
        <v>128</v>
      </c>
      <c r="B5" s="48">
        <v>652996623374.59875</v>
      </c>
      <c r="C5" s="48">
        <v>749487239675.21936</v>
      </c>
      <c r="D5" s="48">
        <v>882093775634.84949</v>
      </c>
      <c r="E5" s="48">
        <v>728772585155.99414</v>
      </c>
      <c r="F5" s="48">
        <v>736654691955.29309</v>
      </c>
      <c r="G5" s="48">
        <v>750658281364.3822</v>
      </c>
      <c r="H5" s="48">
        <v>726920775377.21094</v>
      </c>
      <c r="I5" s="48">
        <v>790548059586.41138</v>
      </c>
      <c r="J5" s="48">
        <v>765722989499.45947</v>
      </c>
    </row>
    <row r="6" spans="1:10" ht="16.5">
      <c r="A6" s="46" t="s">
        <v>224</v>
      </c>
      <c r="B6" s="47">
        <v>95820553466.403229</v>
      </c>
      <c r="C6" s="47">
        <v>96469811252.586914</v>
      </c>
      <c r="D6" s="47">
        <v>96484505230.946899</v>
      </c>
      <c r="E6" s="47">
        <v>96640447824.753601</v>
      </c>
      <c r="F6" s="47">
        <v>96678842690.618378</v>
      </c>
      <c r="G6" s="47">
        <v>96685745868.738373</v>
      </c>
      <c r="H6" s="47">
        <v>96815736652.814392</v>
      </c>
      <c r="I6" s="47">
        <v>99637490377.51947</v>
      </c>
      <c r="J6" s="47">
        <v>99595668997.222809</v>
      </c>
    </row>
    <row r="7" spans="1:10" ht="16.5">
      <c r="A7" s="46" t="s">
        <v>154</v>
      </c>
      <c r="B7" s="49">
        <v>40186047185.191147</v>
      </c>
      <c r="C7" s="49">
        <v>40757011293.125015</v>
      </c>
      <c r="D7" s="49">
        <v>41347090375.940308</v>
      </c>
      <c r="E7" s="49">
        <v>41464152077.994957</v>
      </c>
      <c r="F7" s="49">
        <v>42133843027.756485</v>
      </c>
      <c r="G7" s="49">
        <v>42555783009.607452</v>
      </c>
      <c r="H7" s="49">
        <v>44249451355.676628</v>
      </c>
      <c r="I7" s="49">
        <v>47102830010.420479</v>
      </c>
      <c r="J7" s="49">
        <v>49666823038.976089</v>
      </c>
    </row>
    <row r="8" spans="1:10" ht="16.5">
      <c r="A8" s="46" t="s">
        <v>178</v>
      </c>
      <c r="B8" s="47">
        <v>4234494815.8499999</v>
      </c>
      <c r="C8" s="47">
        <v>4265839491.7800002</v>
      </c>
      <c r="D8" s="47">
        <v>4291989601.98</v>
      </c>
      <c r="E8" s="47">
        <v>4336895308.5699997</v>
      </c>
      <c r="F8" s="47">
        <v>4362447114.04</v>
      </c>
      <c r="G8" s="47">
        <v>4392041950.5100002</v>
      </c>
      <c r="H8" s="47">
        <v>4619717314.71</v>
      </c>
      <c r="I8" s="47">
        <v>4848445844.8000002</v>
      </c>
      <c r="J8" s="47">
        <v>5180809308.1199999</v>
      </c>
    </row>
    <row r="9" spans="1:10" ht="16.5">
      <c r="A9" s="46" t="s">
        <v>225</v>
      </c>
      <c r="B9" s="47">
        <v>45908361267.540009</v>
      </c>
      <c r="C9" s="47">
        <v>45253870390.850006</v>
      </c>
      <c r="D9" s="47">
        <v>45524715951.214706</v>
      </c>
      <c r="E9" s="47">
        <v>45749644294.654205</v>
      </c>
      <c r="F9" s="47">
        <v>45993877873.32811</v>
      </c>
      <c r="G9" s="47">
        <v>46069244637.507507</v>
      </c>
      <c r="H9" s="47">
        <v>47837509740.908691</v>
      </c>
      <c r="I9" s="47">
        <v>46709251286.749229</v>
      </c>
      <c r="J9" s="47">
        <v>47060563752.939224</v>
      </c>
    </row>
    <row r="10" spans="1:10" ht="15.75">
      <c r="A10" s="50" t="s">
        <v>226</v>
      </c>
      <c r="B10" s="51">
        <f t="shared" ref="B10:J10" si="0">SUM(B2:B9)</f>
        <v>2023797867882.8513</v>
      </c>
      <c r="C10" s="51">
        <f t="shared" si="0"/>
        <v>2120381651104.615</v>
      </c>
      <c r="D10" s="51">
        <f t="shared" si="0"/>
        <v>2247779681993.5161</v>
      </c>
      <c r="E10" s="51">
        <f t="shared" si="0"/>
        <v>2080204371491.0432</v>
      </c>
      <c r="F10" s="51">
        <f t="shared" si="0"/>
        <v>2101781808992.5132</v>
      </c>
      <c r="G10" s="51">
        <f t="shared" si="0"/>
        <v>2134044598687.9639</v>
      </c>
      <c r="H10" s="51">
        <f t="shared" si="0"/>
        <v>2137525044219.979</v>
      </c>
      <c r="I10" s="51">
        <f t="shared" si="0"/>
        <v>2218204777155.7969</v>
      </c>
      <c r="J10" s="51">
        <f t="shared" si="0"/>
        <v>2215471403911.6323</v>
      </c>
    </row>
    <row r="11" spans="1:10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0" ht="15.75">
      <c r="A12" s="54" t="s">
        <v>227</v>
      </c>
      <c r="B12" s="55" t="s">
        <v>228</v>
      </c>
      <c r="C12" s="56">
        <f>(B10+C10)/2</f>
        <v>2072089759493.7332</v>
      </c>
      <c r="D12" s="57">
        <f t="shared" ref="D12:J12" si="1">(C10+D10)/2</f>
        <v>2184080666549.0654</v>
      </c>
      <c r="E12" s="57">
        <f t="shared" si="1"/>
        <v>2163992026742.2798</v>
      </c>
      <c r="F12" s="57">
        <f t="shared" si="1"/>
        <v>2090993090241.7783</v>
      </c>
      <c r="G12" s="57">
        <f>(F10+G10)/2</f>
        <v>2117913203840.2385</v>
      </c>
      <c r="H12" s="57">
        <f t="shared" si="1"/>
        <v>2135784821453.9714</v>
      </c>
      <c r="I12" s="57">
        <f t="shared" si="1"/>
        <v>2177864910687.8879</v>
      </c>
      <c r="J12" s="57">
        <f t="shared" si="1"/>
        <v>2216838090533.7148</v>
      </c>
    </row>
    <row r="15" spans="1:10">
      <c r="C15" s="108"/>
      <c r="D15" s="108"/>
      <c r="E15" s="108"/>
      <c r="F15" s="108"/>
      <c r="G15" s="108"/>
      <c r="H15" s="108"/>
      <c r="I15" s="108"/>
      <c r="J15" s="108"/>
    </row>
    <row r="16" spans="1:10">
      <c r="C16" s="108"/>
      <c r="D16" s="108"/>
      <c r="E16" s="108"/>
      <c r="F16" s="108"/>
      <c r="G16" s="108"/>
      <c r="H16" s="108"/>
      <c r="I16" s="108"/>
      <c r="J16" s="108"/>
    </row>
    <row r="18" spans="3:10">
      <c r="C18" s="70"/>
      <c r="D18" s="70"/>
      <c r="E18" s="70"/>
      <c r="F18" s="70"/>
      <c r="G18" s="70"/>
      <c r="H18" s="70"/>
      <c r="I18" s="70"/>
      <c r="J18" s="70"/>
    </row>
  </sheetData>
  <sheetProtection algorithmName="SHA-512" hashValue="aJas1nJR8byGA5LpC0mBTqJSzt0bZRFErtgyjkuXckXEzaI41BavdI9m11u+HGTYkFfMxsAJm4OyW8EklrCYtg==" saltValue="BkKZamx/NtzMrexaeKd+yA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I10:J10 G10:H10 B10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2024-03-06T15:41:01Z</dcterms:modified>
</cp:coreProperties>
</file>