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5F75FA6A-A085-425E-99A3-698D4F9B95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6" i="1" l="1"/>
  <c r="R130" i="1"/>
  <c r="S130" i="1"/>
  <c r="T130" i="1"/>
  <c r="U130" i="1"/>
  <c r="V130" i="1"/>
  <c r="I3" i="5"/>
  <c r="H3" i="5"/>
  <c r="G3" i="5"/>
  <c r="F3" i="5"/>
  <c r="E3" i="5"/>
  <c r="D3" i="5"/>
  <c r="C3" i="5"/>
  <c r="B3" i="5"/>
  <c r="C12" i="2"/>
  <c r="C11" i="2"/>
  <c r="C10" i="2"/>
  <c r="C9" i="2"/>
  <c r="C8" i="2"/>
  <c r="C7" i="2"/>
  <c r="C6" i="2"/>
  <c r="C5" i="2"/>
  <c r="R150" i="1"/>
  <c r="S150" i="1"/>
  <c r="T150" i="1"/>
  <c r="U150" i="1"/>
  <c r="V150" i="1"/>
  <c r="L150" i="1"/>
  <c r="B12" i="2" l="1"/>
  <c r="B11" i="2"/>
  <c r="B10" i="2"/>
  <c r="B9" i="2"/>
  <c r="B8" i="2"/>
  <c r="B7" i="2"/>
  <c r="B6" i="2"/>
  <c r="B5" i="2"/>
  <c r="N97" i="1"/>
  <c r="M97" i="1"/>
  <c r="K97" i="1"/>
  <c r="N102" i="1"/>
  <c r="M102" i="1"/>
  <c r="K102" i="1"/>
  <c r="N104" i="1"/>
  <c r="M104" i="1"/>
  <c r="K104" i="1"/>
  <c r="N113" i="1" l="1"/>
  <c r="M113" i="1"/>
  <c r="N101" i="1"/>
  <c r="M101" i="1"/>
  <c r="K101" i="1"/>
  <c r="N114" i="1"/>
  <c r="M114" i="1"/>
  <c r="N95" i="1"/>
  <c r="M95" i="1"/>
  <c r="K95" i="1"/>
  <c r="R112" i="1" l="1"/>
  <c r="S112" i="1"/>
  <c r="N117" i="1"/>
  <c r="M117" i="1"/>
  <c r="N103" i="1"/>
  <c r="M103" i="1"/>
  <c r="K103" i="1"/>
  <c r="N96" i="1"/>
  <c r="M96" i="1"/>
  <c r="K96" i="1"/>
  <c r="N109" i="1" l="1"/>
  <c r="M109" i="1"/>
  <c r="K109" i="1"/>
  <c r="S172" i="1"/>
  <c r="V112" i="1"/>
  <c r="U112" i="1"/>
  <c r="T112" i="1"/>
  <c r="G117" i="1" l="1"/>
  <c r="F117" i="1"/>
  <c r="G113" i="1"/>
  <c r="F113" i="1"/>
  <c r="G109" i="1"/>
  <c r="F109" i="1"/>
  <c r="D109" i="1"/>
  <c r="G104" i="1"/>
  <c r="F104" i="1"/>
  <c r="G103" i="1"/>
  <c r="F103" i="1"/>
  <c r="G102" i="1"/>
  <c r="F102" i="1"/>
  <c r="G101" i="1"/>
  <c r="F101" i="1"/>
  <c r="G97" i="1"/>
  <c r="F97" i="1"/>
  <c r="G96" i="1"/>
  <c r="F96" i="1"/>
  <c r="G95" i="1"/>
  <c r="F95" i="1"/>
  <c r="G94" i="1"/>
  <c r="F94" i="1"/>
  <c r="D104" i="1"/>
  <c r="D103" i="1"/>
  <c r="D102" i="1"/>
  <c r="D101" i="1"/>
  <c r="D97" i="1"/>
  <c r="D96" i="1"/>
  <c r="D95" i="1"/>
  <c r="R191" i="1" l="1"/>
  <c r="R192" i="1"/>
  <c r="R65" i="1" l="1"/>
  <c r="V73" i="1" l="1"/>
  <c r="U73" i="1"/>
  <c r="T73" i="1"/>
  <c r="S73" i="1"/>
  <c r="R73" i="1"/>
  <c r="V78" i="1" l="1"/>
  <c r="U78" i="1"/>
  <c r="T78" i="1"/>
  <c r="S78" i="1"/>
  <c r="R78" i="1"/>
  <c r="I10" i="4" l="1"/>
  <c r="H10" i="4"/>
  <c r="G10" i="4"/>
  <c r="F10" i="4"/>
  <c r="E10" i="4"/>
  <c r="D10" i="4"/>
  <c r="C10" i="4"/>
  <c r="B10" i="4"/>
  <c r="V173" i="1" l="1"/>
  <c r="U173" i="1"/>
  <c r="T173" i="1"/>
  <c r="S173" i="1"/>
  <c r="R173" i="1"/>
  <c r="T32" i="1" l="1"/>
  <c r="S21" i="1" l="1"/>
  <c r="T21" i="1"/>
  <c r="V96" i="1" l="1"/>
  <c r="R96" i="1"/>
  <c r="S96" i="1"/>
  <c r="T96" i="1"/>
  <c r="U96" i="1"/>
  <c r="R12" i="1" l="1"/>
  <c r="R48" i="1" l="1"/>
  <c r="V48" i="1"/>
  <c r="U48" i="1"/>
  <c r="T48" i="1"/>
  <c r="S48" i="1"/>
  <c r="V97" i="1" l="1"/>
  <c r="U97" i="1"/>
  <c r="T97" i="1"/>
  <c r="S97" i="1"/>
  <c r="R97" i="1"/>
  <c r="V122" i="1" l="1"/>
  <c r="U122" i="1"/>
  <c r="T122" i="1"/>
  <c r="S122" i="1"/>
  <c r="R122" i="1"/>
  <c r="R70" i="1" l="1"/>
  <c r="V178" i="1" l="1"/>
  <c r="U178" i="1"/>
  <c r="T178" i="1"/>
  <c r="S178" i="1"/>
  <c r="R178" i="1"/>
  <c r="S166" i="1" l="1"/>
  <c r="D161" i="1" l="1"/>
  <c r="D118" i="1"/>
  <c r="E97" i="1" l="1"/>
  <c r="E112" i="1"/>
  <c r="R88" i="1"/>
  <c r="S88" i="1"/>
  <c r="T88" i="1"/>
  <c r="U88" i="1"/>
  <c r="V88" i="1"/>
  <c r="D201" i="1"/>
  <c r="D180" i="1"/>
  <c r="D126" i="1"/>
  <c r="E122" i="1" s="1"/>
  <c r="D55" i="1"/>
  <c r="E170" i="1" l="1"/>
  <c r="E171" i="1"/>
  <c r="E172" i="1"/>
  <c r="E173" i="1"/>
  <c r="E174" i="1"/>
  <c r="E175" i="1"/>
  <c r="E176" i="1"/>
  <c r="E177" i="1"/>
  <c r="E178" i="1"/>
  <c r="E179" i="1"/>
  <c r="R159" i="1"/>
  <c r="R80" i="1" l="1"/>
  <c r="S80" i="1"/>
  <c r="T80" i="1"/>
  <c r="V80" i="1"/>
  <c r="U80" i="1"/>
  <c r="D22" i="1" l="1"/>
  <c r="R110" i="1" l="1"/>
  <c r="R19" i="1" l="1"/>
  <c r="R190" i="1" l="1"/>
  <c r="S190" i="1"/>
  <c r="T190" i="1"/>
  <c r="U190" i="1"/>
  <c r="V190" i="1"/>
  <c r="S191" i="1"/>
  <c r="T191" i="1"/>
  <c r="U191" i="1"/>
  <c r="V191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S201" i="1"/>
  <c r="U201" i="1"/>
  <c r="V201" i="1"/>
  <c r="V189" i="1"/>
  <c r="U189" i="1"/>
  <c r="T189" i="1"/>
  <c r="S189" i="1"/>
  <c r="R189" i="1"/>
  <c r="V185" i="1"/>
  <c r="U185" i="1"/>
  <c r="T185" i="1"/>
  <c r="S185" i="1"/>
  <c r="R185" i="1"/>
  <c r="V184" i="1"/>
  <c r="U184" i="1"/>
  <c r="T184" i="1"/>
  <c r="S184" i="1"/>
  <c r="R184" i="1"/>
  <c r="R170" i="1"/>
  <c r="S170" i="1"/>
  <c r="T170" i="1"/>
  <c r="U170" i="1"/>
  <c r="V170" i="1"/>
  <c r="R171" i="1"/>
  <c r="S171" i="1"/>
  <c r="T171" i="1"/>
  <c r="U171" i="1"/>
  <c r="V171" i="1"/>
  <c r="R172" i="1"/>
  <c r="T172" i="1"/>
  <c r="U172" i="1"/>
  <c r="V172" i="1"/>
  <c r="R174" i="1"/>
  <c r="S174" i="1"/>
  <c r="T174" i="1"/>
  <c r="U174" i="1"/>
  <c r="V174" i="1"/>
  <c r="R175" i="1"/>
  <c r="S175" i="1"/>
  <c r="T175" i="1"/>
  <c r="U175" i="1"/>
  <c r="V175" i="1"/>
  <c r="R176" i="1"/>
  <c r="S176" i="1"/>
  <c r="T176" i="1"/>
  <c r="U176" i="1"/>
  <c r="V176" i="1"/>
  <c r="R177" i="1"/>
  <c r="S177" i="1"/>
  <c r="T177" i="1"/>
  <c r="U177" i="1"/>
  <c r="V177" i="1"/>
  <c r="R179" i="1"/>
  <c r="S179" i="1"/>
  <c r="T179" i="1"/>
  <c r="U179" i="1"/>
  <c r="V179" i="1"/>
  <c r="S180" i="1"/>
  <c r="U180" i="1"/>
  <c r="V180" i="1"/>
  <c r="V169" i="1"/>
  <c r="U169" i="1"/>
  <c r="T169" i="1"/>
  <c r="S169" i="1"/>
  <c r="R169" i="1"/>
  <c r="V166" i="1"/>
  <c r="U166" i="1"/>
  <c r="T166" i="1"/>
  <c r="R166" i="1"/>
  <c r="V165" i="1"/>
  <c r="U165" i="1"/>
  <c r="T165" i="1"/>
  <c r="S165" i="1"/>
  <c r="R165" i="1"/>
  <c r="S159" i="1"/>
  <c r="T159" i="1"/>
  <c r="U159" i="1"/>
  <c r="V159" i="1"/>
  <c r="R160" i="1"/>
  <c r="S160" i="1"/>
  <c r="T160" i="1"/>
  <c r="U160" i="1"/>
  <c r="V160" i="1"/>
  <c r="S161" i="1"/>
  <c r="U161" i="1"/>
  <c r="V161" i="1"/>
  <c r="V158" i="1"/>
  <c r="U158" i="1"/>
  <c r="T158" i="1"/>
  <c r="S158" i="1"/>
  <c r="R158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U148" i="1"/>
  <c r="V148" i="1"/>
  <c r="R149" i="1"/>
  <c r="S149" i="1"/>
  <c r="T149" i="1"/>
  <c r="U149" i="1"/>
  <c r="V149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S155" i="1"/>
  <c r="U155" i="1"/>
  <c r="V155" i="1"/>
  <c r="V129" i="1"/>
  <c r="U129" i="1"/>
  <c r="T129" i="1"/>
  <c r="S129" i="1"/>
  <c r="R129" i="1"/>
  <c r="R123" i="1"/>
  <c r="S123" i="1"/>
  <c r="T123" i="1"/>
  <c r="U123" i="1"/>
  <c r="V123" i="1"/>
  <c r="R124" i="1"/>
  <c r="S124" i="1"/>
  <c r="T124" i="1"/>
  <c r="U124" i="1"/>
  <c r="V124" i="1"/>
  <c r="R125" i="1"/>
  <c r="S125" i="1"/>
  <c r="T125" i="1"/>
  <c r="U125" i="1"/>
  <c r="V125" i="1"/>
  <c r="S126" i="1"/>
  <c r="U126" i="1"/>
  <c r="V126" i="1"/>
  <c r="V121" i="1"/>
  <c r="U121" i="1"/>
  <c r="T121" i="1"/>
  <c r="S121" i="1"/>
  <c r="R121" i="1"/>
  <c r="R109" i="1"/>
  <c r="S109" i="1"/>
  <c r="T109" i="1"/>
  <c r="U109" i="1"/>
  <c r="V109" i="1"/>
  <c r="S110" i="1"/>
  <c r="T110" i="1"/>
  <c r="U110" i="1"/>
  <c r="V110" i="1"/>
  <c r="R111" i="1"/>
  <c r="S111" i="1"/>
  <c r="T111" i="1"/>
  <c r="U111" i="1"/>
  <c r="V111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S118" i="1"/>
  <c r="U118" i="1"/>
  <c r="V118" i="1"/>
  <c r="V108" i="1"/>
  <c r="U108" i="1"/>
  <c r="T108" i="1"/>
  <c r="S108" i="1"/>
  <c r="R108" i="1"/>
  <c r="R95" i="1"/>
  <c r="S95" i="1"/>
  <c r="T95" i="1"/>
  <c r="U95" i="1"/>
  <c r="V95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V94" i="1"/>
  <c r="U94" i="1"/>
  <c r="T94" i="1"/>
  <c r="S94" i="1"/>
  <c r="R94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9" i="1"/>
  <c r="S89" i="1"/>
  <c r="T89" i="1"/>
  <c r="U89" i="1"/>
  <c r="V89" i="1"/>
  <c r="S90" i="1"/>
  <c r="U90" i="1"/>
  <c r="V90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3" i="1"/>
  <c r="O180" i="1" l="1"/>
  <c r="O201" i="1"/>
  <c r="K201" i="1"/>
  <c r="H201" i="1"/>
  <c r="K186" i="1"/>
  <c r="H186" i="1"/>
  <c r="D186" i="1"/>
  <c r="H180" i="1"/>
  <c r="K180" i="1"/>
  <c r="H161" i="1"/>
  <c r="O161" i="1"/>
  <c r="K161" i="1"/>
  <c r="O155" i="1"/>
  <c r="K155" i="1"/>
  <c r="L130" i="1" s="1"/>
  <c r="H155" i="1"/>
  <c r="D155" i="1"/>
  <c r="O126" i="1"/>
  <c r="K126" i="1"/>
  <c r="L122" i="1" s="1"/>
  <c r="H126" i="1"/>
  <c r="T126" i="1" s="1"/>
  <c r="H118" i="1"/>
  <c r="O118" i="1"/>
  <c r="K118" i="1"/>
  <c r="L112" i="1" s="1"/>
  <c r="O90" i="1"/>
  <c r="K90" i="1"/>
  <c r="L73" i="1" s="1"/>
  <c r="H90" i="1"/>
  <c r="D90" i="1"/>
  <c r="E73" i="1" s="1"/>
  <c r="O55" i="1"/>
  <c r="K55" i="1"/>
  <c r="H55" i="1"/>
  <c r="O22" i="1"/>
  <c r="H22" i="1"/>
  <c r="E130" i="1" l="1"/>
  <c r="E150" i="1"/>
  <c r="L170" i="1"/>
  <c r="L171" i="1"/>
  <c r="L172" i="1"/>
  <c r="L173" i="1"/>
  <c r="L174" i="1"/>
  <c r="L175" i="1"/>
  <c r="L176" i="1"/>
  <c r="L177" i="1"/>
  <c r="L178" i="1"/>
  <c r="L179" i="1"/>
  <c r="L97" i="1"/>
  <c r="L110" i="1"/>
  <c r="L169" i="1"/>
  <c r="E78" i="1"/>
  <c r="L78" i="1"/>
  <c r="L52" i="1"/>
  <c r="L35" i="1"/>
  <c r="L199" i="1"/>
  <c r="L200" i="1"/>
  <c r="E48" i="1"/>
  <c r="L47" i="1"/>
  <c r="L49" i="1"/>
  <c r="L48" i="1"/>
  <c r="L50" i="1"/>
  <c r="L94" i="1"/>
  <c r="L108" i="1"/>
  <c r="L145" i="1"/>
  <c r="L151" i="1"/>
  <c r="L83" i="1"/>
  <c r="L61" i="1"/>
  <c r="L149" i="1"/>
  <c r="L96" i="1"/>
  <c r="L25" i="1"/>
  <c r="L38" i="1"/>
  <c r="T180" i="1"/>
  <c r="L87" i="1"/>
  <c r="L88" i="1"/>
  <c r="E80" i="1"/>
  <c r="E88" i="1"/>
  <c r="T201" i="1"/>
  <c r="L80" i="1"/>
  <c r="T55" i="1"/>
  <c r="T161" i="1"/>
  <c r="R161" i="1"/>
  <c r="T90" i="1"/>
  <c r="T155" i="1"/>
  <c r="T22" i="1"/>
  <c r="R126" i="1"/>
  <c r="R201" i="1"/>
  <c r="T118" i="1"/>
  <c r="O181" i="1"/>
  <c r="O202" i="1" s="1"/>
  <c r="R155" i="1"/>
  <c r="L144" i="1"/>
  <c r="R118" i="1"/>
  <c r="R90" i="1"/>
  <c r="L60" i="1"/>
  <c r="L62" i="1"/>
  <c r="L64" i="1"/>
  <c r="L66" i="1"/>
  <c r="L68" i="1"/>
  <c r="L70" i="1"/>
  <c r="L72" i="1"/>
  <c r="L75" i="1"/>
  <c r="L77" i="1"/>
  <c r="L81" i="1"/>
  <c r="L85" i="1"/>
  <c r="L89" i="1"/>
  <c r="L59" i="1"/>
  <c r="L63" i="1"/>
  <c r="L65" i="1"/>
  <c r="L67" i="1"/>
  <c r="L69" i="1"/>
  <c r="L71" i="1"/>
  <c r="L74" i="1"/>
  <c r="L76" i="1"/>
  <c r="L79" i="1"/>
  <c r="L82" i="1"/>
  <c r="L84" i="1"/>
  <c r="L86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0" i="1"/>
  <c r="H181" i="1"/>
  <c r="H202" i="1" s="1"/>
  <c r="J10" i="4"/>
  <c r="J12" i="4" s="1"/>
  <c r="I12" i="4"/>
  <c r="H12" i="4"/>
  <c r="G12" i="4"/>
  <c r="F12" i="4"/>
  <c r="E12" i="4"/>
  <c r="C12" i="4"/>
  <c r="E197" i="1"/>
  <c r="L198" i="1"/>
  <c r="L197" i="1"/>
  <c r="L195" i="1"/>
  <c r="L194" i="1"/>
  <c r="L193" i="1"/>
  <c r="L191" i="1"/>
  <c r="L190" i="1"/>
  <c r="L189" i="1"/>
  <c r="V186" i="1"/>
  <c r="U186" i="1"/>
  <c r="L184" i="1"/>
  <c r="E184" i="1"/>
  <c r="L166" i="1"/>
  <c r="L158" i="1"/>
  <c r="E160" i="1"/>
  <c r="E154" i="1"/>
  <c r="E151" i="1"/>
  <c r="L143" i="1"/>
  <c r="L141" i="1"/>
  <c r="L138" i="1"/>
  <c r="L135" i="1"/>
  <c r="L133" i="1"/>
  <c r="L129" i="1"/>
  <c r="L124" i="1"/>
  <c r="E125" i="1"/>
  <c r="L125" i="1"/>
  <c r="E87" i="1"/>
  <c r="E86" i="1"/>
  <c r="E84" i="1"/>
  <c r="E82" i="1"/>
  <c r="E79" i="1"/>
  <c r="E76" i="1"/>
  <c r="E74" i="1"/>
  <c r="E71" i="1"/>
  <c r="E69" i="1"/>
  <c r="E67" i="1"/>
  <c r="E65" i="1"/>
  <c r="E63" i="1"/>
  <c r="E61" i="1"/>
  <c r="E59" i="1"/>
  <c r="L51" i="1"/>
  <c r="R55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21" i="1"/>
  <c r="L131" i="1"/>
  <c r="L134" i="1"/>
  <c r="L137" i="1"/>
  <c r="L139" i="1"/>
  <c r="L142" i="1"/>
  <c r="L146" i="1"/>
  <c r="E18" i="1"/>
  <c r="L58" i="1"/>
  <c r="E62" i="1"/>
  <c r="E121" i="1"/>
  <c r="E129" i="1"/>
  <c r="E131" i="1"/>
  <c r="E132" i="1"/>
  <c r="E137" i="1"/>
  <c r="E138" i="1"/>
  <c r="E139" i="1"/>
  <c r="E140" i="1"/>
  <c r="E145" i="1"/>
  <c r="E148" i="1"/>
  <c r="E153" i="1"/>
  <c r="E11" i="1"/>
  <c r="E13" i="1"/>
  <c r="E16" i="1"/>
  <c r="E20" i="1"/>
  <c r="L29" i="1"/>
  <c r="L37" i="1"/>
  <c r="L43" i="1"/>
  <c r="K181" i="1"/>
  <c r="L123" i="1"/>
  <c r="E133" i="1"/>
  <c r="E134" i="1"/>
  <c r="E135" i="1"/>
  <c r="E136" i="1"/>
  <c r="E141" i="1"/>
  <c r="E142" i="1"/>
  <c r="E143" i="1"/>
  <c r="E144" i="1"/>
  <c r="E146" i="1"/>
  <c r="E147" i="1"/>
  <c r="E149" i="1"/>
  <c r="E152" i="1"/>
  <c r="L165" i="1"/>
  <c r="L101" i="1"/>
  <c r="L100" i="1"/>
  <c r="L33" i="1"/>
  <c r="L44" i="1"/>
  <c r="L53" i="1"/>
  <c r="E124" i="1"/>
  <c r="L148" i="1"/>
  <c r="L153" i="1"/>
  <c r="L160" i="1"/>
  <c r="E192" i="1"/>
  <c r="E196" i="1"/>
  <c r="E200" i="1"/>
  <c r="D12" i="4"/>
  <c r="E95" i="1"/>
  <c r="L36" i="1"/>
  <c r="L39" i="1"/>
  <c r="L30" i="1"/>
  <c r="L41" i="1"/>
  <c r="L132" i="1"/>
  <c r="L136" i="1"/>
  <c r="L140" i="1"/>
  <c r="E159" i="1"/>
  <c r="E169" i="1"/>
  <c r="E185" i="1"/>
  <c r="L192" i="1"/>
  <c r="L196" i="1"/>
  <c r="L28" i="1"/>
  <c r="E7" i="1"/>
  <c r="E17" i="1"/>
  <c r="E21" i="1"/>
  <c r="L27" i="1"/>
  <c r="L46" i="1"/>
  <c r="E58" i="1"/>
  <c r="E66" i="1"/>
  <c r="E70" i="1"/>
  <c r="E75" i="1"/>
  <c r="E81" i="1"/>
  <c r="E85" i="1"/>
  <c r="E89" i="1"/>
  <c r="E123" i="1"/>
  <c r="L147" i="1"/>
  <c r="L152" i="1"/>
  <c r="L159" i="1"/>
  <c r="L185" i="1"/>
  <c r="R186" i="1"/>
  <c r="E191" i="1"/>
  <c r="E195" i="1"/>
  <c r="E199" i="1"/>
  <c r="E158" i="1"/>
  <c r="E166" i="1"/>
  <c r="E190" i="1"/>
  <c r="E194" i="1"/>
  <c r="E198" i="1"/>
  <c r="L45" i="1"/>
  <c r="L54" i="1"/>
  <c r="L26" i="1"/>
  <c r="L34" i="1"/>
  <c r="E165" i="1"/>
  <c r="E12" i="1"/>
  <c r="E15" i="1"/>
  <c r="L31" i="1"/>
  <c r="L42" i="1"/>
  <c r="E60" i="1"/>
  <c r="E64" i="1"/>
  <c r="E68" i="1"/>
  <c r="E72" i="1"/>
  <c r="E77" i="1"/>
  <c r="E83" i="1"/>
  <c r="L154" i="1"/>
  <c r="E189" i="1"/>
  <c r="E193" i="1"/>
  <c r="L111" i="1" l="1"/>
  <c r="L95" i="1"/>
  <c r="L98" i="1"/>
  <c r="L104" i="1"/>
  <c r="L114" i="1"/>
  <c r="E109" i="1"/>
  <c r="L99" i="1"/>
  <c r="K202" i="1"/>
  <c r="L22" i="1"/>
  <c r="L155" i="1"/>
  <c r="L55" i="1"/>
  <c r="L126" i="1"/>
  <c r="L90" i="1"/>
  <c r="L118" i="1"/>
  <c r="L180" i="1"/>
  <c r="L161" i="1"/>
  <c r="L103" i="1"/>
  <c r="L102" i="1"/>
  <c r="L117" i="1"/>
  <c r="L113" i="1"/>
  <c r="L115" i="1"/>
  <c r="L105" i="1"/>
  <c r="L116" i="1"/>
  <c r="L109" i="1"/>
  <c r="E116" i="1"/>
  <c r="E113" i="1"/>
  <c r="E105" i="1"/>
  <c r="E102" i="1"/>
  <c r="E99" i="1"/>
  <c r="E104" i="1"/>
  <c r="E100" i="1"/>
  <c r="E110" i="1"/>
  <c r="E101" i="1"/>
  <c r="D181" i="1"/>
  <c r="E117" i="1"/>
  <c r="E94" i="1"/>
  <c r="E103" i="1"/>
  <c r="E98" i="1"/>
  <c r="E115" i="1"/>
  <c r="E114" i="1"/>
  <c r="E111" i="1"/>
  <c r="E108" i="1"/>
  <c r="E118" i="1" l="1"/>
  <c r="R181" i="1"/>
  <c r="E55" i="1"/>
  <c r="E155" i="1"/>
  <c r="D202" i="1"/>
  <c r="E90" i="1"/>
  <c r="E22" i="1"/>
  <c r="E180" i="1"/>
  <c r="E126" i="1"/>
  <c r="E161" i="1"/>
</calcChain>
</file>

<file path=xl/sharedStrings.xml><?xml version="1.0" encoding="utf-8"?>
<sst xmlns="http://schemas.openxmlformats.org/spreadsheetml/2006/main" count="414" uniqueCount="267">
  <si>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</si>
  <si>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</si>
  <si>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</si>
  <si>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</si>
  <si>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</si>
  <si>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</si>
  <si>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</si>
  <si>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</si>
  <si>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</si>
  <si>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</si>
  <si>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</si>
  <si>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</si>
  <si>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</si>
  <si>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</si>
  <si>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</si>
  <si>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</si>
  <si>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</si>
  <si>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</si>
  <si>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</si>
  <si>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</si>
  <si>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</si>
  <si>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</si>
  <si>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</si>
  <si>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</si>
  <si>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</si>
  <si>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</si>
  <si>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</si>
  <si>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</si>
  <si>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</si>
  <si>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</si>
  <si>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</si>
  <si>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</si>
  <si>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</si>
  <si>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</si>
  <si>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</si>
  <si>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</si>
  <si>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</si>
  <si>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</si>
  <si>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</si>
  <si>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</si>
  <si>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</si>
  <si>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</si>
  <si>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</si>
  <si>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</si>
  <si>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</si>
  <si>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</si>
  <si>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</si>
  <si>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</si>
  <si>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</si>
  <si>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</si>
  <si>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</si>
  <si>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</si>
  <si>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</si>
  <si>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</si>
  <si>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</si>
  <si>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</si>
  <si>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</si>
  <si>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</si>
  <si>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</si>
  <si>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</si>
  <si>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</si>
  <si>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</si>
  <si>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</si>
  <si>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</si>
  <si>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</si>
  <si>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</si>
  <si>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</si>
  <si>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</si>
  <si>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</si>
  <si>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</si>
  <si>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</si>
  <si>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</si>
  <si>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</si>
  <si>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</si>
  <si>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</si>
  <si>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</si>
  <si>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</si>
  <si>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</si>
  <si>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</si>
  <si>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</si>
  <si>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</si>
  <si>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</si>
  <si>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</si>
  <si>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</si>
  <si>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</si>
  <si>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</si>
  <si>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</si>
  <si>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</si>
  <si>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</si>
  <si>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</si>
  <si>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</si>
  <si>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</si>
  <si>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</si>
  <si>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</si>
  <si>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</si>
  <si>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</si>
  <si>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</si>
  <si>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</si>
  <si>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</si>
  <si>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</si>
  <si>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</si>
  <si>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</si>
  <si>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</si>
  <si>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</si>
  <si>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</si>
  <si>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</si>
  <si>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</si>
  <si>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</si>
  <si>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</si>
  <si>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</si>
  <si>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</si>
  <si>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</si>
  <si>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</si>
  <si>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</si>
  <si>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</si>
  <si>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</si>
  <si>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</si>
  <si>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</si>
  <si>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</si>
  <si>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</si>
  <si>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</si>
  <si>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</si>
  <si>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</si>
  <si>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</si>
  <si>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</si>
  <si>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</si>
  <si>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</si>
  <si>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</si>
  <si>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</si>
  <si>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</si>
  <si>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</si>
  <si>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</si>
  <si>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</si>
  <si>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</si>
  <si>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</si>
  <si>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</si>
  <si>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</si>
  <si>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</si>
  <si>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</si>
  <si>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</si>
  <si>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</si>
  <si>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</si>
  <si>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</si>
  <si>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</si>
  <si>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</si>
  <si>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</si>
  <si>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</si>
  <si>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</si>
  <si>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</si>
  <si>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</si>
  <si>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</si>
  <si>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</si>
  <si>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</si>
  <si>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</si>
  <si>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</si>
  <si>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</si>
  <si>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</si>
  <si>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</si>
  <si>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</si>
  <si>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</si>
  <si>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</si>
  <si>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</si>
  <si>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</si>
  <si>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</si>
  <si>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</si>
  <si>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</si>
  <si>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</si>
  <si>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</si>
  <si>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</si>
  <si>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</si>
  <si>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</si>
  <si>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</si>
  <si>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</si>
  <si>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</si>
  <si>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</si>
  <si>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</si>
  <si>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</si>
  <si>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</si>
  <si>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</si>
  <si>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</si>
  <si>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</si>
  <si>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</si>
  <si>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</si>
  <si>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</si>
  <si>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</si>
  <si>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</si>
  <si>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</si>
  <si>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</si>
  <si>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</si>
  <si>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</si>
  <si>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</si>
  <si>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</si>
  <si>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</si>
  <si>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</si>
  <si>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</si>
  <si>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</si>
  <si>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</si>
  <si>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</si>
  <si>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</si>
  <si>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</si>
  <si>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</si>
  <si>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</si>
  <si>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</si>
  <si>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</si>
  <si>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</si>
  <si>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</si>
  <si>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</si>
  <si>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</si>
  <si>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</si>
  <si>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</si>
  <si>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</si>
  <si>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</si>
  <si>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</si>
  <si>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</si>
  <si>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</si>
  <si>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</si>
  <si>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</si>
  <si>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</si>
  <si>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</si>
  <si>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</si>
  <si>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</si>
  <si>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</si>
  <si>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</si>
  <si>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</si>
  <si>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</si>
  <si>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</si>
  <si>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</si>
  <si>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</si>
  <si>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</si>
  <si>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</si>
  <si>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</si>
  <si>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</si>
  <si>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</si>
  <si>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</si>
  <si>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</si>
  <si>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</si>
  <si>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</si>
  <si>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</si>
  <si>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</si>
  <si>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</si>
  <si>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</si>
  <si>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</si>
  <si>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</si>
  <si>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</si>
  <si>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</si>
  <si>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</si>
  <si>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</si>
  <si>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</si>
  <si>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</si>
  <si>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</si>
  <si>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</si>
  <si>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</si>
  <si>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</si>
  <si>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NAV, Unit Price and Yield as at Week Ended January 5, 2024</t>
  </si>
  <si>
    <t> 16.60%</t>
  </si>
  <si>
    <t>Week Ended January 5, 2024</t>
  </si>
  <si>
    <t>WEEKLY VALUATION REPORT OF COLLECTIVE INVESTMENT SCHEMES AS AT WEEK ENDED FRIDAY, JANUARY 12, 2024</t>
  </si>
  <si>
    <t>NAV, Unit Price and Yield as at Week Ended January 12, 2024</t>
  </si>
  <si>
    <t>Lead Dollar Fixed Income Fund</t>
  </si>
  <si>
    <t> 16.58%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</si>
  <si>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12</t>
    </r>
    <r>
      <rPr>
        <vertAlign val="superscript"/>
        <sz val="6"/>
        <color theme="0"/>
        <rFont val="Times New Roman"/>
        <family val="1"/>
      </rPr>
      <t>th</t>
    </r>
    <r>
      <rPr>
        <sz val="6"/>
        <color theme="0"/>
        <rFont val="Times New Roman"/>
        <family val="1"/>
      </rPr>
      <t xml:space="preserve"> January, 2024 = 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>865.9922</t>
    </r>
  </si>
  <si>
    <t>Alpha Morgan Capital Managers Limited</t>
  </si>
  <si>
    <t>Alpha Morgan Balanced Fund</t>
  </si>
  <si>
    <t>Week Ended January 12, 2024</t>
  </si>
  <si>
    <t>The Nigeria Football Fund</t>
  </si>
  <si>
    <t>GTI Asset Management &amp; Trust Limited</t>
  </si>
  <si>
    <t>The chart above shows that the Money Market Fund has the highest share of the Aggregate Net Asset Value (NAV) at 41.14% , followed by Dollar Fund category (Eurobonds and Fixed Income) with 35.64%, Bond/Fixed Income Fund at 13.02%, Real Estate Investment Trust at 4.49%.  Next is Balanced Fund at 2.12%, Shari'ah Compliant Fund at 2.11%, Equity Fund at 1.26% and Ethical Fund at 0.22%.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</si>
</sst>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vertAlign val="superscript"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</cellStyleXfs>
  <cellXfs count="151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right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22" fillId="0" borderId="0" xfId="0" applyFont="1"/>
    <xf numFmtId="16" fontId="23" fillId="3" borderId="0" xfId="0" applyNumberFormat="1" applyFont="1" applyFill="1"/>
    <xf numFmtId="164" fontId="24" fillId="0" borderId="0" xfId="1" applyFont="1"/>
    <xf numFmtId="0" fontId="11" fillId="3" borderId="0" xfId="0" applyFont="1" applyFill="1" applyAlignment="1">
      <alignment wrapText="1"/>
    </xf>
    <xf numFmtId="164" fontId="14" fillId="0" borderId="0" xfId="1" applyFont="1"/>
    <xf numFmtId="0" fontId="27" fillId="12" borderId="0" xfId="0" applyFont="1" applyFill="1" applyAlignment="1">
      <alignment horizontal="right" vertical="center"/>
    </xf>
    <xf numFmtId="0" fontId="28" fillId="12" borderId="0" xfId="0" applyFont="1" applyFill="1" applyAlignment="1">
      <alignment horizontal="left"/>
    </xf>
    <xf numFmtId="0" fontId="18" fillId="12" borderId="0" xfId="0" applyFont="1" applyFill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3" fontId="0" fillId="0" borderId="0" xfId="0" applyNumberFormat="1"/>
    <xf numFmtId="49" fontId="6" fillId="0" borderId="5" xfId="0" applyNumberFormat="1" applyFont="1" applyBorder="1" applyAlignment="1">
      <alignment wrapText="1"/>
    </xf>
    <xf numFmtId="0" fontId="32" fillId="0" borderId="0" xfId="0" applyFont="1"/>
    <xf numFmtId="0" fontId="6" fillId="3" borderId="5" xfId="0" applyFont="1" applyFill="1" applyBorder="1" applyAlignment="1">
      <alignment horizontal="left" wrapText="1"/>
    </xf>
    <xf numFmtId="4" fontId="6" fillId="0" borderId="5" xfId="0" applyNumberFormat="1" applyFont="1" applyBorder="1" applyAlignment="1">
      <alignment wrapText="1"/>
    </xf>
    <xf numFmtId="0" fontId="34" fillId="0" borderId="5" xfId="0" applyFont="1" applyBorder="1" applyAlignment="1">
      <alignment horizontal="right"/>
    </xf>
    <xf numFmtId="16" fontId="35" fillId="3" borderId="5" xfId="0" applyNumberFormat="1" applyFont="1" applyFill="1" applyBorder="1" applyAlignment="1">
      <alignment wrapText="1"/>
    </xf>
    <xf numFmtId="0" fontId="35" fillId="0" borderId="5" xfId="0" applyFont="1" applyBorder="1" applyAlignment="1">
      <alignment horizontal="right" wrapText="1"/>
    </xf>
    <xf numFmtId="4" fontId="36" fillId="3" borderId="5" xfId="0" applyNumberFormat="1" applyFont="1" applyFill="1" applyBorder="1"/>
    <xf numFmtId="0" fontId="35" fillId="0" borderId="5" xfId="0" applyFont="1" applyBorder="1" applyAlignment="1">
      <alignment horizontal="right"/>
    </xf>
    <xf numFmtId="4" fontId="36" fillId="3" borderId="5" xfId="0" applyNumberFormat="1" applyFont="1" applyFill="1" applyBorder="1" applyAlignment="1">
      <alignment horizontal="right"/>
    </xf>
    <xf numFmtId="164" fontId="36" fillId="3" borderId="5" xfId="1" applyFont="1" applyFill="1" applyBorder="1" applyAlignment="1">
      <alignment horizontal="right" vertical="top" wrapText="1"/>
    </xf>
    <xf numFmtId="16" fontId="35" fillId="3" borderId="5" xfId="0" applyNumberFormat="1" applyFont="1" applyFill="1" applyBorder="1"/>
    <xf numFmtId="0" fontId="34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4" fontId="36" fillId="3" borderId="10" xfId="0" applyNumberFormat="1" applyFont="1" applyFill="1" applyBorder="1"/>
    <xf numFmtId="164" fontId="36" fillId="3" borderId="0" xfId="1" applyFont="1" applyFill="1" applyBorder="1" applyAlignment="1">
      <alignment horizontal="right" vertical="top" wrapText="1"/>
    </xf>
    <xf numFmtId="4" fontId="36" fillId="3" borderId="0" xfId="0" applyNumberFormat="1" applyFont="1" applyFill="1"/>
    <xf numFmtId="4" fontId="36" fillId="3" borderId="0" xfId="0" applyNumberFormat="1" applyFont="1" applyFill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6" fillId="13" borderId="0" xfId="0" applyFont="1" applyFill="1" applyAlignment="1">
      <alignment horizontal="center" wrapText="1"/>
    </xf>
  </cellXfs>
  <cellStyles count="10">
    <cellStyle name="Comma" xfId="1" builtinId="3"/>
    <cellStyle name="Comma 10 13" xfId="3" xr:uid="{00000000-0005-0000-0000-000001000000}"/>
    <cellStyle name="Comma 2" xfId="7" xr:uid="{00000000-0005-0000-0000-000002000000}"/>
    <cellStyle name="Comma 3 2" xfId="4" xr:uid="{00000000-0005-0000-0000-000003000000}"/>
    <cellStyle name="Comma 4" xfId="9" xr:uid="{7E9A854F-1E87-4896-8102-790EF57093D9}"/>
    <cellStyle name="Normal" xfId="0" builtinId="0"/>
    <cellStyle name="Normal 2" xfId="8" xr:uid="{6E835889-8A32-48B2-8C41-226AFE52856D}"/>
    <cellStyle name="Normal 27 2" xfId="6" xr:uid="{00000000-0005-0000-0000-000005000000}"/>
    <cellStyle name="Percent" xfId="2" builtinId="5"/>
    <cellStyle name="Percent 2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January 5,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26.3181584333255</c:v>
                </c:pt>
                <c:pt idx="1">
                  <c:v>903.70831878528099</c:v>
                </c:pt>
                <c:pt idx="2">
                  <c:v>287.05537656005203</c:v>
                </c:pt>
                <c:pt idx="3">
                  <c:v>726.92077537721104</c:v>
                </c:pt>
                <c:pt idx="4">
                  <c:v>96.815736652814408</c:v>
                </c:pt>
                <c:pt idx="5" formatCode="_-* #,##0.00_-;\-* #,##0.00_-;_-* &quot;-&quot;??_-;_-@_-">
                  <c:v>44.249451355676598</c:v>
                </c:pt>
                <c:pt idx="6">
                  <c:v>4.6197173147099999</c:v>
                </c:pt>
                <c:pt idx="7">
                  <c:v>47.8375097409087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January 12,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27.9507708491968</c:v>
                </c:pt>
                <c:pt idx="1">
                  <c:v>912.57212165128703</c:v>
                </c:pt>
                <c:pt idx="2">
                  <c:v>288.835807549413</c:v>
                </c:pt>
                <c:pt idx="3">
                  <c:v>790.548059586411</c:v>
                </c:pt>
                <c:pt idx="4">
                  <c:v>99.637490377519498</c:v>
                </c:pt>
                <c:pt idx="5" formatCode="_-* #,##0.00_-;\-* #,##0.00_-;_-* &quot;-&quot;??_-;_-@_-">
                  <c:v>47.102830010420504</c:v>
                </c:pt>
                <c:pt idx="6">
                  <c:v>4.8484458448000005</c:v>
                </c:pt>
                <c:pt idx="7">
                  <c:v>46.7092512867492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12TH JANUARY,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12-Jan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4848445844.8000002</c:v>
                </c:pt>
                <c:pt idx="1">
                  <c:v>27950770849.196804</c:v>
                </c:pt>
                <c:pt idx="2">
                  <c:v>46709251286.749229</c:v>
                </c:pt>
                <c:pt idx="3" formatCode="_-* #,##0.00_-;\-* #,##0.00_-;_-* &quot;-&quot;??_-;_-@_-">
                  <c:v>47102830010.420479</c:v>
                </c:pt>
                <c:pt idx="4">
                  <c:v>99637490377.51947</c:v>
                </c:pt>
                <c:pt idx="5">
                  <c:v>288835807549.41266</c:v>
                </c:pt>
                <c:pt idx="6">
                  <c:v>790548059586.41138</c:v>
                </c:pt>
                <c:pt idx="7">
                  <c:v>912572121651.28699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45254</c:v>
                </c:pt>
                <c:pt idx="1">
                  <c:v>45261</c:v>
                </c:pt>
                <c:pt idx="2">
                  <c:v>45268</c:v>
                </c:pt>
                <c:pt idx="3">
                  <c:v>45275</c:v>
                </c:pt>
                <c:pt idx="4">
                  <c:v>45282</c:v>
                </c:pt>
                <c:pt idx="5">
                  <c:v>45289</c:v>
                </c:pt>
                <c:pt idx="6">
                  <c:v>45296</c:v>
                </c:pt>
                <c:pt idx="7">
                  <c:v>45303</c:v>
                </c:pt>
              </c:numCache>
            </c:numRef>
          </c:cat>
          <c:val>
            <c:numRef>
              <c:f>'NAV Movement'!$B$3:$I$3</c:f>
              <c:numCache>
                <c:formatCode>_-* #,##0.00_-;\-* #,##0.00_-;_-* "-"??_-;_-@_-</c:formatCode>
                <c:ptCount val="8"/>
                <c:pt idx="0">
                  <c:v>2023.7978678828501</c:v>
                </c:pt>
                <c:pt idx="1">
                  <c:v>2120.3816511046102</c:v>
                </c:pt>
                <c:pt idx="2">
                  <c:v>2247.7796819935202</c:v>
                </c:pt>
                <c:pt idx="3">
                  <c:v>2080.2043714910401</c:v>
                </c:pt>
                <c:pt idx="4">
                  <c:v>2101.7818089925099</c:v>
                </c:pt>
                <c:pt idx="5">
                  <c:v>2134.0445986879599</c:v>
                </c:pt>
                <c:pt idx="6">
                  <c:v>2137.5250442199799</c:v>
                </c:pt>
                <c:pt idx="7">
                  <c:v>2218.2047771558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60</xdr:row>
      <xdr:rowOff>0</xdr:rowOff>
    </xdr:from>
    <xdr:to>
      <xdr:col>25</xdr:col>
      <xdr:colOff>457201</xdr:colOff>
      <xdr:row>67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25</xdr:col>
      <xdr:colOff>457201</xdr:colOff>
      <xdr:row>67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12</xdr:col>
      <xdr:colOff>529590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6"/>
  <sheetViews>
    <sheetView tabSelected="1" zoomScale="110" zoomScaleNormal="11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>
      <c r="A1" s="141" t="s">
        <v>256</v>
      </c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4"/>
    </row>
    <row r="2" spans="1:25" ht="15" customHeight="1">
      <c r="A2" s="1"/>
      <c r="B2" s="1"/>
      <c r="C2" s="1"/>
      <c r="D2" s="147" t="s">
        <v>253</v>
      </c>
      <c r="E2" s="148"/>
      <c r="F2" s="148"/>
      <c r="G2" s="148"/>
      <c r="H2" s="148"/>
      <c r="I2" s="148"/>
      <c r="J2" s="149"/>
      <c r="K2" s="147" t="s">
        <v>257</v>
      </c>
      <c r="L2" s="148"/>
      <c r="M2" s="148"/>
      <c r="N2" s="148"/>
      <c r="O2" s="148"/>
      <c r="P2" s="148"/>
      <c r="Q2" s="149"/>
      <c r="R2" s="147" t="s">
        <v>0</v>
      </c>
      <c r="S2" s="148"/>
      <c r="T2" s="149"/>
      <c r="U2" s="145" t="s">
        <v>1</v>
      </c>
      <c r="V2" s="145"/>
    </row>
    <row r="3" spans="1:25" ht="25.5">
      <c r="A3" s="82" t="s">
        <v>2</v>
      </c>
      <c r="B3" s="76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5" ht="15" customHeight="1">
      <c r="A5" s="138" t="s">
        <v>15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5">
      <c r="A6" s="75">
        <v>1</v>
      </c>
      <c r="B6" s="116" t="s">
        <v>16</v>
      </c>
      <c r="C6" s="117" t="s">
        <v>17</v>
      </c>
      <c r="D6" s="2">
        <v>895714234.54999995</v>
      </c>
      <c r="E6" s="3">
        <f t="shared" ref="E6:E21" si="0">(D6/$D$22)</f>
        <v>3.403407714940257E-2</v>
      </c>
      <c r="F6" s="8">
        <v>330.58109999999999</v>
      </c>
      <c r="G6" s="8">
        <v>335.05329999999998</v>
      </c>
      <c r="H6" s="60">
        <v>1727</v>
      </c>
      <c r="I6" s="5">
        <v>6.6799999999999998E-2</v>
      </c>
      <c r="J6" s="5">
        <v>6.6799999999999998E-2</v>
      </c>
      <c r="K6" s="2">
        <v>1057911264.51</v>
      </c>
      <c r="L6" s="3">
        <f>(K6/$K$22)</f>
        <v>3.7849090825357333E-2</v>
      </c>
      <c r="M6" s="8">
        <v>347.24239999999998</v>
      </c>
      <c r="N6" s="8">
        <v>349.25630000000001</v>
      </c>
      <c r="O6" s="60">
        <v>1727</v>
      </c>
      <c r="P6" s="5">
        <v>5.04E-2</v>
      </c>
      <c r="Q6" s="5">
        <v>0.1206</v>
      </c>
      <c r="R6" s="80">
        <f>((K6-D6)/D6)</f>
        <v>0.18108122401503041</v>
      </c>
      <c r="S6" s="80">
        <f t="shared" ref="S6" si="1">((N6-G6)/G6)</f>
        <v>4.2390270443538484E-2</v>
      </c>
      <c r="T6" s="80">
        <f>((O6-H6)/H6)</f>
        <v>0</v>
      </c>
      <c r="U6" s="81">
        <f>P6-I6</f>
        <v>-1.6399999999999998E-2</v>
      </c>
      <c r="V6" s="83">
        <f>Q6-J6</f>
        <v>5.3800000000000001E-2</v>
      </c>
    </row>
    <row r="7" spans="1:25">
      <c r="A7" s="75">
        <v>2</v>
      </c>
      <c r="B7" s="116" t="s">
        <v>18</v>
      </c>
      <c r="C7" s="117" t="s">
        <v>19</v>
      </c>
      <c r="D7" s="4">
        <v>576668485.55999994</v>
      </c>
      <c r="E7" s="3">
        <f t="shared" si="0"/>
        <v>2.1911429974134915E-2</v>
      </c>
      <c r="F7" s="4">
        <v>209.68049999999999</v>
      </c>
      <c r="G7" s="4">
        <v>212.4513</v>
      </c>
      <c r="H7" s="60">
        <v>375</v>
      </c>
      <c r="I7" s="5">
        <v>2.9076999999999999E-2</v>
      </c>
      <c r="J7" s="5">
        <v>8.3900000000000002E-2</v>
      </c>
      <c r="K7" s="4">
        <v>598103308.69000006</v>
      </c>
      <c r="L7" s="3">
        <f t="shared" ref="L7:L21" si="2">(K7/$K$22)</f>
        <v>2.1398454873282582E-2</v>
      </c>
      <c r="M7" s="4">
        <v>217.5556</v>
      </c>
      <c r="N7" s="4">
        <v>220.23869999999999</v>
      </c>
      <c r="O7" s="60">
        <v>377</v>
      </c>
      <c r="P7" s="5">
        <v>6.2769999999999996E-3</v>
      </c>
      <c r="Q7" s="5">
        <v>0.1246</v>
      </c>
      <c r="R7" s="80">
        <f t="shared" ref="R7:R22" si="3">((K7-D7)/D7)</f>
        <v>3.7170096280161491E-2</v>
      </c>
      <c r="S7" s="80">
        <f t="shared" ref="S7:S22" si="4">((N7-G7)/G7)</f>
        <v>3.6654988696232932E-2</v>
      </c>
      <c r="T7" s="80">
        <f t="shared" ref="T7:T22" si="5">((O7-H7)/H7)</f>
        <v>5.3333333333333332E-3</v>
      </c>
      <c r="U7" s="81">
        <f t="shared" ref="U7:U22" si="6">P7-I7</f>
        <v>-2.2800000000000001E-2</v>
      </c>
      <c r="V7" s="83">
        <f t="shared" ref="V7:V22" si="7">Q7-J7</f>
        <v>4.07E-2</v>
      </c>
    </row>
    <row r="8" spans="1:25">
      <c r="A8" s="75">
        <v>3</v>
      </c>
      <c r="B8" s="116" t="s">
        <v>20</v>
      </c>
      <c r="C8" s="117" t="s">
        <v>21</v>
      </c>
      <c r="D8" s="4">
        <v>3259810400.1199999</v>
      </c>
      <c r="E8" s="3">
        <f t="shared" si="0"/>
        <v>0.12386164512150093</v>
      </c>
      <c r="F8" s="4">
        <v>30.029699999999998</v>
      </c>
      <c r="G8" s="4">
        <v>30.935099999999998</v>
      </c>
      <c r="H8" s="62">
        <v>6343</v>
      </c>
      <c r="I8" s="6">
        <v>-0.68520000000000003</v>
      </c>
      <c r="J8" s="6">
        <v>1.1316999999999999</v>
      </c>
      <c r="K8" s="4">
        <v>3619423749.6799998</v>
      </c>
      <c r="L8" s="3">
        <f t="shared" si="2"/>
        <v>0.12949280609139294</v>
      </c>
      <c r="M8" s="4">
        <v>33.228499999999997</v>
      </c>
      <c r="N8" s="4">
        <v>34.230400000000003</v>
      </c>
      <c r="O8" s="62">
        <v>6353</v>
      </c>
      <c r="P8" s="6">
        <v>1.581</v>
      </c>
      <c r="Q8" s="6">
        <v>2.6749999999999998</v>
      </c>
      <c r="R8" s="80">
        <f t="shared" si="3"/>
        <v>0.11031725941691636</v>
      </c>
      <c r="S8" s="80">
        <f t="shared" si="4"/>
        <v>0.10652301107803126</v>
      </c>
      <c r="T8" s="80">
        <f t="shared" si="5"/>
        <v>1.5765410688948448E-3</v>
      </c>
      <c r="U8" s="81">
        <f t="shared" si="6"/>
        <v>2.2662</v>
      </c>
      <c r="V8" s="83">
        <f t="shared" si="7"/>
        <v>1.5432999999999999</v>
      </c>
      <c r="X8" s="103"/>
      <c r="Y8" s="103"/>
    </row>
    <row r="9" spans="1:25">
      <c r="A9" s="75">
        <v>4</v>
      </c>
      <c r="B9" s="116" t="s">
        <v>22</v>
      </c>
      <c r="C9" s="117" t="s">
        <v>23</v>
      </c>
      <c r="D9" s="4">
        <v>569026173.25</v>
      </c>
      <c r="E9" s="3">
        <f t="shared" si="0"/>
        <v>2.1621048246653448E-2</v>
      </c>
      <c r="F9" s="4">
        <v>218.77</v>
      </c>
      <c r="G9" s="4">
        <v>218.77</v>
      </c>
      <c r="H9" s="60">
        <v>1727</v>
      </c>
      <c r="I9" s="5">
        <v>7.3800000000000004E-2</v>
      </c>
      <c r="J9" s="5">
        <v>7.3700000000000002E-2</v>
      </c>
      <c r="K9" s="4">
        <v>613272547.78999996</v>
      </c>
      <c r="L9" s="3">
        <f t="shared" si="2"/>
        <v>2.1941167601380231E-2</v>
      </c>
      <c r="M9" s="4">
        <v>224.07669999999999</v>
      </c>
      <c r="N9" s="4">
        <v>224.07669999999999</v>
      </c>
      <c r="O9" s="60">
        <v>1739</v>
      </c>
      <c r="P9" s="5">
        <v>2.4254173092728148E-2</v>
      </c>
      <c r="Q9" s="5">
        <v>9.9768903918455942E-2</v>
      </c>
      <c r="R9" s="80">
        <f t="shared" si="3"/>
        <v>7.775806565678034E-2</v>
      </c>
      <c r="S9" s="80">
        <f t="shared" si="4"/>
        <v>2.4256982218768468E-2</v>
      </c>
      <c r="T9" s="80">
        <f t="shared" si="5"/>
        <v>6.9484655471916618E-3</v>
      </c>
      <c r="U9" s="81">
        <f t="shared" si="6"/>
        <v>-4.9545826907271856E-2</v>
      </c>
      <c r="V9" s="83">
        <f t="shared" si="7"/>
        <v>2.6068903918455941E-2</v>
      </c>
    </row>
    <row r="10" spans="1:25">
      <c r="A10" s="75">
        <v>5</v>
      </c>
      <c r="B10" s="116" t="s">
        <v>24</v>
      </c>
      <c r="C10" s="117" t="s">
        <v>25</v>
      </c>
      <c r="D10" s="7">
        <v>143083095.09</v>
      </c>
      <c r="E10" s="3">
        <f t="shared" si="0"/>
        <v>5.4366682020129614E-3</v>
      </c>
      <c r="F10" s="4">
        <v>148.67740000000001</v>
      </c>
      <c r="G10" s="4">
        <v>149.5838</v>
      </c>
      <c r="H10" s="62">
        <v>66</v>
      </c>
      <c r="I10" s="6">
        <v>8.8940000000000009E-3</v>
      </c>
      <c r="J10" s="6">
        <v>0.38969999999999999</v>
      </c>
      <c r="K10" s="7">
        <v>119455131.3</v>
      </c>
      <c r="L10" s="3">
        <f t="shared" si="2"/>
        <v>4.2737687609582572E-3</v>
      </c>
      <c r="M10" s="4">
        <v>153.584</v>
      </c>
      <c r="N10" s="4">
        <v>154.29730000000001</v>
      </c>
      <c r="O10" s="62">
        <v>69</v>
      </c>
      <c r="P10" s="6">
        <v>4.7270000000000003E-3</v>
      </c>
      <c r="Q10" s="6">
        <v>0.3478</v>
      </c>
      <c r="R10" s="80">
        <f t="shared" si="3"/>
        <v>-0.16513455887390396</v>
      </c>
      <c r="S10" s="80">
        <f t="shared" si="4"/>
        <v>3.1510765203183841E-2</v>
      </c>
      <c r="T10" s="80">
        <f t="shared" si="5"/>
        <v>4.5454545454545456E-2</v>
      </c>
      <c r="U10" s="81">
        <f t="shared" si="6"/>
        <v>-4.1670000000000006E-3</v>
      </c>
      <c r="V10" s="83">
        <f t="shared" si="7"/>
        <v>-4.1899999999999993E-2</v>
      </c>
    </row>
    <row r="11" spans="1:25">
      <c r="A11" s="75">
        <v>6</v>
      </c>
      <c r="B11" s="116" t="s">
        <v>26</v>
      </c>
      <c r="C11" s="117" t="s">
        <v>27</v>
      </c>
      <c r="D11" s="4">
        <v>999778546.69000006</v>
      </c>
      <c r="E11" s="3">
        <f t="shared" si="0"/>
        <v>3.7988165061884627E-2</v>
      </c>
      <c r="F11" s="4">
        <v>260.14</v>
      </c>
      <c r="G11" s="4">
        <v>263.47000000000003</v>
      </c>
      <c r="H11" s="62">
        <v>1588</v>
      </c>
      <c r="I11" s="6">
        <v>4.5699999999999998E-2</v>
      </c>
      <c r="J11" s="6">
        <v>4.6100000000000002E-2</v>
      </c>
      <c r="K11" s="4">
        <v>1097593770.4200001</v>
      </c>
      <c r="L11" s="3">
        <f t="shared" si="2"/>
        <v>3.9268819323154396E-2</v>
      </c>
      <c r="M11" s="4">
        <v>274.43</v>
      </c>
      <c r="N11" s="4">
        <v>278.14999999999998</v>
      </c>
      <c r="O11" s="62">
        <v>1591</v>
      </c>
      <c r="P11" s="6">
        <v>5.5300000000000002E-2</v>
      </c>
      <c r="Q11" s="6">
        <v>0.1036</v>
      </c>
      <c r="R11" s="80">
        <f t="shared" si="3"/>
        <v>9.783689003313796E-2</v>
      </c>
      <c r="S11" s="80">
        <f t="shared" si="4"/>
        <v>5.5717918548601163E-2</v>
      </c>
      <c r="T11" s="80">
        <f t="shared" si="5"/>
        <v>1.889168765743073E-3</v>
      </c>
      <c r="U11" s="81">
        <f t="shared" si="6"/>
        <v>9.6000000000000044E-3</v>
      </c>
      <c r="V11" s="83">
        <f t="shared" si="7"/>
        <v>5.7499999999999996E-2</v>
      </c>
    </row>
    <row r="12" spans="1:25">
      <c r="A12" s="75">
        <v>7</v>
      </c>
      <c r="B12" s="116" t="s">
        <v>28</v>
      </c>
      <c r="C12" s="117" t="s">
        <v>29</v>
      </c>
      <c r="D12" s="2">
        <v>350159348.68000001</v>
      </c>
      <c r="E12" s="3">
        <f t="shared" si="0"/>
        <v>1.3304857540359243E-2</v>
      </c>
      <c r="F12" s="4">
        <v>176.13</v>
      </c>
      <c r="G12" s="4">
        <v>180.61</v>
      </c>
      <c r="H12" s="60">
        <v>2379</v>
      </c>
      <c r="I12" s="5">
        <v>5.4100000000000002E-2</v>
      </c>
      <c r="J12" s="5">
        <v>4.9700000000000001E-2</v>
      </c>
      <c r="K12" s="2">
        <v>360466123.98000002</v>
      </c>
      <c r="L12" s="3">
        <f t="shared" si="2"/>
        <v>1.2896464499130563E-2</v>
      </c>
      <c r="M12" s="4">
        <v>181.32</v>
      </c>
      <c r="N12" s="4">
        <v>185.99</v>
      </c>
      <c r="O12" s="60">
        <v>2379</v>
      </c>
      <c r="P12" s="5">
        <v>2.946E-2</v>
      </c>
      <c r="Q12" s="5">
        <v>8.0629999999999993E-2</v>
      </c>
      <c r="R12" s="80">
        <f t="shared" si="3"/>
        <v>2.9434528419285646E-2</v>
      </c>
      <c r="S12" s="80">
        <f t="shared" si="4"/>
        <v>2.9787940867061598E-2</v>
      </c>
      <c r="T12" s="80">
        <f t="shared" si="5"/>
        <v>0</v>
      </c>
      <c r="U12" s="81">
        <f t="shared" si="6"/>
        <v>-2.4640000000000002E-2</v>
      </c>
      <c r="V12" s="83">
        <f t="shared" si="7"/>
        <v>3.0929999999999992E-2</v>
      </c>
    </row>
    <row r="13" spans="1:25">
      <c r="A13" s="75">
        <v>8</v>
      </c>
      <c r="B13" s="116" t="s">
        <v>30</v>
      </c>
      <c r="C13" s="117" t="s">
        <v>31</v>
      </c>
      <c r="D13" s="7">
        <v>50879511.920000002</v>
      </c>
      <c r="E13" s="3">
        <f t="shared" si="0"/>
        <v>1.9332474211255436E-3</v>
      </c>
      <c r="F13" s="4">
        <v>202.86</v>
      </c>
      <c r="G13" s="4">
        <v>193.07</v>
      </c>
      <c r="H13" s="60">
        <v>4</v>
      </c>
      <c r="I13" s="5">
        <v>9.9000000000000005E-2</v>
      </c>
      <c r="J13" s="5">
        <v>6.9900000000000004E-2</v>
      </c>
      <c r="K13" s="7">
        <v>52054783.350000001</v>
      </c>
      <c r="L13" s="3">
        <f t="shared" si="2"/>
        <v>1.8623738010966468E-3</v>
      </c>
      <c r="M13" s="4">
        <v>208.18</v>
      </c>
      <c r="N13" s="4">
        <v>200.52</v>
      </c>
      <c r="O13" s="60">
        <v>4</v>
      </c>
      <c r="P13" s="5">
        <v>2.3099999999999999E-2</v>
      </c>
      <c r="Q13" s="5">
        <v>9.4600000000000004E-2</v>
      </c>
      <c r="R13" s="80">
        <f t="shared" si="3"/>
        <v>2.3099109752623581E-2</v>
      </c>
      <c r="S13" s="80">
        <f t="shared" si="4"/>
        <v>3.8587040969596607E-2</v>
      </c>
      <c r="T13" s="80">
        <f t="shared" si="5"/>
        <v>0</v>
      </c>
      <c r="U13" s="81">
        <f t="shared" si="6"/>
        <v>-7.5900000000000009E-2</v>
      </c>
      <c r="V13" s="83">
        <f t="shared" si="7"/>
        <v>2.47E-2</v>
      </c>
    </row>
    <row r="14" spans="1:25" ht="14.25" customHeight="1">
      <c r="A14" s="75">
        <v>9</v>
      </c>
      <c r="B14" s="116" t="s">
        <v>238</v>
      </c>
      <c r="C14" s="117" t="s">
        <v>32</v>
      </c>
      <c r="D14" s="2">
        <v>574260980.87549996</v>
      </c>
      <c r="E14" s="3">
        <f t="shared" si="0"/>
        <v>2.1819953030921005E-2</v>
      </c>
      <c r="F14" s="4">
        <v>3.7490999999999999</v>
      </c>
      <c r="G14" s="4">
        <v>3.8256999999999999</v>
      </c>
      <c r="H14" s="60">
        <v>394</v>
      </c>
      <c r="I14" s="5">
        <v>1.2122499557443795</v>
      </c>
      <c r="J14" s="5">
        <v>2.0212748811346604</v>
      </c>
      <c r="K14" s="2">
        <v>559161998.20679998</v>
      </c>
      <c r="L14" s="3">
        <f t="shared" si="2"/>
        <v>2.0005244264054638E-2</v>
      </c>
      <c r="M14" s="4">
        <v>1.7765</v>
      </c>
      <c r="N14" s="4">
        <v>1.8352999999999999</v>
      </c>
      <c r="O14" s="60">
        <v>403</v>
      </c>
      <c r="P14" s="5">
        <v>2.3388444034794675E-2</v>
      </c>
      <c r="Q14" s="5">
        <v>0.43162220968651788</v>
      </c>
      <c r="R14" s="80">
        <f t="shared" si="3"/>
        <v>-2.6292893251567525E-2</v>
      </c>
      <c r="S14" s="80">
        <f t="shared" si="4"/>
        <v>-0.52027080011501159</v>
      </c>
      <c r="T14" s="80">
        <f t="shared" si="5"/>
        <v>2.2842639593908629E-2</v>
      </c>
      <c r="U14" s="81">
        <f t="shared" si="6"/>
        <v>-1.1888615117095849</v>
      </c>
      <c r="V14" s="83">
        <f t="shared" si="7"/>
        <v>-1.5896526714481425</v>
      </c>
    </row>
    <row r="15" spans="1:25">
      <c r="A15" s="75">
        <v>10</v>
      </c>
      <c r="B15" s="116" t="s">
        <v>33</v>
      </c>
      <c r="C15" s="117" t="s">
        <v>34</v>
      </c>
      <c r="D15" s="2">
        <v>1450327920.6300001</v>
      </c>
      <c r="E15" s="3">
        <f t="shared" si="0"/>
        <v>5.5107500181073271E-2</v>
      </c>
      <c r="F15" s="4">
        <v>2.92</v>
      </c>
      <c r="G15" s="4">
        <v>2.98</v>
      </c>
      <c r="H15" s="60">
        <v>3669</v>
      </c>
      <c r="I15" s="5">
        <v>4.3499999999999997E-2</v>
      </c>
      <c r="J15" s="5">
        <v>4.3499999999999997E-2</v>
      </c>
      <c r="K15" s="2">
        <v>1495161939.02</v>
      </c>
      <c r="L15" s="3">
        <f t="shared" si="2"/>
        <v>5.3492690669851961E-2</v>
      </c>
      <c r="M15" s="4">
        <v>3.01</v>
      </c>
      <c r="N15" s="4">
        <v>3.07</v>
      </c>
      <c r="O15" s="60">
        <v>3669</v>
      </c>
      <c r="P15" s="5">
        <v>2.07E-2</v>
      </c>
      <c r="Q15" s="5">
        <v>8.6199999999999999E-2</v>
      </c>
      <c r="R15" s="80">
        <f t="shared" si="3"/>
        <v>3.0913021636186016E-2</v>
      </c>
      <c r="S15" s="80">
        <f t="shared" si="4"/>
        <v>3.0201342281879148E-2</v>
      </c>
      <c r="T15" s="80">
        <f t="shared" si="5"/>
        <v>0</v>
      </c>
      <c r="U15" s="81">
        <f t="shared" si="6"/>
        <v>-2.2799999999999997E-2</v>
      </c>
      <c r="V15" s="83">
        <f t="shared" si="7"/>
        <v>4.2700000000000002E-2</v>
      </c>
    </row>
    <row r="16" spans="1:25">
      <c r="A16" s="75">
        <v>11</v>
      </c>
      <c r="B16" s="116" t="s">
        <v>35</v>
      </c>
      <c r="C16" s="117" t="s">
        <v>36</v>
      </c>
      <c r="D16" s="4">
        <v>557974992.33000004</v>
      </c>
      <c r="E16" s="3">
        <f t="shared" si="0"/>
        <v>2.1201141171924148E-2</v>
      </c>
      <c r="F16" s="4">
        <v>19.866880999999999</v>
      </c>
      <c r="G16" s="4">
        <v>20.038074999999999</v>
      </c>
      <c r="H16" s="60">
        <v>280</v>
      </c>
      <c r="I16" s="5">
        <v>7.2333474120563235E-2</v>
      </c>
      <c r="J16" s="5">
        <v>8.2092811733187165E-2</v>
      </c>
      <c r="K16" s="4">
        <v>634299120.15999997</v>
      </c>
      <c r="L16" s="3">
        <f t="shared" si="2"/>
        <v>2.2693439246532523E-2</v>
      </c>
      <c r="M16" s="4">
        <v>20.475877000000001</v>
      </c>
      <c r="N16" s="4">
        <v>20.637049000000001</v>
      </c>
      <c r="O16" s="60">
        <v>295</v>
      </c>
      <c r="P16" s="5">
        <v>3.0700000000000002E-2</v>
      </c>
      <c r="Q16" s="5">
        <v>0.1153</v>
      </c>
      <c r="R16" s="80">
        <f t="shared" si="3"/>
        <v>0.13678772145555221</v>
      </c>
      <c r="S16" s="80">
        <f t="shared" si="4"/>
        <v>2.9891793498128035E-2</v>
      </c>
      <c r="T16" s="80">
        <f t="shared" si="5"/>
        <v>5.3571428571428568E-2</v>
      </c>
      <c r="U16" s="81">
        <f t="shared" si="6"/>
        <v>-4.163347412056323E-2</v>
      </c>
      <c r="V16" s="83">
        <f t="shared" si="7"/>
        <v>3.3207188266812834E-2</v>
      </c>
    </row>
    <row r="17" spans="1:22">
      <c r="A17" s="75">
        <v>12</v>
      </c>
      <c r="B17" s="116" t="s">
        <v>37</v>
      </c>
      <c r="C17" s="117" t="s">
        <v>38</v>
      </c>
      <c r="D17" s="4">
        <v>318071575.50999999</v>
      </c>
      <c r="E17" s="3">
        <f t="shared" si="0"/>
        <v>1.2085631915158632E-2</v>
      </c>
      <c r="F17" s="4">
        <v>2.2916319999999999</v>
      </c>
      <c r="G17" s="4">
        <v>2.3200690000000002</v>
      </c>
      <c r="H17" s="60">
        <v>17</v>
      </c>
      <c r="I17" s="5">
        <v>2.0000000000000001E-4</v>
      </c>
      <c r="J17" s="5">
        <v>5.9999999999999995E-4</v>
      </c>
      <c r="K17" s="4">
        <v>337641698.06</v>
      </c>
      <c r="L17" s="3">
        <f t="shared" si="2"/>
        <v>1.2079870708456775E-2</v>
      </c>
      <c r="M17" s="4">
        <v>2.4300000000000002</v>
      </c>
      <c r="N17" s="4">
        <v>2.46</v>
      </c>
      <c r="O17" s="60">
        <v>17</v>
      </c>
      <c r="P17" s="5">
        <v>1E-4</v>
      </c>
      <c r="Q17" s="5">
        <v>1.2999999999999999E-3</v>
      </c>
      <c r="R17" s="80">
        <f t="shared" si="3"/>
        <v>6.1527417275878959E-2</v>
      </c>
      <c r="S17" s="80">
        <f t="shared" si="4"/>
        <v>6.0313292406389551E-2</v>
      </c>
      <c r="T17" s="80">
        <f t="shared" si="5"/>
        <v>0</v>
      </c>
      <c r="U17" s="81">
        <f t="shared" si="6"/>
        <v>-1E-4</v>
      </c>
      <c r="V17" s="83">
        <f t="shared" si="7"/>
        <v>6.9999999999999999E-4</v>
      </c>
    </row>
    <row r="18" spans="1:22">
      <c r="A18" s="75">
        <v>13</v>
      </c>
      <c r="B18" s="116" t="s">
        <v>39</v>
      </c>
      <c r="C18" s="117" t="s">
        <v>40</v>
      </c>
      <c r="D18" s="2">
        <v>1124921294.1300001</v>
      </c>
      <c r="E18" s="3">
        <f t="shared" si="0"/>
        <v>4.2743161417615104E-2</v>
      </c>
      <c r="F18" s="4">
        <v>26.95</v>
      </c>
      <c r="G18" s="4">
        <v>27.53</v>
      </c>
      <c r="H18" s="60">
        <v>8825</v>
      </c>
      <c r="I18" s="5">
        <v>5.91E-2</v>
      </c>
      <c r="J18" s="5">
        <v>5.91E-2</v>
      </c>
      <c r="K18" s="2">
        <v>1245395169.04</v>
      </c>
      <c r="L18" s="3">
        <f t="shared" si="2"/>
        <v>4.4556737835936562E-2</v>
      </c>
      <c r="M18" s="4">
        <v>28.01</v>
      </c>
      <c r="N18" s="4">
        <v>28.65</v>
      </c>
      <c r="O18" s="60">
        <v>8825</v>
      </c>
      <c r="P18" s="5">
        <v>0.04</v>
      </c>
      <c r="Q18" s="5">
        <v>0.10050000000000001</v>
      </c>
      <c r="R18" s="80">
        <f t="shared" si="3"/>
        <v>0.10709538128458385</v>
      </c>
      <c r="S18" s="80">
        <f t="shared" si="4"/>
        <v>4.0682891391209494E-2</v>
      </c>
      <c r="T18" s="80">
        <f t="shared" si="5"/>
        <v>0</v>
      </c>
      <c r="U18" s="81">
        <f t="shared" si="6"/>
        <v>-1.9099999999999999E-2</v>
      </c>
      <c r="V18" s="83">
        <f t="shared" si="7"/>
        <v>4.1400000000000006E-2</v>
      </c>
    </row>
    <row r="19" spans="1:22" ht="12.75" customHeight="1">
      <c r="A19" s="75">
        <v>14</v>
      </c>
      <c r="B19" s="116" t="s">
        <v>41</v>
      </c>
      <c r="C19" s="117" t="s">
        <v>42</v>
      </c>
      <c r="D19" s="2">
        <v>650449661.15999997</v>
      </c>
      <c r="E19" s="3">
        <f t="shared" si="0"/>
        <v>2.4714862280651249E-2</v>
      </c>
      <c r="F19" s="4">
        <v>5949.42</v>
      </c>
      <c r="G19" s="4">
        <v>6022.64</v>
      </c>
      <c r="H19" s="60">
        <v>1135</v>
      </c>
      <c r="I19" s="5">
        <v>0.1057</v>
      </c>
      <c r="J19" s="5">
        <v>0.1057</v>
      </c>
      <c r="K19" s="2">
        <v>680218173.42999995</v>
      </c>
      <c r="L19" s="3">
        <f t="shared" si="2"/>
        <v>2.4336293875399387E-2</v>
      </c>
      <c r="M19" s="4">
        <v>6214.35</v>
      </c>
      <c r="N19" s="4">
        <v>6287.62</v>
      </c>
      <c r="O19" s="60">
        <v>1135</v>
      </c>
      <c r="P19" s="5">
        <v>4.3999999999999997E-2</v>
      </c>
      <c r="Q19" s="5">
        <v>0.1552</v>
      </c>
      <c r="R19" s="80">
        <f t="shared" si="3"/>
        <v>4.5766050853053505E-2</v>
      </c>
      <c r="S19" s="80">
        <f t="shared" si="4"/>
        <v>4.3997316791307389E-2</v>
      </c>
      <c r="T19" s="80">
        <f t="shared" si="5"/>
        <v>0</v>
      </c>
      <c r="U19" s="81">
        <f t="shared" si="6"/>
        <v>-6.1700000000000005E-2</v>
      </c>
      <c r="V19" s="83">
        <f t="shared" si="7"/>
        <v>4.9500000000000002E-2</v>
      </c>
    </row>
    <row r="20" spans="1:22">
      <c r="A20" s="75">
        <v>15</v>
      </c>
      <c r="B20" s="116" t="s">
        <v>43</v>
      </c>
      <c r="C20" s="117" t="s">
        <v>42</v>
      </c>
      <c r="D20" s="4">
        <v>11724832340.299999</v>
      </c>
      <c r="E20" s="3">
        <f t="shared" si="0"/>
        <v>0.44550352449635577</v>
      </c>
      <c r="F20" s="4">
        <v>19928.63</v>
      </c>
      <c r="G20" s="4">
        <v>20185.150000000001</v>
      </c>
      <c r="H20" s="60">
        <v>29510</v>
      </c>
      <c r="I20" s="5">
        <v>9.9299999999999999E-2</v>
      </c>
      <c r="J20" s="5">
        <v>9.9299999999999999E-2</v>
      </c>
      <c r="K20" s="4">
        <v>12270891039.200001</v>
      </c>
      <c r="L20" s="3">
        <f t="shared" si="2"/>
        <v>0.43901798291736982</v>
      </c>
      <c r="M20" s="4">
        <v>20718.25</v>
      </c>
      <c r="N20" s="4">
        <v>20976.47</v>
      </c>
      <c r="O20" s="60">
        <v>29544</v>
      </c>
      <c r="P20" s="5">
        <v>3.9199999999999999E-2</v>
      </c>
      <c r="Q20" s="5">
        <v>0.14230000000000001</v>
      </c>
      <c r="R20" s="80">
        <f t="shared" si="3"/>
        <v>4.6572836442455239E-2</v>
      </c>
      <c r="S20" s="80">
        <f t="shared" si="4"/>
        <v>3.9203077509951605E-2</v>
      </c>
      <c r="T20" s="80">
        <f t="shared" si="5"/>
        <v>1.1521518129447646E-3</v>
      </c>
      <c r="U20" s="81">
        <f t="shared" si="6"/>
        <v>-6.0100000000000001E-2</v>
      </c>
      <c r="V20" s="83">
        <f t="shared" si="7"/>
        <v>4.300000000000001E-2</v>
      </c>
    </row>
    <row r="21" spans="1:22">
      <c r="A21" s="75">
        <v>16</v>
      </c>
      <c r="B21" s="117" t="s">
        <v>44</v>
      </c>
      <c r="C21" s="117" t="s">
        <v>45</v>
      </c>
      <c r="D21" s="4">
        <v>3072199872.5300002</v>
      </c>
      <c r="E21" s="3">
        <f t="shared" si="0"/>
        <v>0.11673308678922655</v>
      </c>
      <c r="F21" s="4">
        <v>1.5230999999999999</v>
      </c>
      <c r="G21" s="8">
        <v>1.5396000000000001</v>
      </c>
      <c r="H21" s="60">
        <v>3497</v>
      </c>
      <c r="I21" s="5">
        <v>0.1208</v>
      </c>
      <c r="J21" s="5">
        <v>0.1208</v>
      </c>
      <c r="K21" s="4">
        <v>3209721032.3600001</v>
      </c>
      <c r="L21" s="3">
        <f t="shared" si="2"/>
        <v>0.11483479470664527</v>
      </c>
      <c r="M21" s="4">
        <v>1.5712999999999999</v>
      </c>
      <c r="N21" s="8">
        <v>1.589</v>
      </c>
      <c r="O21" s="60">
        <v>3554</v>
      </c>
      <c r="P21" s="5">
        <v>3.1600000000000003E-2</v>
      </c>
      <c r="Q21" s="5">
        <v>0.15620000000000001</v>
      </c>
      <c r="R21" s="80">
        <f t="shared" si="3"/>
        <v>4.4763090142552898E-2</v>
      </c>
      <c r="S21" s="80">
        <f t="shared" si="4"/>
        <v>3.2086256170433806E-2</v>
      </c>
      <c r="T21" s="80">
        <f t="shared" si="5"/>
        <v>1.6299685444666857E-2</v>
      </c>
      <c r="U21" s="81">
        <f t="shared" si="6"/>
        <v>-8.9200000000000002E-2</v>
      </c>
      <c r="V21" s="83">
        <f t="shared" si="7"/>
        <v>3.5400000000000001E-2</v>
      </c>
    </row>
    <row r="22" spans="1:22">
      <c r="A22" s="75"/>
      <c r="B22" s="19"/>
      <c r="C22" s="71" t="s">
        <v>46</v>
      </c>
      <c r="D22" s="58">
        <f>SUM(D6:D21)</f>
        <v>26318158433.3255</v>
      </c>
      <c r="E22" s="101">
        <f>(D22/$D$181)</f>
        <v>1.2312444480822195E-2</v>
      </c>
      <c r="F22" s="30"/>
      <c r="G22" s="31"/>
      <c r="H22" s="65">
        <f>SUM(H6:H21)</f>
        <v>61536</v>
      </c>
      <c r="I22" s="28"/>
      <c r="J22" s="60">
        <v>0</v>
      </c>
      <c r="K22" s="58">
        <f>SUM(K6:K21)</f>
        <v>27950770849.196804</v>
      </c>
      <c r="L22" s="101">
        <f>(K22/$K$181)</f>
        <v>1.2600626929059068E-2</v>
      </c>
      <c r="M22" s="30"/>
      <c r="N22" s="31"/>
      <c r="O22" s="65">
        <f>SUM(O6:O21)</f>
        <v>61681</v>
      </c>
      <c r="P22" s="28"/>
      <c r="Q22" s="65"/>
      <c r="R22" s="80">
        <f t="shared" si="3"/>
        <v>6.2033687501630047E-2</v>
      </c>
      <c r="S22" s="80" t="e">
        <f t="shared" si="4"/>
        <v>#DIV/0!</v>
      </c>
      <c r="T22" s="80">
        <f t="shared" si="5"/>
        <v>2.356344253770151E-3</v>
      </c>
      <c r="U22" s="81">
        <f t="shared" si="6"/>
        <v>0</v>
      </c>
      <c r="V22" s="83">
        <f t="shared" si="7"/>
        <v>0</v>
      </c>
    </row>
    <row r="23" spans="1:22" ht="9" customHeight="1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</row>
    <row r="24" spans="1:22" ht="15" customHeight="1">
      <c r="A24" s="138" t="s">
        <v>47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1:22">
      <c r="A25" s="75">
        <v>17</v>
      </c>
      <c r="B25" s="116" t="s">
        <v>48</v>
      </c>
      <c r="C25" s="117" t="s">
        <v>17</v>
      </c>
      <c r="D25" s="9">
        <v>950298407.96000004</v>
      </c>
      <c r="E25" s="3">
        <f>(D25/$K$55)</f>
        <v>1.0413406079515643E-3</v>
      </c>
      <c r="F25" s="8">
        <v>100</v>
      </c>
      <c r="G25" s="8">
        <v>100</v>
      </c>
      <c r="H25" s="60">
        <v>747</v>
      </c>
      <c r="I25" s="5">
        <v>0.1028</v>
      </c>
      <c r="J25" s="5">
        <v>0.1028</v>
      </c>
      <c r="K25" s="9">
        <v>967369195.13</v>
      </c>
      <c r="L25" s="3">
        <f t="shared" ref="L25:L54" si="8">(K25/$K$55)</f>
        <v>1.0600468414261423E-3</v>
      </c>
      <c r="M25" s="8">
        <v>100</v>
      </c>
      <c r="N25" s="8">
        <v>100</v>
      </c>
      <c r="O25" s="60">
        <v>747</v>
      </c>
      <c r="P25" s="5">
        <v>8.8700000000000001E-2</v>
      </c>
      <c r="Q25" s="5">
        <v>8.8700000000000001E-2</v>
      </c>
      <c r="R25" s="80">
        <f t="shared" ref="R25" si="9">((K25-D25)/D25)</f>
        <v>1.796360703859929E-2</v>
      </c>
      <c r="S25" s="80">
        <f t="shared" ref="S25" si="10">((N25-G25)/G25)</f>
        <v>0</v>
      </c>
      <c r="T25" s="80">
        <f t="shared" ref="T25" si="11">((O25-H25)/H25)</f>
        <v>0</v>
      </c>
      <c r="U25" s="81">
        <f t="shared" ref="U25" si="12">P25-I25</f>
        <v>-1.4100000000000001E-2</v>
      </c>
      <c r="V25" s="83">
        <f t="shared" ref="V25" si="13">Q25-J25</f>
        <v>-1.4100000000000001E-2</v>
      </c>
    </row>
    <row r="26" spans="1:22">
      <c r="A26" s="75">
        <v>18</v>
      </c>
      <c r="B26" s="116" t="s">
        <v>49</v>
      </c>
      <c r="C26" s="117" t="s">
        <v>50</v>
      </c>
      <c r="D26" s="9">
        <v>4662739061.4099998</v>
      </c>
      <c r="E26" s="3">
        <f t="shared" ref="E26:E54" si="14">(D26/$K$55)</f>
        <v>5.1094471886483188E-3</v>
      </c>
      <c r="F26" s="8">
        <v>100</v>
      </c>
      <c r="G26" s="8">
        <v>100</v>
      </c>
      <c r="H26" s="60">
        <v>1183</v>
      </c>
      <c r="I26" s="5">
        <v>0.1381</v>
      </c>
      <c r="J26" s="5">
        <v>0.1381</v>
      </c>
      <c r="K26" s="9">
        <v>4714154446.0299997</v>
      </c>
      <c r="L26" s="3">
        <f t="shared" si="8"/>
        <v>5.165788362567772E-3</v>
      </c>
      <c r="M26" s="8">
        <v>100</v>
      </c>
      <c r="N26" s="8">
        <v>100</v>
      </c>
      <c r="O26" s="60">
        <v>1186</v>
      </c>
      <c r="P26" s="5">
        <v>0.137409</v>
      </c>
      <c r="Q26" s="5">
        <v>0.137409</v>
      </c>
      <c r="R26" s="80">
        <f t="shared" ref="R26:R55" si="15">((K26-D26)/D26)</f>
        <v>1.1026862953907614E-2</v>
      </c>
      <c r="S26" s="80">
        <f t="shared" ref="S26:S55" si="16">((N26-G26)/G26)</f>
        <v>0</v>
      </c>
      <c r="T26" s="80">
        <f t="shared" ref="T26:T55" si="17">((O26-H26)/H26)</f>
        <v>2.5359256128486898E-3</v>
      </c>
      <c r="U26" s="81">
        <f t="shared" ref="U26:U55" si="18">P26-I26</f>
        <v>-6.9099999999999717E-4</v>
      </c>
      <c r="V26" s="83">
        <f t="shared" ref="V26:V55" si="19">Q26-J26</f>
        <v>-6.9099999999999717E-4</v>
      </c>
    </row>
    <row r="27" spans="1:22">
      <c r="A27" s="75">
        <v>19</v>
      </c>
      <c r="B27" s="116" t="s">
        <v>51</v>
      </c>
      <c r="C27" s="117" t="s">
        <v>19</v>
      </c>
      <c r="D27" s="9">
        <v>389825674.52999997</v>
      </c>
      <c r="E27" s="3">
        <f t="shared" si="14"/>
        <v>4.2717245605160021E-4</v>
      </c>
      <c r="F27" s="8">
        <v>100</v>
      </c>
      <c r="G27" s="8">
        <v>100</v>
      </c>
      <c r="H27" s="60">
        <v>1353</v>
      </c>
      <c r="I27" s="5">
        <v>0.10150000000000001</v>
      </c>
      <c r="J27" s="5">
        <v>0.10150000000000001</v>
      </c>
      <c r="K27" s="9">
        <v>352924173.16000003</v>
      </c>
      <c r="L27" s="3">
        <f t="shared" si="8"/>
        <v>3.8673565057125402E-4</v>
      </c>
      <c r="M27" s="8">
        <v>100</v>
      </c>
      <c r="N27" s="8">
        <v>100</v>
      </c>
      <c r="O27" s="60">
        <v>1356</v>
      </c>
      <c r="P27" s="5">
        <v>9.5500000000000002E-2</v>
      </c>
      <c r="Q27" s="5">
        <v>9.5500000000000002E-2</v>
      </c>
      <c r="R27" s="80">
        <f t="shared" si="15"/>
        <v>-9.4661546893982484E-2</v>
      </c>
      <c r="S27" s="80">
        <f t="shared" si="16"/>
        <v>0</v>
      </c>
      <c r="T27" s="80">
        <f t="shared" si="17"/>
        <v>2.2172949002217295E-3</v>
      </c>
      <c r="U27" s="81">
        <f t="shared" si="18"/>
        <v>-6.0000000000000053E-3</v>
      </c>
      <c r="V27" s="83">
        <f t="shared" si="19"/>
        <v>-6.0000000000000053E-3</v>
      </c>
    </row>
    <row r="28" spans="1:22">
      <c r="A28" s="75">
        <v>20</v>
      </c>
      <c r="B28" s="116" t="s">
        <v>52</v>
      </c>
      <c r="C28" s="117" t="s">
        <v>21</v>
      </c>
      <c r="D28" s="9">
        <v>82139493916.550003</v>
      </c>
      <c r="E28" s="3">
        <f t="shared" si="14"/>
        <v>9.0008769682685133E-2</v>
      </c>
      <c r="F28" s="8">
        <v>1</v>
      </c>
      <c r="G28" s="8">
        <v>1</v>
      </c>
      <c r="H28" s="60">
        <v>55012</v>
      </c>
      <c r="I28" s="5">
        <v>0.1061</v>
      </c>
      <c r="J28" s="5">
        <v>0.1061</v>
      </c>
      <c r="K28" s="9">
        <v>82720505675.050003</v>
      </c>
      <c r="L28" s="3">
        <f t="shared" si="8"/>
        <v>9.0645444576334805E-2</v>
      </c>
      <c r="M28" s="8">
        <v>1</v>
      </c>
      <c r="N28" s="8">
        <v>1</v>
      </c>
      <c r="O28" s="60">
        <v>55215</v>
      </c>
      <c r="P28" s="5">
        <v>0.1021</v>
      </c>
      <c r="Q28" s="5">
        <v>0.1021</v>
      </c>
      <c r="R28" s="80">
        <f t="shared" si="15"/>
        <v>7.0734762389731984E-3</v>
      </c>
      <c r="S28" s="80">
        <f t="shared" si="16"/>
        <v>0</v>
      </c>
      <c r="T28" s="80">
        <f t="shared" si="17"/>
        <v>3.6901039773140406E-3</v>
      </c>
      <c r="U28" s="81">
        <f t="shared" si="18"/>
        <v>-4.0000000000000036E-3</v>
      </c>
      <c r="V28" s="83">
        <f t="shared" si="19"/>
        <v>-4.0000000000000036E-3</v>
      </c>
    </row>
    <row r="29" spans="1:22">
      <c r="A29" s="75">
        <v>21</v>
      </c>
      <c r="B29" s="116" t="s">
        <v>53</v>
      </c>
      <c r="C29" s="117" t="s">
        <v>23</v>
      </c>
      <c r="D29" s="9">
        <v>47734010068.190002</v>
      </c>
      <c r="E29" s="3">
        <f t="shared" si="14"/>
        <v>5.2307109691030175E-2</v>
      </c>
      <c r="F29" s="8">
        <v>1</v>
      </c>
      <c r="G29" s="8">
        <v>1</v>
      </c>
      <c r="H29" s="60">
        <v>26406</v>
      </c>
      <c r="I29" s="5">
        <v>0.1195</v>
      </c>
      <c r="J29" s="5">
        <v>0.1195</v>
      </c>
      <c r="K29" s="9">
        <v>48803294452.830002</v>
      </c>
      <c r="L29" s="3">
        <f t="shared" si="8"/>
        <v>5.3478835584546566E-2</v>
      </c>
      <c r="M29" s="8">
        <v>1</v>
      </c>
      <c r="N29" s="8">
        <v>1</v>
      </c>
      <c r="O29" s="60">
        <v>26441</v>
      </c>
      <c r="P29" s="5">
        <v>0.11509999999999999</v>
      </c>
      <c r="Q29" s="5">
        <v>0.11509999999999999</v>
      </c>
      <c r="R29" s="80">
        <f t="shared" si="15"/>
        <v>2.2400891588879344E-2</v>
      </c>
      <c r="S29" s="80">
        <f t="shared" si="16"/>
        <v>0</v>
      </c>
      <c r="T29" s="80">
        <f t="shared" si="17"/>
        <v>1.3254563356812844E-3</v>
      </c>
      <c r="U29" s="81">
        <f t="shared" si="18"/>
        <v>-4.4000000000000011E-3</v>
      </c>
      <c r="V29" s="83">
        <f t="shared" si="19"/>
        <v>-4.4000000000000011E-3</v>
      </c>
    </row>
    <row r="30" spans="1:22" ht="15" customHeight="1">
      <c r="A30" s="75">
        <v>22</v>
      </c>
      <c r="B30" s="116" t="s">
        <v>54</v>
      </c>
      <c r="C30" s="117" t="s">
        <v>40</v>
      </c>
      <c r="D30" s="9">
        <v>7203312833.3299999</v>
      </c>
      <c r="E30" s="3">
        <f t="shared" si="14"/>
        <v>7.8934175857747028E-3</v>
      </c>
      <c r="F30" s="8">
        <v>100</v>
      </c>
      <c r="G30" s="8">
        <v>100</v>
      </c>
      <c r="H30" s="60">
        <v>2866</v>
      </c>
      <c r="I30" s="5">
        <v>0.122</v>
      </c>
      <c r="J30" s="5">
        <v>0.122</v>
      </c>
      <c r="K30" s="9">
        <v>7289508106.8199997</v>
      </c>
      <c r="L30" s="3">
        <f t="shared" si="8"/>
        <v>7.9878706941318052E-3</v>
      </c>
      <c r="M30" s="8">
        <v>100</v>
      </c>
      <c r="N30" s="8">
        <v>100</v>
      </c>
      <c r="O30" s="60">
        <v>2871</v>
      </c>
      <c r="P30" s="5">
        <v>0.123</v>
      </c>
      <c r="Q30" s="5">
        <v>0.123</v>
      </c>
      <c r="R30" s="80">
        <f t="shared" si="15"/>
        <v>1.1966059989949485E-2</v>
      </c>
      <c r="S30" s="80">
        <f t="shared" si="16"/>
        <v>0</v>
      </c>
      <c r="T30" s="80">
        <f t="shared" si="17"/>
        <v>1.7445917655268667E-3</v>
      </c>
      <c r="U30" s="81">
        <f t="shared" si="18"/>
        <v>1.0000000000000009E-3</v>
      </c>
      <c r="V30" s="83">
        <f t="shared" si="19"/>
        <v>1.0000000000000009E-3</v>
      </c>
    </row>
    <row r="31" spans="1:22">
      <c r="A31" s="75">
        <v>23</v>
      </c>
      <c r="B31" s="116" t="s">
        <v>55</v>
      </c>
      <c r="C31" s="117" t="s">
        <v>56</v>
      </c>
      <c r="D31" s="9">
        <v>14139899095.879999</v>
      </c>
      <c r="E31" s="3">
        <f t="shared" si="14"/>
        <v>1.5494555181341768E-2</v>
      </c>
      <c r="F31" s="8">
        <v>100</v>
      </c>
      <c r="G31" s="8">
        <v>100</v>
      </c>
      <c r="H31" s="60">
        <v>1862</v>
      </c>
      <c r="I31" s="5">
        <v>0.121240462322472</v>
      </c>
      <c r="J31" s="5">
        <v>0.121240462322472</v>
      </c>
      <c r="K31" s="9">
        <v>14049860196.02</v>
      </c>
      <c r="L31" s="3">
        <f t="shared" si="8"/>
        <v>1.5395890212597079E-2</v>
      </c>
      <c r="M31" s="8">
        <v>100</v>
      </c>
      <c r="N31" s="8">
        <v>100</v>
      </c>
      <c r="O31" s="60">
        <v>1884</v>
      </c>
      <c r="P31" s="5">
        <v>0.117448024645104</v>
      </c>
      <c r="Q31" s="5">
        <v>0.117448024645104</v>
      </c>
      <c r="R31" s="80">
        <f t="shared" si="15"/>
        <v>-6.3677186979526406E-3</v>
      </c>
      <c r="S31" s="80">
        <f t="shared" si="16"/>
        <v>0</v>
      </c>
      <c r="T31" s="80">
        <f t="shared" si="17"/>
        <v>1.1815252416756176E-2</v>
      </c>
      <c r="U31" s="81">
        <f t="shared" si="18"/>
        <v>-3.7924376773680046E-3</v>
      </c>
      <c r="V31" s="83">
        <f t="shared" si="19"/>
        <v>-3.7924376773680046E-3</v>
      </c>
    </row>
    <row r="32" spans="1:22">
      <c r="A32" s="75">
        <v>24</v>
      </c>
      <c r="B32" s="116" t="s">
        <v>57</v>
      </c>
      <c r="C32" s="117" t="s">
        <v>58</v>
      </c>
      <c r="D32" s="9">
        <v>6143154706.1999998</v>
      </c>
      <c r="E32" s="3">
        <f t="shared" si="14"/>
        <v>6.7316922799307566E-3</v>
      </c>
      <c r="F32" s="8">
        <v>100</v>
      </c>
      <c r="G32" s="8">
        <v>100</v>
      </c>
      <c r="H32" s="60">
        <v>5728</v>
      </c>
      <c r="I32" s="5">
        <v>0.1021</v>
      </c>
      <c r="J32" s="5">
        <v>0.1021</v>
      </c>
      <c r="K32" s="9">
        <v>5985078173.1700001</v>
      </c>
      <c r="L32" s="3">
        <f t="shared" si="8"/>
        <v>6.5584714141169263E-3</v>
      </c>
      <c r="M32" s="8">
        <v>100</v>
      </c>
      <c r="N32" s="8">
        <v>100</v>
      </c>
      <c r="O32" s="60">
        <v>5739</v>
      </c>
      <c r="P32" s="5">
        <v>0.1081</v>
      </c>
      <c r="Q32" s="5">
        <v>0.1081</v>
      </c>
      <c r="R32" s="80">
        <f t="shared" si="15"/>
        <v>-2.5732142618915401E-2</v>
      </c>
      <c r="S32" s="80">
        <f t="shared" si="16"/>
        <v>0</v>
      </c>
      <c r="T32" s="80">
        <f t="shared" si="17"/>
        <v>1.9203910614525139E-3</v>
      </c>
      <c r="U32" s="81">
        <f t="shared" si="18"/>
        <v>6.0000000000000053E-3</v>
      </c>
      <c r="V32" s="83">
        <f t="shared" si="19"/>
        <v>6.0000000000000053E-3</v>
      </c>
    </row>
    <row r="33" spans="1:22">
      <c r="A33" s="75">
        <v>25</v>
      </c>
      <c r="B33" s="116" t="s">
        <v>59</v>
      </c>
      <c r="C33" s="117" t="s">
        <v>60</v>
      </c>
      <c r="D33" s="9">
        <v>44514190.369999997</v>
      </c>
      <c r="E33" s="3">
        <f t="shared" si="14"/>
        <v>4.8778819025779759E-5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4.8778819025779759E-5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15"/>
        <v>0</v>
      </c>
      <c r="S33" s="80">
        <f t="shared" si="16"/>
        <v>0</v>
      </c>
      <c r="T33" s="80" t="e">
        <f t="shared" si="17"/>
        <v>#DIV/0!</v>
      </c>
      <c r="U33" s="81">
        <f t="shared" si="18"/>
        <v>0</v>
      </c>
      <c r="V33" s="83">
        <f t="shared" si="19"/>
        <v>0</v>
      </c>
    </row>
    <row r="34" spans="1:22">
      <c r="A34" s="75">
        <v>26</v>
      </c>
      <c r="B34" s="116" t="s">
        <v>61</v>
      </c>
      <c r="C34" s="117" t="s">
        <v>62</v>
      </c>
      <c r="D34" s="9">
        <v>5560250677.2700005</v>
      </c>
      <c r="E34" s="3">
        <f t="shared" si="14"/>
        <v>6.092943829150513E-3</v>
      </c>
      <c r="F34" s="8">
        <v>1</v>
      </c>
      <c r="G34" s="8">
        <v>1</v>
      </c>
      <c r="H34" s="60">
        <v>2080</v>
      </c>
      <c r="I34" s="5">
        <v>0.1024</v>
      </c>
      <c r="J34" s="5">
        <v>0.1024</v>
      </c>
      <c r="K34" s="9">
        <v>5654746636.3800001</v>
      </c>
      <c r="L34" s="3">
        <f t="shared" si="8"/>
        <v>6.1964928603646273E-3</v>
      </c>
      <c r="M34" s="8">
        <v>1</v>
      </c>
      <c r="N34" s="8">
        <v>1</v>
      </c>
      <c r="O34" s="60">
        <v>2084</v>
      </c>
      <c r="P34" s="5">
        <v>0.1081</v>
      </c>
      <c r="Q34" s="5">
        <v>0.1081</v>
      </c>
      <c r="R34" s="80">
        <f t="shared" si="15"/>
        <v>1.699490986913485E-2</v>
      </c>
      <c r="S34" s="80">
        <f t="shared" si="16"/>
        <v>0</v>
      </c>
      <c r="T34" s="80">
        <f t="shared" si="17"/>
        <v>1.9230769230769232E-3</v>
      </c>
      <c r="U34" s="81">
        <f t="shared" si="18"/>
        <v>5.6999999999999967E-3</v>
      </c>
      <c r="V34" s="83">
        <f t="shared" si="19"/>
        <v>5.6999999999999967E-3</v>
      </c>
    </row>
    <row r="35" spans="1:22">
      <c r="A35" s="75">
        <v>27</v>
      </c>
      <c r="B35" s="116" t="s">
        <v>63</v>
      </c>
      <c r="C35" s="117" t="s">
        <v>64</v>
      </c>
      <c r="D35" s="9">
        <v>13914488921.35</v>
      </c>
      <c r="E35" s="3">
        <f t="shared" si="14"/>
        <v>1.5247549855206972E-2</v>
      </c>
      <c r="F35" s="11">
        <v>100</v>
      </c>
      <c r="G35" s="11">
        <v>100</v>
      </c>
      <c r="H35" s="60">
        <v>2599</v>
      </c>
      <c r="I35" s="5">
        <v>0.1021</v>
      </c>
      <c r="J35" s="5">
        <v>0.1021</v>
      </c>
      <c r="K35" s="9">
        <v>14130044062.469999</v>
      </c>
      <c r="L35" s="3">
        <f t="shared" si="8"/>
        <v>1.5483755998267703E-2</v>
      </c>
      <c r="M35" s="11">
        <v>100</v>
      </c>
      <c r="N35" s="11">
        <v>100</v>
      </c>
      <c r="O35" s="60">
        <v>2602</v>
      </c>
      <c r="P35" s="5">
        <v>0.1096</v>
      </c>
      <c r="Q35" s="5">
        <v>0.1096</v>
      </c>
      <c r="R35" s="80">
        <f t="shared" si="15"/>
        <v>1.549141634582476E-2</v>
      </c>
      <c r="S35" s="80">
        <f t="shared" si="16"/>
        <v>0</v>
      </c>
      <c r="T35" s="80">
        <f t="shared" si="17"/>
        <v>1.1542901115813775E-3</v>
      </c>
      <c r="U35" s="81">
        <f t="shared" si="18"/>
        <v>7.5000000000000067E-3</v>
      </c>
      <c r="V35" s="83">
        <f t="shared" si="19"/>
        <v>7.5000000000000067E-3</v>
      </c>
    </row>
    <row r="36" spans="1:22">
      <c r="A36" s="75">
        <v>28</v>
      </c>
      <c r="B36" s="116" t="s">
        <v>65</v>
      </c>
      <c r="C36" s="117" t="s">
        <v>64</v>
      </c>
      <c r="D36" s="9">
        <v>1318983633.1400001</v>
      </c>
      <c r="E36" s="3">
        <f t="shared" si="14"/>
        <v>1.4453472792411376E-3</v>
      </c>
      <c r="F36" s="11">
        <v>1000000</v>
      </c>
      <c r="G36" s="11">
        <v>1000000</v>
      </c>
      <c r="H36" s="60">
        <v>7</v>
      </c>
      <c r="I36" s="5">
        <v>0.1061</v>
      </c>
      <c r="J36" s="5">
        <v>0.1061</v>
      </c>
      <c r="K36" s="9">
        <v>1231443952.8499999</v>
      </c>
      <c r="L36" s="3">
        <f t="shared" si="8"/>
        <v>1.3494209648019038E-3</v>
      </c>
      <c r="M36" s="11">
        <v>1000000</v>
      </c>
      <c r="N36" s="11">
        <v>1000000</v>
      </c>
      <c r="O36" s="60">
        <v>7</v>
      </c>
      <c r="P36" s="5">
        <v>0.1081</v>
      </c>
      <c r="Q36" s="5">
        <v>0.1081</v>
      </c>
      <c r="R36" s="80">
        <f t="shared" si="15"/>
        <v>-6.6369042109795856E-2</v>
      </c>
      <c r="S36" s="80">
        <f t="shared" si="16"/>
        <v>0</v>
      </c>
      <c r="T36" s="80">
        <f t="shared" si="17"/>
        <v>0</v>
      </c>
      <c r="U36" s="81">
        <f t="shared" si="18"/>
        <v>2.0000000000000018E-3</v>
      </c>
      <c r="V36" s="83">
        <f t="shared" si="19"/>
        <v>2.0000000000000018E-3</v>
      </c>
    </row>
    <row r="37" spans="1:22">
      <c r="A37" s="75">
        <v>29</v>
      </c>
      <c r="B37" s="116" t="s">
        <v>66</v>
      </c>
      <c r="C37" s="117" t="s">
        <v>67</v>
      </c>
      <c r="D37" s="9">
        <v>3507680113.5500002</v>
      </c>
      <c r="E37" s="3">
        <f t="shared" si="14"/>
        <v>3.8437292026880024E-3</v>
      </c>
      <c r="F37" s="8">
        <v>1</v>
      </c>
      <c r="G37" s="8">
        <v>1</v>
      </c>
      <c r="H37" s="60">
        <v>426</v>
      </c>
      <c r="I37" s="5">
        <v>0.13250000000000001</v>
      </c>
      <c r="J37" s="5">
        <v>0.13250000000000001</v>
      </c>
      <c r="K37" s="9">
        <v>3603652816.5799999</v>
      </c>
      <c r="L37" s="3">
        <f t="shared" si="8"/>
        <v>3.9488964555034166E-3</v>
      </c>
      <c r="M37" s="8">
        <v>1</v>
      </c>
      <c r="N37" s="8">
        <v>1</v>
      </c>
      <c r="O37" s="60">
        <v>431</v>
      </c>
      <c r="P37" s="5">
        <v>0.1381</v>
      </c>
      <c r="Q37" s="5">
        <v>0.1381</v>
      </c>
      <c r="R37" s="80">
        <f t="shared" si="15"/>
        <v>2.7360734138572609E-2</v>
      </c>
      <c r="S37" s="80">
        <f t="shared" si="16"/>
        <v>0</v>
      </c>
      <c r="T37" s="80">
        <f t="shared" si="17"/>
        <v>1.1737089201877934E-2</v>
      </c>
      <c r="U37" s="81">
        <f t="shared" si="18"/>
        <v>5.5999999999999939E-3</v>
      </c>
      <c r="V37" s="83">
        <f t="shared" si="19"/>
        <v>5.5999999999999939E-3</v>
      </c>
    </row>
    <row r="38" spans="1:22">
      <c r="A38" s="75">
        <v>30</v>
      </c>
      <c r="B38" s="116" t="s">
        <v>68</v>
      </c>
      <c r="C38" s="117" t="s">
        <v>27</v>
      </c>
      <c r="D38" s="9">
        <v>204157494599.60001</v>
      </c>
      <c r="E38" s="3">
        <f t="shared" si="14"/>
        <v>0.22371655867612936</v>
      </c>
      <c r="F38" s="8">
        <v>100</v>
      </c>
      <c r="G38" s="8">
        <v>100</v>
      </c>
      <c r="H38" s="60">
        <v>14586</v>
      </c>
      <c r="I38" s="5">
        <v>0.12139999999999999</v>
      </c>
      <c r="J38" s="5">
        <v>0.12139999999999999</v>
      </c>
      <c r="K38" s="9">
        <v>205324552794.92001</v>
      </c>
      <c r="L38" s="3">
        <f t="shared" si="8"/>
        <v>0.22499542548307086</v>
      </c>
      <c r="M38" s="8">
        <v>100</v>
      </c>
      <c r="N38" s="8">
        <v>100</v>
      </c>
      <c r="O38" s="60">
        <v>14707</v>
      </c>
      <c r="P38" s="5">
        <v>0.1162</v>
      </c>
      <c r="Q38" s="5">
        <v>0.1162</v>
      </c>
      <c r="R38" s="80">
        <f t="shared" si="15"/>
        <v>5.7164602142521287E-3</v>
      </c>
      <c r="S38" s="80">
        <f t="shared" si="16"/>
        <v>0</v>
      </c>
      <c r="T38" s="80">
        <f t="shared" si="17"/>
        <v>8.2956259426847662E-3</v>
      </c>
      <c r="U38" s="81">
        <f t="shared" si="18"/>
        <v>-5.1999999999999963E-3</v>
      </c>
      <c r="V38" s="83">
        <f t="shared" si="19"/>
        <v>-5.1999999999999963E-3</v>
      </c>
    </row>
    <row r="39" spans="1:22">
      <c r="A39" s="75">
        <v>31</v>
      </c>
      <c r="B39" s="116" t="s">
        <v>69</v>
      </c>
      <c r="C39" s="117" t="s">
        <v>70</v>
      </c>
      <c r="D39" s="9">
        <v>277546527.25999999</v>
      </c>
      <c r="E39" s="3">
        <f t="shared" si="14"/>
        <v>3.0413653964991096E-4</v>
      </c>
      <c r="F39" s="8">
        <v>1</v>
      </c>
      <c r="G39" s="8">
        <v>1</v>
      </c>
      <c r="H39" s="61">
        <v>437</v>
      </c>
      <c r="I39" s="12">
        <v>7.8600000000000003E-2</v>
      </c>
      <c r="J39" s="12">
        <v>7.8600000000000003E-2</v>
      </c>
      <c r="K39" s="9">
        <v>276283660.79000002</v>
      </c>
      <c r="L39" s="3">
        <f t="shared" si="8"/>
        <v>3.0275268577136509E-4</v>
      </c>
      <c r="M39" s="8">
        <v>1</v>
      </c>
      <c r="N39" s="8">
        <v>1</v>
      </c>
      <c r="O39" s="61">
        <v>437</v>
      </c>
      <c r="P39" s="12">
        <v>8.1699999999999995E-2</v>
      </c>
      <c r="Q39" s="12">
        <v>8.1699999999999995E-2</v>
      </c>
      <c r="R39" s="80">
        <f t="shared" si="15"/>
        <v>-4.5501072647792171E-3</v>
      </c>
      <c r="S39" s="80">
        <f t="shared" si="16"/>
        <v>0</v>
      </c>
      <c r="T39" s="80">
        <f t="shared" si="17"/>
        <v>0</v>
      </c>
      <c r="U39" s="81">
        <f t="shared" si="18"/>
        <v>3.0999999999999917E-3</v>
      </c>
      <c r="V39" s="83">
        <f t="shared" si="19"/>
        <v>3.0999999999999917E-3</v>
      </c>
    </row>
    <row r="40" spans="1:22">
      <c r="A40" s="75">
        <v>32</v>
      </c>
      <c r="B40" s="116" t="s">
        <v>71</v>
      </c>
      <c r="C40" s="117" t="s">
        <v>72</v>
      </c>
      <c r="D40" s="9">
        <v>692257444.74000001</v>
      </c>
      <c r="E40" s="3">
        <f t="shared" si="14"/>
        <v>7.5857833952605244E-4</v>
      </c>
      <c r="F40" s="8">
        <v>10</v>
      </c>
      <c r="G40" s="8">
        <v>10</v>
      </c>
      <c r="H40" s="60">
        <v>360</v>
      </c>
      <c r="I40" s="5">
        <v>9.4600000000000004E-2</v>
      </c>
      <c r="J40" s="5">
        <v>9.4600000000000004E-2</v>
      </c>
      <c r="K40" s="9">
        <v>689684799.27999997</v>
      </c>
      <c r="L40" s="3">
        <f t="shared" si="8"/>
        <v>7.557592248512091E-4</v>
      </c>
      <c r="M40" s="8">
        <v>10</v>
      </c>
      <c r="N40" s="8">
        <v>10</v>
      </c>
      <c r="O40" s="60">
        <v>361</v>
      </c>
      <c r="P40" s="5">
        <v>0.10009999999999999</v>
      </c>
      <c r="Q40" s="5">
        <v>0.10009999999999999</v>
      </c>
      <c r="R40" s="80">
        <f t="shared" si="15"/>
        <v>-3.7163131715633332E-3</v>
      </c>
      <c r="S40" s="80">
        <f t="shared" si="16"/>
        <v>0</v>
      </c>
      <c r="T40" s="80">
        <f t="shared" si="17"/>
        <v>2.7777777777777779E-3</v>
      </c>
      <c r="U40" s="81">
        <f t="shared" si="18"/>
        <v>5.499999999999991E-3</v>
      </c>
      <c r="V40" s="83">
        <f t="shared" si="19"/>
        <v>5.499999999999991E-3</v>
      </c>
    </row>
    <row r="41" spans="1:22">
      <c r="A41" s="75">
        <v>33</v>
      </c>
      <c r="B41" s="116" t="s">
        <v>73</v>
      </c>
      <c r="C41" s="117" t="s">
        <v>74</v>
      </c>
      <c r="D41" s="9">
        <v>2908113821.7796645</v>
      </c>
      <c r="E41" s="3">
        <f t="shared" si="14"/>
        <v>3.18672218094661E-3</v>
      </c>
      <c r="F41" s="8">
        <v>100</v>
      </c>
      <c r="G41" s="8">
        <v>100</v>
      </c>
      <c r="H41" s="60">
        <v>1242</v>
      </c>
      <c r="I41" s="5">
        <v>9.8000000000000004E-2</v>
      </c>
      <c r="J41" s="5">
        <v>9.8000000000000004E-2</v>
      </c>
      <c r="K41" s="9">
        <v>2966956997.96</v>
      </c>
      <c r="L41" s="3">
        <f t="shared" si="8"/>
        <v>3.2512027570942353E-3</v>
      </c>
      <c r="M41" s="8">
        <v>100</v>
      </c>
      <c r="N41" s="8">
        <v>100</v>
      </c>
      <c r="O41" s="60">
        <v>1242</v>
      </c>
      <c r="P41" s="5">
        <v>0.10390000000000001</v>
      </c>
      <c r="Q41" s="5">
        <v>0.10390000000000001</v>
      </c>
      <c r="R41" s="80">
        <f t="shared" si="15"/>
        <v>2.0234137928042149E-2</v>
      </c>
      <c r="S41" s="80">
        <f t="shared" si="16"/>
        <v>0</v>
      </c>
      <c r="T41" s="80">
        <f t="shared" si="17"/>
        <v>0</v>
      </c>
      <c r="U41" s="81">
        <f t="shared" si="18"/>
        <v>5.9000000000000025E-3</v>
      </c>
      <c r="V41" s="83">
        <f t="shared" si="19"/>
        <v>5.9000000000000025E-3</v>
      </c>
    </row>
    <row r="42" spans="1:22" ht="15.75" customHeight="1">
      <c r="A42" s="75">
        <v>34</v>
      </c>
      <c r="B42" s="116" t="s">
        <v>239</v>
      </c>
      <c r="C42" s="117" t="s">
        <v>32</v>
      </c>
      <c r="D42" s="9">
        <v>20106060805.160812</v>
      </c>
      <c r="E42" s="3">
        <f t="shared" si="14"/>
        <v>2.203229786241899E-2</v>
      </c>
      <c r="F42" s="8">
        <v>1</v>
      </c>
      <c r="G42" s="8">
        <v>1</v>
      </c>
      <c r="H42" s="60">
        <v>11079</v>
      </c>
      <c r="I42" s="5">
        <v>0.1192066401765052</v>
      </c>
      <c r="J42" s="5">
        <v>0.1192066401765052</v>
      </c>
      <c r="K42" s="9">
        <v>20836370430.986801</v>
      </c>
      <c r="L42" s="3">
        <f t="shared" si="8"/>
        <v>2.2832573926632415E-2</v>
      </c>
      <c r="M42" s="8">
        <v>1</v>
      </c>
      <c r="N42" s="8">
        <v>1</v>
      </c>
      <c r="O42" s="60">
        <v>11186</v>
      </c>
      <c r="P42" s="5">
        <v>0.11238168305688417</v>
      </c>
      <c r="Q42" s="5">
        <v>0.11238168305688417</v>
      </c>
      <c r="R42" s="80">
        <f t="shared" si="15"/>
        <v>3.6322859704001953E-2</v>
      </c>
      <c r="S42" s="80">
        <f t="shared" si="16"/>
        <v>0</v>
      </c>
      <c r="T42" s="80">
        <f t="shared" si="17"/>
        <v>9.657911363841502E-3</v>
      </c>
      <c r="U42" s="81">
        <f t="shared" si="18"/>
        <v>-6.8249571196210279E-3</v>
      </c>
      <c r="V42" s="83">
        <f t="shared" si="19"/>
        <v>-6.8249571196210279E-3</v>
      </c>
    </row>
    <row r="43" spans="1:22">
      <c r="A43" s="75">
        <v>35</v>
      </c>
      <c r="B43" s="116" t="s">
        <v>75</v>
      </c>
      <c r="C43" s="117" t="s">
        <v>34</v>
      </c>
      <c r="D43" s="9">
        <v>3120355340.3200002</v>
      </c>
      <c r="E43" s="3">
        <f t="shared" si="14"/>
        <v>3.4192972437879859E-3</v>
      </c>
      <c r="F43" s="8">
        <v>1</v>
      </c>
      <c r="G43" s="8">
        <v>1</v>
      </c>
      <c r="H43" s="60">
        <v>825</v>
      </c>
      <c r="I43" s="5">
        <v>8.09E-2</v>
      </c>
      <c r="J43" s="5">
        <v>8.09E-2</v>
      </c>
      <c r="K43" s="9">
        <v>3147998649.3800001</v>
      </c>
      <c r="L43" s="3">
        <f t="shared" si="8"/>
        <v>3.4495888869405071E-3</v>
      </c>
      <c r="M43" s="8">
        <v>1</v>
      </c>
      <c r="N43" s="8">
        <v>1</v>
      </c>
      <c r="O43" s="60">
        <v>824</v>
      </c>
      <c r="P43" s="5">
        <v>8.1000000000000003E-2</v>
      </c>
      <c r="Q43" s="5">
        <v>8.1000000000000003E-2</v>
      </c>
      <c r="R43" s="80">
        <f t="shared" si="15"/>
        <v>8.8590259906633113E-3</v>
      </c>
      <c r="S43" s="80">
        <f t="shared" si="16"/>
        <v>0</v>
      </c>
      <c r="T43" s="80">
        <f t="shared" si="17"/>
        <v>-1.2121212121212121E-3</v>
      </c>
      <c r="U43" s="81">
        <f t="shared" si="18"/>
        <v>1.0000000000000286E-4</v>
      </c>
      <c r="V43" s="83">
        <f t="shared" si="19"/>
        <v>1.0000000000000286E-4</v>
      </c>
    </row>
    <row r="44" spans="1:22">
      <c r="A44" s="75">
        <v>36</v>
      </c>
      <c r="B44" s="116" t="s">
        <v>76</v>
      </c>
      <c r="C44" s="117" t="s">
        <v>36</v>
      </c>
      <c r="D44" s="13">
        <v>3949991061.48</v>
      </c>
      <c r="E44" s="3">
        <f t="shared" si="14"/>
        <v>4.3284152208513055E-3</v>
      </c>
      <c r="F44" s="8">
        <v>10</v>
      </c>
      <c r="G44" s="8">
        <v>10</v>
      </c>
      <c r="H44" s="60">
        <v>1921</v>
      </c>
      <c r="I44" s="5">
        <v>0.12970000000000001</v>
      </c>
      <c r="J44" s="5">
        <v>0.12970000000000001</v>
      </c>
      <c r="K44" s="13">
        <v>3949991061.48</v>
      </c>
      <c r="L44" s="3">
        <f t="shared" si="8"/>
        <v>4.3284152208513055E-3</v>
      </c>
      <c r="M44" s="8">
        <v>10</v>
      </c>
      <c r="N44" s="8">
        <v>10</v>
      </c>
      <c r="O44" s="60">
        <v>1932</v>
      </c>
      <c r="P44" s="5">
        <v>0.12620000000000001</v>
      </c>
      <c r="Q44" s="5">
        <v>0.12620000000000001</v>
      </c>
      <c r="R44" s="80">
        <f t="shared" si="15"/>
        <v>0</v>
      </c>
      <c r="S44" s="80">
        <f t="shared" si="16"/>
        <v>0</v>
      </c>
      <c r="T44" s="80">
        <f t="shared" si="17"/>
        <v>5.726184279021343E-3</v>
      </c>
      <c r="U44" s="81">
        <f t="shared" si="18"/>
        <v>-3.5000000000000031E-3</v>
      </c>
      <c r="V44" s="83">
        <f t="shared" si="19"/>
        <v>-3.5000000000000031E-3</v>
      </c>
    </row>
    <row r="45" spans="1:22">
      <c r="A45" s="75">
        <v>37</v>
      </c>
      <c r="B45" s="116" t="s">
        <v>77</v>
      </c>
      <c r="C45" s="117" t="s">
        <v>78</v>
      </c>
      <c r="D45" s="9">
        <v>4818888173.2200003</v>
      </c>
      <c r="E45" s="3">
        <f t="shared" si="14"/>
        <v>5.2805559789622838E-3</v>
      </c>
      <c r="F45" s="8">
        <v>100</v>
      </c>
      <c r="G45" s="8">
        <v>100</v>
      </c>
      <c r="H45" s="60">
        <v>1987</v>
      </c>
      <c r="I45" s="5">
        <v>0.12670000000000001</v>
      </c>
      <c r="J45" s="5">
        <v>0.12670000000000001</v>
      </c>
      <c r="K45" s="9">
        <v>4703464946.9799995</v>
      </c>
      <c r="L45" s="3">
        <f t="shared" si="8"/>
        <v>5.1540747688732184E-3</v>
      </c>
      <c r="M45" s="8">
        <v>100</v>
      </c>
      <c r="N45" s="8">
        <v>100</v>
      </c>
      <c r="O45" s="60">
        <v>1996</v>
      </c>
      <c r="P45" s="5">
        <v>0.1241</v>
      </c>
      <c r="Q45" s="5">
        <v>0.1241</v>
      </c>
      <c r="R45" s="80">
        <f t="shared" si="15"/>
        <v>-2.3952252488746686E-2</v>
      </c>
      <c r="S45" s="80">
        <f t="shared" si="16"/>
        <v>0</v>
      </c>
      <c r="T45" s="80">
        <f t="shared" si="17"/>
        <v>4.5294413688978363E-3</v>
      </c>
      <c r="U45" s="81">
        <f t="shared" si="18"/>
        <v>-2.6000000000000051E-3</v>
      </c>
      <c r="V45" s="83">
        <f t="shared" si="19"/>
        <v>-2.6000000000000051E-3</v>
      </c>
    </row>
    <row r="46" spans="1:22">
      <c r="A46" s="75">
        <v>38</v>
      </c>
      <c r="B46" s="116" t="s">
        <v>79</v>
      </c>
      <c r="C46" s="117" t="s">
        <v>80</v>
      </c>
      <c r="D46" s="9">
        <v>151928898.5</v>
      </c>
      <c r="E46" s="3">
        <f t="shared" si="14"/>
        <v>1.6648426452594967E-4</v>
      </c>
      <c r="F46" s="8">
        <v>1</v>
      </c>
      <c r="G46" s="8">
        <v>1</v>
      </c>
      <c r="H46" s="60">
        <v>61</v>
      </c>
      <c r="I46" s="5">
        <v>6.8900000000000003E-2</v>
      </c>
      <c r="J46" s="5">
        <v>6.8900000000000003E-2</v>
      </c>
      <c r="K46" s="9">
        <v>151928898.55000001</v>
      </c>
      <c r="L46" s="3">
        <f t="shared" si="8"/>
        <v>1.6648426458073989E-4</v>
      </c>
      <c r="M46" s="8">
        <v>1</v>
      </c>
      <c r="N46" s="8">
        <v>1</v>
      </c>
      <c r="O46" s="60">
        <v>61</v>
      </c>
      <c r="P46" s="5">
        <v>6.8900000000000003E-2</v>
      </c>
      <c r="Q46" s="5">
        <v>6.8900000000000003E-2</v>
      </c>
      <c r="R46" s="80">
        <f t="shared" si="15"/>
        <v>3.2910139160213125E-10</v>
      </c>
      <c r="S46" s="80">
        <f t="shared" si="16"/>
        <v>0</v>
      </c>
      <c r="T46" s="80">
        <f t="shared" si="17"/>
        <v>0</v>
      </c>
      <c r="U46" s="81">
        <f t="shared" si="18"/>
        <v>0</v>
      </c>
      <c r="V46" s="83">
        <f t="shared" si="19"/>
        <v>0</v>
      </c>
    </row>
    <row r="47" spans="1:22">
      <c r="A47" s="75">
        <v>39</v>
      </c>
      <c r="B47" s="116" t="s">
        <v>81</v>
      </c>
      <c r="C47" s="117" t="s">
        <v>38</v>
      </c>
      <c r="D47" s="13">
        <v>683492373.17999995</v>
      </c>
      <c r="E47" s="3">
        <f t="shared" si="14"/>
        <v>7.4897354079064967E-4</v>
      </c>
      <c r="F47" s="8">
        <v>10</v>
      </c>
      <c r="G47" s="8">
        <v>10</v>
      </c>
      <c r="H47" s="60">
        <v>640</v>
      </c>
      <c r="I47" s="5">
        <v>0</v>
      </c>
      <c r="J47" s="5">
        <v>0</v>
      </c>
      <c r="K47" s="13">
        <v>680281928.67999995</v>
      </c>
      <c r="L47" s="3">
        <f t="shared" si="8"/>
        <v>7.4545552350321518E-4</v>
      </c>
      <c r="M47" s="8">
        <v>10</v>
      </c>
      <c r="N47" s="8">
        <v>10</v>
      </c>
      <c r="O47" s="60">
        <v>640</v>
      </c>
      <c r="P47" s="5">
        <v>0</v>
      </c>
      <c r="Q47" s="5">
        <v>0</v>
      </c>
      <c r="R47" s="80">
        <f t="shared" si="15"/>
        <v>-4.6971182502932168E-3</v>
      </c>
      <c r="S47" s="80">
        <f t="shared" si="16"/>
        <v>0</v>
      </c>
      <c r="T47" s="80">
        <f t="shared" si="17"/>
        <v>0</v>
      </c>
      <c r="U47" s="81">
        <f t="shared" si="18"/>
        <v>0</v>
      </c>
      <c r="V47" s="83">
        <f t="shared" si="19"/>
        <v>0</v>
      </c>
    </row>
    <row r="48" spans="1:22">
      <c r="A48" s="75">
        <v>40</v>
      </c>
      <c r="B48" s="116" t="s">
        <v>247</v>
      </c>
      <c r="C48" s="117" t="s">
        <v>248</v>
      </c>
      <c r="D48" s="13">
        <v>568268878.35000002</v>
      </c>
      <c r="E48" s="3">
        <f t="shared" si="14"/>
        <v>6.2271119713993141E-4</v>
      </c>
      <c r="F48" s="8">
        <v>1</v>
      </c>
      <c r="G48" s="8">
        <v>1</v>
      </c>
      <c r="H48" s="60">
        <v>24</v>
      </c>
      <c r="I48" s="5">
        <v>0.1245</v>
      </c>
      <c r="J48" s="5">
        <v>0.1245</v>
      </c>
      <c r="K48" s="13">
        <v>569411290.91999996</v>
      </c>
      <c r="L48" s="3">
        <f t="shared" si="8"/>
        <v>6.239630571769581E-4</v>
      </c>
      <c r="M48" s="8">
        <v>1</v>
      </c>
      <c r="N48" s="8">
        <v>1</v>
      </c>
      <c r="O48" s="60">
        <v>26</v>
      </c>
      <c r="P48" s="5">
        <v>0.1225</v>
      </c>
      <c r="Q48" s="5">
        <v>0.1225</v>
      </c>
      <c r="R48" s="80">
        <f t="shared" si="15"/>
        <v>2.0103380873451862E-3</v>
      </c>
      <c r="S48" s="80">
        <f t="shared" si="16"/>
        <v>0</v>
      </c>
      <c r="T48" s="80">
        <f t="shared" si="17"/>
        <v>8.3333333333333329E-2</v>
      </c>
      <c r="U48" s="81">
        <f t="shared" si="18"/>
        <v>-2.0000000000000018E-3</v>
      </c>
      <c r="V48" s="83">
        <f t="shared" si="19"/>
        <v>-2.0000000000000018E-3</v>
      </c>
    </row>
    <row r="49" spans="1:22">
      <c r="A49" s="75">
        <v>41</v>
      </c>
      <c r="B49" s="116" t="s">
        <v>82</v>
      </c>
      <c r="C49" s="117" t="s">
        <v>42</v>
      </c>
      <c r="D49" s="9">
        <v>390265611982.45001</v>
      </c>
      <c r="E49" s="3">
        <f t="shared" si="14"/>
        <v>0.42765454118439389</v>
      </c>
      <c r="F49" s="8">
        <v>100</v>
      </c>
      <c r="G49" s="8">
        <v>100</v>
      </c>
      <c r="H49" s="60">
        <v>133496</v>
      </c>
      <c r="I49" s="5">
        <v>0.11219999999999999</v>
      </c>
      <c r="J49" s="5">
        <v>0.11219999999999999</v>
      </c>
      <c r="K49" s="9">
        <v>396720503206.70001</v>
      </c>
      <c r="L49" s="3">
        <f t="shared" si="8"/>
        <v>0.43472783552585365</v>
      </c>
      <c r="M49" s="8">
        <v>100</v>
      </c>
      <c r="N49" s="8">
        <v>100</v>
      </c>
      <c r="O49" s="60">
        <v>133962</v>
      </c>
      <c r="P49" s="5">
        <v>0.11509999999999999</v>
      </c>
      <c r="Q49" s="5">
        <v>0.11509999999999999</v>
      </c>
      <c r="R49" s="80">
        <f t="shared" si="15"/>
        <v>1.6539738644818832E-2</v>
      </c>
      <c r="S49" s="80">
        <f t="shared" si="16"/>
        <v>0</v>
      </c>
      <c r="T49" s="80">
        <f t="shared" si="17"/>
        <v>3.4907412956193444E-3</v>
      </c>
      <c r="U49" s="81">
        <f t="shared" si="18"/>
        <v>2.8999999999999998E-3</v>
      </c>
      <c r="V49" s="83">
        <f t="shared" si="19"/>
        <v>2.8999999999999998E-3</v>
      </c>
    </row>
    <row r="50" spans="1:22">
      <c r="A50" s="75">
        <v>42</v>
      </c>
      <c r="B50" s="116" t="s">
        <v>83</v>
      </c>
      <c r="C50" s="117" t="s">
        <v>84</v>
      </c>
      <c r="D50" s="9">
        <v>2806872262.5500002</v>
      </c>
      <c r="E50" s="3">
        <f t="shared" si="14"/>
        <v>3.0757812954783264E-3</v>
      </c>
      <c r="F50" s="8">
        <v>1</v>
      </c>
      <c r="G50" s="8">
        <v>1</v>
      </c>
      <c r="H50" s="60">
        <v>341</v>
      </c>
      <c r="I50" s="5">
        <v>0.1380477467</v>
      </c>
      <c r="J50" s="5">
        <v>0.1380477467</v>
      </c>
      <c r="K50" s="9">
        <v>2932750567.5500002</v>
      </c>
      <c r="L50" s="3">
        <f t="shared" si="8"/>
        <v>3.2137192206170262E-3</v>
      </c>
      <c r="M50" s="8">
        <v>1</v>
      </c>
      <c r="N50" s="8">
        <v>1</v>
      </c>
      <c r="O50" s="60">
        <v>340</v>
      </c>
      <c r="P50" s="5">
        <v>0.13204667622394428</v>
      </c>
      <c r="Q50" s="5">
        <v>0.13204667622394428</v>
      </c>
      <c r="R50" s="80">
        <f t="shared" si="15"/>
        <v>4.4846467250932713E-2</v>
      </c>
      <c r="S50" s="80">
        <f t="shared" si="16"/>
        <v>0</v>
      </c>
      <c r="T50" s="80">
        <f t="shared" si="17"/>
        <v>-2.9325513196480938E-3</v>
      </c>
      <c r="U50" s="81">
        <f t="shared" si="18"/>
        <v>-6.0010704760557199E-3</v>
      </c>
      <c r="V50" s="83">
        <f t="shared" si="19"/>
        <v>-6.0010704760557199E-3</v>
      </c>
    </row>
    <row r="51" spans="1:22">
      <c r="A51" s="75">
        <v>43</v>
      </c>
      <c r="B51" s="116" t="s">
        <v>85</v>
      </c>
      <c r="C51" s="117" t="s">
        <v>45</v>
      </c>
      <c r="D51" s="9">
        <v>51111232128.349998</v>
      </c>
      <c r="E51" s="3">
        <f t="shared" si="14"/>
        <v>5.6007882462884039E-2</v>
      </c>
      <c r="F51" s="8">
        <v>1</v>
      </c>
      <c r="G51" s="8">
        <v>1</v>
      </c>
      <c r="H51" s="60">
        <v>18694</v>
      </c>
      <c r="I51" s="5">
        <v>0.106</v>
      </c>
      <c r="J51" s="5">
        <v>0.106</v>
      </c>
      <c r="K51" s="9">
        <v>48866423546.93</v>
      </c>
      <c r="L51" s="3">
        <f t="shared" si="8"/>
        <v>5.3548012685843242E-2</v>
      </c>
      <c r="M51" s="8">
        <v>1</v>
      </c>
      <c r="N51" s="8">
        <v>1</v>
      </c>
      <c r="O51" s="60">
        <v>19108</v>
      </c>
      <c r="P51" s="5">
        <v>0.10730000000000001</v>
      </c>
      <c r="Q51" s="5">
        <v>0.10730000000000001</v>
      </c>
      <c r="R51" s="80">
        <f t="shared" si="15"/>
        <v>-4.3920063906556936E-2</v>
      </c>
      <c r="S51" s="80">
        <f t="shared" si="16"/>
        <v>0</v>
      </c>
      <c r="T51" s="80">
        <f t="shared" si="17"/>
        <v>2.2146143147533968E-2</v>
      </c>
      <c r="U51" s="81">
        <f t="shared" si="18"/>
        <v>1.3000000000000095E-3</v>
      </c>
      <c r="V51" s="83">
        <f t="shared" si="19"/>
        <v>1.3000000000000095E-3</v>
      </c>
    </row>
    <row r="52" spans="1:22">
      <c r="A52" s="75">
        <v>44</v>
      </c>
      <c r="B52" s="116" t="s">
        <v>86</v>
      </c>
      <c r="C52" s="117" t="s">
        <v>87</v>
      </c>
      <c r="D52" s="9">
        <v>1819786407.8299999</v>
      </c>
      <c r="E52" s="3">
        <f t="shared" si="14"/>
        <v>1.9941288635216261E-3</v>
      </c>
      <c r="F52" s="8">
        <v>1</v>
      </c>
      <c r="G52" s="8">
        <v>1</v>
      </c>
      <c r="H52" s="60">
        <v>57</v>
      </c>
      <c r="I52" s="5">
        <v>9.6100000000000005E-2</v>
      </c>
      <c r="J52" s="5">
        <v>9.6100000000000005E-2</v>
      </c>
      <c r="K52" s="9">
        <v>1818001268.0999999</v>
      </c>
      <c r="L52" s="3">
        <f t="shared" si="8"/>
        <v>1.992172700619378E-3</v>
      </c>
      <c r="M52" s="8">
        <v>1</v>
      </c>
      <c r="N52" s="8">
        <v>1</v>
      </c>
      <c r="O52" s="60">
        <v>54</v>
      </c>
      <c r="P52" s="5">
        <v>7.2099999999999997E-2</v>
      </c>
      <c r="Q52" s="5">
        <v>7.2099999999999997E-2</v>
      </c>
      <c r="R52" s="80">
        <f t="shared" si="15"/>
        <v>-9.809611294595308E-4</v>
      </c>
      <c r="S52" s="80">
        <f t="shared" si="16"/>
        <v>0</v>
      </c>
      <c r="T52" s="80">
        <f t="shared" si="17"/>
        <v>-5.2631578947368418E-2</v>
      </c>
      <c r="U52" s="81">
        <f t="shared" si="18"/>
        <v>-2.4000000000000007E-2</v>
      </c>
      <c r="V52" s="83">
        <f t="shared" si="19"/>
        <v>-2.4000000000000007E-2</v>
      </c>
    </row>
    <row r="53" spans="1:22">
      <c r="A53" s="75">
        <v>45</v>
      </c>
      <c r="B53" s="116" t="s">
        <v>88</v>
      </c>
      <c r="C53" s="117" t="s">
        <v>89</v>
      </c>
      <c r="D53" s="9">
        <v>1022988370.65</v>
      </c>
      <c r="E53" s="3">
        <f t="shared" si="14"/>
        <v>1.1209945453943041E-3</v>
      </c>
      <c r="F53" s="8">
        <v>1</v>
      </c>
      <c r="G53" s="8">
        <v>1</v>
      </c>
      <c r="H53" s="60">
        <v>268</v>
      </c>
      <c r="I53" s="5">
        <v>0.1075</v>
      </c>
      <c r="J53" s="5">
        <v>0.1075</v>
      </c>
      <c r="K53" s="9">
        <v>1020084142.8</v>
      </c>
      <c r="L53" s="3">
        <f t="shared" si="8"/>
        <v>1.1178120814760058E-3</v>
      </c>
      <c r="M53" s="8">
        <v>1</v>
      </c>
      <c r="N53" s="8">
        <v>1</v>
      </c>
      <c r="O53" s="60">
        <v>268</v>
      </c>
      <c r="P53" s="5">
        <v>0.1019</v>
      </c>
      <c r="Q53" s="5">
        <v>0.1019</v>
      </c>
      <c r="R53" s="80">
        <f t="shared" si="15"/>
        <v>-2.8389646777261962E-3</v>
      </c>
      <c r="S53" s="80">
        <f t="shared" si="16"/>
        <v>0</v>
      </c>
      <c r="T53" s="80">
        <f t="shared" si="17"/>
        <v>0</v>
      </c>
      <c r="U53" s="81">
        <f t="shared" si="18"/>
        <v>-5.5999999999999939E-3</v>
      </c>
      <c r="V53" s="83">
        <f t="shared" si="19"/>
        <v>-5.5999999999999939E-3</v>
      </c>
    </row>
    <row r="54" spans="1:22">
      <c r="A54" s="75">
        <v>46</v>
      </c>
      <c r="B54" s="116" t="s">
        <v>90</v>
      </c>
      <c r="C54" s="117" t="s">
        <v>91</v>
      </c>
      <c r="D54" s="9">
        <v>27538778410.130001</v>
      </c>
      <c r="E54" s="3">
        <f t="shared" si="14"/>
        <v>3.0177098069025986E-2</v>
      </c>
      <c r="F54" s="8">
        <v>1</v>
      </c>
      <c r="G54" s="8">
        <v>1</v>
      </c>
      <c r="H54" s="60">
        <v>3120</v>
      </c>
      <c r="I54" s="5">
        <v>0.1173</v>
      </c>
      <c r="J54" s="5">
        <v>0.1173</v>
      </c>
      <c r="K54" s="9">
        <v>28370337382.419998</v>
      </c>
      <c r="L54" s="3">
        <f t="shared" si="8"/>
        <v>3.1088323551988695E-2</v>
      </c>
      <c r="M54" s="8">
        <v>1</v>
      </c>
      <c r="N54" s="8">
        <v>1</v>
      </c>
      <c r="O54" s="60">
        <v>3142</v>
      </c>
      <c r="P54" s="5">
        <v>0.1208</v>
      </c>
      <c r="Q54" s="5">
        <v>0.1208</v>
      </c>
      <c r="R54" s="80">
        <f t="shared" si="15"/>
        <v>3.0195928080241654E-2</v>
      </c>
      <c r="S54" s="80">
        <f t="shared" si="16"/>
        <v>0</v>
      </c>
      <c r="T54" s="80">
        <f t="shared" si="17"/>
        <v>7.0512820512820514E-3</v>
      </c>
      <c r="U54" s="81">
        <f t="shared" si="18"/>
        <v>3.5000000000000031E-3</v>
      </c>
      <c r="V54" s="83">
        <f t="shared" si="19"/>
        <v>3.5000000000000031E-3</v>
      </c>
    </row>
    <row r="55" spans="1:22">
      <c r="A55" s="75"/>
      <c r="B55" s="19"/>
      <c r="C55" s="71" t="s">
        <v>46</v>
      </c>
      <c r="D55" s="59">
        <f>SUM(D25:D54)</f>
        <v>903708318785.28052</v>
      </c>
      <c r="E55" s="101">
        <f>(D55/$D$181)</f>
        <v>0.42278256398865249</v>
      </c>
      <c r="F55" s="30"/>
      <c r="G55" s="11"/>
      <c r="H55" s="65">
        <f>SUM(H25:H54)</f>
        <v>289407</v>
      </c>
      <c r="I55" s="32"/>
      <c r="J55" s="32"/>
      <c r="K55" s="59">
        <f>SUM(K25:K54)</f>
        <v>912572121651.28699</v>
      </c>
      <c r="L55" s="101">
        <f>(K55/$K$181)</f>
        <v>0.41140120652945106</v>
      </c>
      <c r="M55" s="30"/>
      <c r="N55" s="11"/>
      <c r="O55" s="65">
        <f>SUM(O25:O54)</f>
        <v>290849</v>
      </c>
      <c r="P55" s="32"/>
      <c r="Q55" s="32"/>
      <c r="R55" s="80">
        <f t="shared" si="15"/>
        <v>9.8082563607699777E-3</v>
      </c>
      <c r="S55" s="80" t="e">
        <f t="shared" si="16"/>
        <v>#DIV/0!</v>
      </c>
      <c r="T55" s="80">
        <f t="shared" si="17"/>
        <v>4.9826023558517934E-3</v>
      </c>
      <c r="U55" s="81">
        <f t="shared" si="18"/>
        <v>0</v>
      </c>
      <c r="V55" s="83">
        <f t="shared" si="19"/>
        <v>0</v>
      </c>
    </row>
    <row r="56" spans="1:22" ht="9" customHeight="1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</row>
    <row r="57" spans="1:22" ht="15" customHeight="1">
      <c r="A57" s="138" t="s">
        <v>92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</row>
    <row r="58" spans="1:22">
      <c r="A58" s="75">
        <v>47</v>
      </c>
      <c r="B58" s="116" t="s">
        <v>93</v>
      </c>
      <c r="C58" s="117" t="s">
        <v>19</v>
      </c>
      <c r="D58" s="2">
        <v>490685593.02999997</v>
      </c>
      <c r="E58" s="3">
        <f>(D58/$D$90)</f>
        <v>1.7093760754811982E-3</v>
      </c>
      <c r="F58" s="14">
        <v>1.3178000000000001</v>
      </c>
      <c r="G58" s="14">
        <v>1.3178000000000001</v>
      </c>
      <c r="H58" s="60">
        <v>396</v>
      </c>
      <c r="I58" s="5">
        <v>6.8300000000000001E-4</v>
      </c>
      <c r="J58" s="5">
        <v>2.9499999999999998E-2</v>
      </c>
      <c r="K58" s="2">
        <v>497743789.81999999</v>
      </c>
      <c r="L58" s="3">
        <f t="shared" ref="L58:L77" si="20">(K58/$K$90)</f>
        <v>1.7232759125090414E-3</v>
      </c>
      <c r="M58" s="14">
        <v>1.3351999999999999</v>
      </c>
      <c r="N58" s="14">
        <v>1.3351999999999999</v>
      </c>
      <c r="O58" s="60">
        <v>396</v>
      </c>
      <c r="P58" s="5">
        <v>6.7500000000000004E-4</v>
      </c>
      <c r="Q58" s="5">
        <v>4.2999999999999997E-2</v>
      </c>
      <c r="R58" s="80">
        <f t="shared" ref="R58" si="21">((K58-D58)/D58)</f>
        <v>1.4384357091911788E-2</v>
      </c>
      <c r="S58" s="80">
        <f t="shared" ref="S58" si="22">((N58-G58)/G58)</f>
        <v>1.3203824556078205E-2</v>
      </c>
      <c r="T58" s="80">
        <f t="shared" ref="T58" si="23">((O58-H58)/H58)</f>
        <v>0</v>
      </c>
      <c r="U58" s="81">
        <f t="shared" ref="U58" si="24">P58-I58</f>
        <v>-7.9999999999999776E-6</v>
      </c>
      <c r="V58" s="83">
        <f t="shared" ref="V58" si="25">Q58-J58</f>
        <v>1.3499999999999998E-2</v>
      </c>
    </row>
    <row r="59" spans="1:22">
      <c r="A59" s="75">
        <v>48</v>
      </c>
      <c r="B59" s="116" t="s">
        <v>94</v>
      </c>
      <c r="C59" s="117" t="s">
        <v>21</v>
      </c>
      <c r="D59" s="2">
        <v>1376057545.95</v>
      </c>
      <c r="E59" s="3">
        <f>(D59/$D$90)</f>
        <v>4.7937006526060548E-3</v>
      </c>
      <c r="F59" s="14">
        <v>1.1880999999999999</v>
      </c>
      <c r="G59" s="14">
        <v>1.1880999999999999</v>
      </c>
      <c r="H59" s="60">
        <v>563</v>
      </c>
      <c r="I59" s="5">
        <v>7.0499999999999993E-2</v>
      </c>
      <c r="J59" s="5">
        <v>5.5500000000000001E-2</v>
      </c>
      <c r="K59" s="2">
        <v>1296172083.5999999</v>
      </c>
      <c r="L59" s="3">
        <f t="shared" si="20"/>
        <v>4.487574080918817E-3</v>
      </c>
      <c r="M59" s="14">
        <v>1.107</v>
      </c>
      <c r="N59" s="14">
        <v>1.107</v>
      </c>
      <c r="O59" s="60">
        <v>565</v>
      </c>
      <c r="P59" s="5">
        <v>0.61160000000000003</v>
      </c>
      <c r="Q59" s="5">
        <v>-1.3986000000000001</v>
      </c>
      <c r="R59" s="80">
        <f t="shared" ref="R59:R90" si="26">((K59-D59)/D59)</f>
        <v>-5.805386743099393E-2</v>
      </c>
      <c r="S59" s="80">
        <f t="shared" ref="S59:S90" si="27">((N59-G59)/G59)</f>
        <v>-6.8260247453917983E-2</v>
      </c>
      <c r="T59" s="80">
        <f t="shared" ref="T59:T90" si="28">((O59-H59)/H59)</f>
        <v>3.552397868561279E-3</v>
      </c>
      <c r="U59" s="81">
        <f t="shared" ref="U59:U90" si="29">P59-I59</f>
        <v>0.54110000000000003</v>
      </c>
      <c r="V59" s="83">
        <f t="shared" ref="V59:V90" si="30">Q59-J59</f>
        <v>-1.4541000000000002</v>
      </c>
    </row>
    <row r="60" spans="1:22">
      <c r="A60" s="75">
        <v>49</v>
      </c>
      <c r="B60" s="116" t="s">
        <v>95</v>
      </c>
      <c r="C60" s="117" t="s">
        <v>21</v>
      </c>
      <c r="D60" s="2">
        <v>982519192.20000005</v>
      </c>
      <c r="E60" s="3">
        <f>(D60/$D$90)</f>
        <v>3.4227514007021411E-3</v>
      </c>
      <c r="F60" s="14">
        <v>1.0720000000000001</v>
      </c>
      <c r="G60" s="14">
        <v>1.0720000000000001</v>
      </c>
      <c r="H60" s="60">
        <v>145</v>
      </c>
      <c r="I60" s="5">
        <v>0.1124</v>
      </c>
      <c r="J60" s="5">
        <v>0.1231</v>
      </c>
      <c r="K60" s="2">
        <v>920927350.79999995</v>
      </c>
      <c r="L60" s="3">
        <f t="shared" si="20"/>
        <v>3.1884112936463116E-3</v>
      </c>
      <c r="M60" s="14">
        <v>1.006</v>
      </c>
      <c r="N60" s="14">
        <v>1.006</v>
      </c>
      <c r="O60" s="60">
        <v>145</v>
      </c>
      <c r="P60" s="5">
        <v>9.3700000000000006E-2</v>
      </c>
      <c r="Q60" s="5">
        <v>-1.8297000000000001</v>
      </c>
      <c r="R60" s="80">
        <f t="shared" si="26"/>
        <v>-6.2687672555369847E-2</v>
      </c>
      <c r="S60" s="80">
        <f t="shared" si="27"/>
        <v>-6.156716417910453E-2</v>
      </c>
      <c r="T60" s="80">
        <f t="shared" si="28"/>
        <v>0</v>
      </c>
      <c r="U60" s="81">
        <f t="shared" si="29"/>
        <v>-1.8699999999999994E-2</v>
      </c>
      <c r="V60" s="83">
        <f t="shared" si="30"/>
        <v>-1.9528000000000001</v>
      </c>
    </row>
    <row r="61" spans="1:22">
      <c r="A61" s="75">
        <v>50</v>
      </c>
      <c r="B61" s="116" t="s">
        <v>96</v>
      </c>
      <c r="C61" s="117" t="s">
        <v>97</v>
      </c>
      <c r="D61" s="2">
        <v>277077596.45999998</v>
      </c>
      <c r="E61" s="3">
        <f>(D61/$D$90)</f>
        <v>9.6524092243238267E-4</v>
      </c>
      <c r="F61" s="7">
        <v>1170.54</v>
      </c>
      <c r="G61" s="7">
        <v>1170.54</v>
      </c>
      <c r="H61" s="60">
        <v>119</v>
      </c>
      <c r="I61" s="5">
        <v>4.7699999999999999E-2</v>
      </c>
      <c r="J61" s="5">
        <v>9.8500000000000004E-2</v>
      </c>
      <c r="K61" s="2">
        <v>278402521.75999999</v>
      </c>
      <c r="L61" s="3">
        <f t="shared" si="20"/>
        <v>9.6387814281777447E-4</v>
      </c>
      <c r="M61" s="7">
        <v>1176.6300000000001</v>
      </c>
      <c r="N61" s="7">
        <v>1176.6300000000001</v>
      </c>
      <c r="O61" s="60">
        <v>118</v>
      </c>
      <c r="P61" s="5">
        <v>1.26E-2</v>
      </c>
      <c r="Q61" s="5">
        <v>0.104</v>
      </c>
      <c r="R61" s="80">
        <f t="shared" si="26"/>
        <v>4.7817842977112852E-3</v>
      </c>
      <c r="S61" s="80">
        <f t="shared" si="27"/>
        <v>5.2027269465376204E-3</v>
      </c>
      <c r="T61" s="80">
        <f t="shared" si="28"/>
        <v>-8.4033613445378148E-3</v>
      </c>
      <c r="U61" s="81">
        <f t="shared" si="29"/>
        <v>-3.5099999999999999E-2</v>
      </c>
      <c r="V61" s="83">
        <f t="shared" si="30"/>
        <v>5.499999999999991E-3</v>
      </c>
    </row>
    <row r="62" spans="1:22" ht="15" customHeight="1">
      <c r="A62" s="75">
        <v>51</v>
      </c>
      <c r="B62" s="116" t="s">
        <v>98</v>
      </c>
      <c r="C62" s="117" t="s">
        <v>99</v>
      </c>
      <c r="D62" s="2">
        <v>1437332783.6600001</v>
      </c>
      <c r="E62" s="3">
        <f>(D62/$K$90)</f>
        <v>4.9762970729109067E-3</v>
      </c>
      <c r="F62" s="7">
        <v>1.0537000000000001</v>
      </c>
      <c r="G62" s="7">
        <v>1.0537000000000001</v>
      </c>
      <c r="H62" s="60">
        <v>798</v>
      </c>
      <c r="I62" s="5">
        <v>3.0000000000000001E-3</v>
      </c>
      <c r="J62" s="5">
        <v>1.2999999999999999E-3</v>
      </c>
      <c r="K62" s="2">
        <v>1409487937.5599999</v>
      </c>
      <c r="L62" s="3">
        <f t="shared" si="20"/>
        <v>4.8798933536620855E-3</v>
      </c>
      <c r="M62" s="7">
        <v>1.0195000000000001</v>
      </c>
      <c r="N62" s="7">
        <v>1.0195000000000001</v>
      </c>
      <c r="O62" s="60">
        <v>804</v>
      </c>
      <c r="P62" s="5">
        <v>1.6999999999999999E-3</v>
      </c>
      <c r="Q62" s="5">
        <v>3.0000000000000001E-3</v>
      </c>
      <c r="R62" s="80">
        <f t="shared" si="26"/>
        <v>-1.9372581225828925E-2</v>
      </c>
      <c r="S62" s="80">
        <f t="shared" si="27"/>
        <v>-3.2457056088070611E-2</v>
      </c>
      <c r="T62" s="80">
        <f t="shared" si="28"/>
        <v>7.5187969924812026E-3</v>
      </c>
      <c r="U62" s="81">
        <f t="shared" si="29"/>
        <v>-1.3000000000000002E-3</v>
      </c>
      <c r="V62" s="83">
        <v>7.87</v>
      </c>
    </row>
    <row r="63" spans="1:22">
      <c r="A63" s="75">
        <v>52</v>
      </c>
      <c r="B63" s="116" t="s">
        <v>100</v>
      </c>
      <c r="C63" s="117" t="s">
        <v>101</v>
      </c>
      <c r="D63" s="2">
        <v>395532898.41000003</v>
      </c>
      <c r="E63" s="3">
        <f t="shared" ref="E63:E77" si="31">(D63/$D$90)</f>
        <v>1.377897544194766E-3</v>
      </c>
      <c r="F63" s="7">
        <v>2.2402000000000002</v>
      </c>
      <c r="G63" s="7">
        <v>2.2402000000000002</v>
      </c>
      <c r="H63" s="60">
        <v>1398</v>
      </c>
      <c r="I63" s="5">
        <v>0.1166</v>
      </c>
      <c r="J63" s="5">
        <v>0.1012</v>
      </c>
      <c r="K63" s="2">
        <v>395678305.64999998</v>
      </c>
      <c r="L63" s="3">
        <f t="shared" si="20"/>
        <v>1.3699073844308906E-3</v>
      </c>
      <c r="M63" s="7">
        <v>2.2446999999999999</v>
      </c>
      <c r="N63" s="7">
        <v>2.2446999999999999</v>
      </c>
      <c r="O63" s="60">
        <v>1398</v>
      </c>
      <c r="P63" s="5">
        <v>0.1047</v>
      </c>
      <c r="Q63" s="5">
        <v>0.1033</v>
      </c>
      <c r="R63" s="80">
        <f t="shared" si="26"/>
        <v>3.6762363025799242E-4</v>
      </c>
      <c r="S63" s="80">
        <f t="shared" si="27"/>
        <v>2.0087492188196258E-3</v>
      </c>
      <c r="T63" s="80">
        <f t="shared" si="28"/>
        <v>0</v>
      </c>
      <c r="U63" s="81">
        <f t="shared" si="29"/>
        <v>-1.1899999999999994E-2</v>
      </c>
      <c r="V63" s="83">
        <f t="shared" si="30"/>
        <v>2.1000000000000046E-3</v>
      </c>
    </row>
    <row r="64" spans="1:22">
      <c r="A64" s="75">
        <v>53</v>
      </c>
      <c r="B64" s="116" t="s">
        <v>102</v>
      </c>
      <c r="C64" s="117" t="s">
        <v>56</v>
      </c>
      <c r="D64" s="2">
        <v>2589201841.9521399</v>
      </c>
      <c r="E64" s="3">
        <f t="shared" si="31"/>
        <v>9.0198688245453386E-3</v>
      </c>
      <c r="F64" s="2">
        <v>4002.9953124743902</v>
      </c>
      <c r="G64" s="2">
        <v>4002.9953124743902</v>
      </c>
      <c r="H64" s="60">
        <v>1059</v>
      </c>
      <c r="I64" s="5">
        <v>7.7302190340098498E-2</v>
      </c>
      <c r="J64" s="5">
        <v>7.8924867343943189E-2</v>
      </c>
      <c r="K64" s="2">
        <v>2592735064.63624</v>
      </c>
      <c r="L64" s="3">
        <f t="shared" si="20"/>
        <v>8.9765015170173712E-3</v>
      </c>
      <c r="M64" s="2">
        <v>4009.1352683789901</v>
      </c>
      <c r="N64" s="2">
        <v>4009.1352683789901</v>
      </c>
      <c r="O64" s="60">
        <v>1057</v>
      </c>
      <c r="P64" s="5">
        <v>8.0197940565749457E-2</v>
      </c>
      <c r="Q64" s="5">
        <v>7.9717934285651285E-2</v>
      </c>
      <c r="R64" s="80">
        <f t="shared" si="26"/>
        <v>1.3645991698492932E-3</v>
      </c>
      <c r="S64" s="80">
        <f t="shared" si="27"/>
        <v>1.5338403933340061E-3</v>
      </c>
      <c r="T64" s="80">
        <f t="shared" si="28"/>
        <v>-1.8885741265344666E-3</v>
      </c>
      <c r="U64" s="81">
        <f t="shared" si="29"/>
        <v>2.8957502256509587E-3</v>
      </c>
      <c r="V64" s="83">
        <f t="shared" si="30"/>
        <v>7.9306694170809544E-4</v>
      </c>
    </row>
    <row r="65" spans="1:22">
      <c r="A65" s="75">
        <v>54</v>
      </c>
      <c r="B65" s="116" t="s">
        <v>103</v>
      </c>
      <c r="C65" s="117" t="s">
        <v>58</v>
      </c>
      <c r="D65" s="2">
        <v>346607325.69999999</v>
      </c>
      <c r="E65" s="3">
        <f t="shared" si="31"/>
        <v>1.2074580516609457E-3</v>
      </c>
      <c r="F65" s="14">
        <v>107.71</v>
      </c>
      <c r="G65" s="14">
        <v>107.71</v>
      </c>
      <c r="H65" s="60">
        <v>122</v>
      </c>
      <c r="I65" s="5">
        <v>2.0000000000000001E-4</v>
      </c>
      <c r="J65" s="5">
        <v>2.4299999999999999E-2</v>
      </c>
      <c r="K65" s="2">
        <v>347381921.95999998</v>
      </c>
      <c r="L65" s="3">
        <f t="shared" si="20"/>
        <v>1.2026968709569416E-3</v>
      </c>
      <c r="M65" s="14">
        <v>107.91</v>
      </c>
      <c r="N65" s="14">
        <v>107.91</v>
      </c>
      <c r="O65" s="60">
        <v>122</v>
      </c>
      <c r="P65" s="5">
        <v>1.9E-3</v>
      </c>
      <c r="Q65" s="5">
        <v>6.0699999999999997E-2</v>
      </c>
      <c r="R65" s="80">
        <f t="shared" si="26"/>
        <v>2.234794831400733E-3</v>
      </c>
      <c r="S65" s="80">
        <f t="shared" si="27"/>
        <v>1.8568378052177406E-3</v>
      </c>
      <c r="T65" s="80">
        <f t="shared" si="28"/>
        <v>0</v>
      </c>
      <c r="U65" s="81">
        <f t="shared" si="29"/>
        <v>1.6999999999999999E-3</v>
      </c>
      <c r="V65" s="83">
        <f t="shared" si="30"/>
        <v>3.6400000000000002E-2</v>
      </c>
    </row>
    <row r="66" spans="1:22">
      <c r="A66" s="75">
        <v>55</v>
      </c>
      <c r="B66" s="116" t="s">
        <v>104</v>
      </c>
      <c r="C66" s="117" t="s">
        <v>105</v>
      </c>
      <c r="D66" s="2">
        <v>333314558.82999998</v>
      </c>
      <c r="E66" s="3">
        <f t="shared" si="31"/>
        <v>1.1611507257738823E-3</v>
      </c>
      <c r="F66" s="14">
        <v>1.4320999999999999</v>
      </c>
      <c r="G66" s="14">
        <v>1.4320999999999999</v>
      </c>
      <c r="H66" s="60">
        <v>309</v>
      </c>
      <c r="I66" s="5">
        <v>9.0896279594137042E-3</v>
      </c>
      <c r="J66" s="5">
        <v>7.0241698814477505E-2</v>
      </c>
      <c r="K66" s="2">
        <v>335432911.82999998</v>
      </c>
      <c r="L66" s="3">
        <f t="shared" si="20"/>
        <v>1.1613273114435983E-3</v>
      </c>
      <c r="M66" s="14">
        <v>1.4412</v>
      </c>
      <c r="N66" s="14">
        <v>1.4412</v>
      </c>
      <c r="O66" s="60">
        <v>311</v>
      </c>
      <c r="P66" s="5">
        <v>6.3543048669787439E-3</v>
      </c>
      <c r="Q66" s="5">
        <v>7.6764528719143743E-2</v>
      </c>
      <c r="R66" s="80">
        <f t="shared" si="26"/>
        <v>6.3554169593906668E-3</v>
      </c>
      <c r="S66" s="80">
        <f t="shared" si="27"/>
        <v>6.3543048669786389E-3</v>
      </c>
      <c r="T66" s="80">
        <f t="shared" si="28"/>
        <v>6.4724919093851136E-3</v>
      </c>
      <c r="U66" s="81">
        <f t="shared" si="29"/>
        <v>-2.7353230924349603E-3</v>
      </c>
      <c r="V66" s="83">
        <f t="shared" si="30"/>
        <v>6.5228299046662386E-3</v>
      </c>
    </row>
    <row r="67" spans="1:22">
      <c r="A67" s="75">
        <v>56</v>
      </c>
      <c r="B67" s="116" t="s">
        <v>106</v>
      </c>
      <c r="C67" s="117" t="s">
        <v>25</v>
      </c>
      <c r="D67" s="2">
        <v>73207554.849999994</v>
      </c>
      <c r="E67" s="3">
        <f t="shared" si="31"/>
        <v>2.5502938048848863E-4</v>
      </c>
      <c r="F67" s="14">
        <v>112.54219999999999</v>
      </c>
      <c r="G67" s="14">
        <v>112.54219999999999</v>
      </c>
      <c r="H67" s="60">
        <v>88</v>
      </c>
      <c r="I67" s="5">
        <v>3.0200000000000002E-4</v>
      </c>
      <c r="J67" s="5">
        <v>0.1096</v>
      </c>
      <c r="K67" s="2">
        <v>73780633.090000004</v>
      </c>
      <c r="L67" s="3">
        <f t="shared" si="20"/>
        <v>2.5544143475832013E-4</v>
      </c>
      <c r="M67" s="14">
        <v>112.7791</v>
      </c>
      <c r="N67" s="14">
        <v>112.7791</v>
      </c>
      <c r="O67" s="60">
        <v>88</v>
      </c>
      <c r="P67" s="5">
        <v>2.99E-4</v>
      </c>
      <c r="Q67" s="5">
        <v>0.1125</v>
      </c>
      <c r="R67" s="80">
        <f t="shared" si="26"/>
        <v>7.8281297766907947E-3</v>
      </c>
      <c r="S67" s="80">
        <f t="shared" si="27"/>
        <v>2.1049881733252564E-3</v>
      </c>
      <c r="T67" s="80">
        <f t="shared" si="28"/>
        <v>0</v>
      </c>
      <c r="U67" s="81">
        <f t="shared" si="29"/>
        <v>-3.0000000000000187E-6</v>
      </c>
      <c r="V67" s="83">
        <f t="shared" si="30"/>
        <v>2.8999999999999998E-3</v>
      </c>
    </row>
    <row r="68" spans="1:22">
      <c r="A68" s="75">
        <v>57</v>
      </c>
      <c r="B68" s="116" t="s">
        <v>107</v>
      </c>
      <c r="C68" s="117" t="s">
        <v>108</v>
      </c>
      <c r="D68" s="2">
        <v>1113070796.1700001</v>
      </c>
      <c r="E68" s="3">
        <f t="shared" si="31"/>
        <v>3.8775472855048371E-3</v>
      </c>
      <c r="F68" s="7">
        <v>1000</v>
      </c>
      <c r="G68" s="7">
        <v>1000</v>
      </c>
      <c r="H68" s="60">
        <v>269</v>
      </c>
      <c r="I68" s="5">
        <v>5.7675865301175504E-4</v>
      </c>
      <c r="J68" s="5">
        <v>0.14399999999999999</v>
      </c>
      <c r="K68" s="2">
        <v>1122695551.3900001</v>
      </c>
      <c r="L68" s="3">
        <f t="shared" si="20"/>
        <v>3.8869680352839726E-3</v>
      </c>
      <c r="M68" s="7">
        <v>1000</v>
      </c>
      <c r="N68" s="7">
        <v>1000</v>
      </c>
      <c r="O68" s="60">
        <v>270</v>
      </c>
      <c r="P68" s="5">
        <v>8.6470287901885306E-5</v>
      </c>
      <c r="Q68" s="5">
        <v>0.14899999999999999</v>
      </c>
      <c r="R68" s="80">
        <f t="shared" si="26"/>
        <v>8.6470287901885025E-3</v>
      </c>
      <c r="S68" s="80">
        <f t="shared" si="27"/>
        <v>0</v>
      </c>
      <c r="T68" s="80">
        <f t="shared" si="28"/>
        <v>3.7174721189591076E-3</v>
      </c>
      <c r="U68" s="81">
        <f t="shared" si="29"/>
        <v>-4.9028836510986971E-4</v>
      </c>
      <c r="V68" s="83">
        <f t="shared" si="30"/>
        <v>5.0000000000000044E-3</v>
      </c>
    </row>
    <row r="69" spans="1:22">
      <c r="A69" s="75">
        <v>58</v>
      </c>
      <c r="B69" s="116" t="s">
        <v>109</v>
      </c>
      <c r="C69" s="117" t="s">
        <v>64</v>
      </c>
      <c r="D69" s="2">
        <v>212398579.99000001</v>
      </c>
      <c r="E69" s="3">
        <f t="shared" si="31"/>
        <v>7.3992197092872039E-4</v>
      </c>
      <c r="F69" s="7">
        <v>1063.8499999999999</v>
      </c>
      <c r="G69" s="7">
        <v>1064.3</v>
      </c>
      <c r="H69" s="60">
        <v>79</v>
      </c>
      <c r="I69" s="5">
        <v>5.1999999999999998E-3</v>
      </c>
      <c r="J69" s="5">
        <v>5.1999999999999998E-3</v>
      </c>
      <c r="K69" s="2">
        <v>215497896.24000001</v>
      </c>
      <c r="L69" s="3">
        <f t="shared" si="20"/>
        <v>7.4609134535070989E-4</v>
      </c>
      <c r="M69" s="7">
        <v>1058.56</v>
      </c>
      <c r="N69" s="7">
        <v>1062.0999999999999</v>
      </c>
      <c r="O69" s="60">
        <v>78</v>
      </c>
      <c r="P69" s="5">
        <v>-7.7000000000000002E-3</v>
      </c>
      <c r="Q69" s="5">
        <v>1.6999999999999999E-3</v>
      </c>
      <c r="R69" s="80">
        <f t="shared" si="26"/>
        <v>1.4591981971564591E-2</v>
      </c>
      <c r="S69" s="80">
        <f t="shared" si="27"/>
        <v>-2.0670863478343001E-3</v>
      </c>
      <c r="T69" s="80">
        <f t="shared" si="28"/>
        <v>-1.2658227848101266E-2</v>
      </c>
      <c r="U69" s="81">
        <f t="shared" si="29"/>
        <v>-1.29E-2</v>
      </c>
      <c r="V69" s="83">
        <f t="shared" si="30"/>
        <v>-3.4999999999999996E-3</v>
      </c>
    </row>
    <row r="70" spans="1:22">
      <c r="A70" s="75">
        <v>59</v>
      </c>
      <c r="B70" s="116" t="s">
        <v>110</v>
      </c>
      <c r="C70" s="117" t="s">
        <v>67</v>
      </c>
      <c r="D70" s="2">
        <v>752826995.57000005</v>
      </c>
      <c r="E70" s="3">
        <f t="shared" si="31"/>
        <v>2.6225845500319604E-3</v>
      </c>
      <c r="F70" s="15">
        <v>1.1081000000000001</v>
      </c>
      <c r="G70" s="15">
        <v>1.1081000000000001</v>
      </c>
      <c r="H70" s="60">
        <v>37</v>
      </c>
      <c r="I70" s="5">
        <v>2.4425547313191125E-3</v>
      </c>
      <c r="J70" s="5">
        <v>8.9797190695275475E-3</v>
      </c>
      <c r="K70" s="2">
        <v>758083277.84000003</v>
      </c>
      <c r="L70" s="3">
        <f t="shared" si="20"/>
        <v>2.6246166784923671E-3</v>
      </c>
      <c r="M70" s="15">
        <v>1.1126</v>
      </c>
      <c r="N70" s="15">
        <v>1.1126</v>
      </c>
      <c r="O70" s="60">
        <v>38</v>
      </c>
      <c r="P70" s="5">
        <v>4.0000000000000001E-3</v>
      </c>
      <c r="Q70" s="5">
        <v>2.41E-2</v>
      </c>
      <c r="R70" s="80">
        <f t="shared" si="26"/>
        <v>6.9820586946675676E-3</v>
      </c>
      <c r="S70" s="80">
        <f t="shared" si="27"/>
        <v>4.0610053244291566E-3</v>
      </c>
      <c r="T70" s="80">
        <f t="shared" si="28"/>
        <v>2.7027027027027029E-2</v>
      </c>
      <c r="U70" s="81">
        <f t="shared" si="29"/>
        <v>1.5574452686808876E-3</v>
      </c>
      <c r="V70" s="83">
        <f t="shared" si="30"/>
        <v>1.5120280930472452E-2</v>
      </c>
    </row>
    <row r="71" spans="1:22">
      <c r="A71" s="75">
        <v>60</v>
      </c>
      <c r="B71" s="116" t="s">
        <v>111</v>
      </c>
      <c r="C71" s="117" t="s">
        <v>27</v>
      </c>
      <c r="D71" s="2">
        <v>66445108040.669998</v>
      </c>
      <c r="E71" s="3">
        <f t="shared" si="31"/>
        <v>0.23147139355799379</v>
      </c>
      <c r="F71" s="15">
        <v>1549.85</v>
      </c>
      <c r="G71" s="2">
        <v>1549.85</v>
      </c>
      <c r="H71" s="60">
        <v>2465</v>
      </c>
      <c r="I71" s="5">
        <v>2.3E-3</v>
      </c>
      <c r="J71" s="5">
        <v>0.1201</v>
      </c>
      <c r="K71" s="2">
        <v>66408546167.010002</v>
      </c>
      <c r="L71" s="3">
        <f t="shared" si="20"/>
        <v>0.22991798257440482</v>
      </c>
      <c r="M71" s="15">
        <v>1553.24</v>
      </c>
      <c r="N71" s="2">
        <v>1553.24</v>
      </c>
      <c r="O71" s="60">
        <v>2457</v>
      </c>
      <c r="P71" s="5">
        <v>2.2000000000000001E-3</v>
      </c>
      <c r="Q71" s="5">
        <v>0.11990000000000001</v>
      </c>
      <c r="R71" s="80">
        <f t="shared" si="26"/>
        <v>-5.5025681706495362E-4</v>
      </c>
      <c r="S71" s="80">
        <f t="shared" si="27"/>
        <v>2.1873084492048263E-3</v>
      </c>
      <c r="T71" s="80">
        <f t="shared" si="28"/>
        <v>-3.2454361054766734E-3</v>
      </c>
      <c r="U71" s="81">
        <f t="shared" si="29"/>
        <v>-9.9999999999999829E-5</v>
      </c>
      <c r="V71" s="83">
        <f t="shared" si="30"/>
        <v>-1.9999999999999185E-4</v>
      </c>
    </row>
    <row r="72" spans="1:22">
      <c r="A72" s="75">
        <v>61</v>
      </c>
      <c r="B72" s="116" t="s">
        <v>112</v>
      </c>
      <c r="C72" s="117" t="s">
        <v>72</v>
      </c>
      <c r="D72" s="2">
        <v>25100595.539999999</v>
      </c>
      <c r="E72" s="3">
        <f t="shared" si="31"/>
        <v>8.7441649206486521E-5</v>
      </c>
      <c r="F72" s="2">
        <v>0.76459999999999995</v>
      </c>
      <c r="G72" s="2">
        <v>0.76459999999999995</v>
      </c>
      <c r="H72" s="60">
        <v>747</v>
      </c>
      <c r="I72" s="5">
        <v>1E-3</v>
      </c>
      <c r="J72" s="5">
        <v>2.9999999999999997E-4</v>
      </c>
      <c r="K72" s="2">
        <v>25169076.960000001</v>
      </c>
      <c r="L72" s="3">
        <f t="shared" si="20"/>
        <v>8.7139739264129141E-5</v>
      </c>
      <c r="M72" s="2">
        <v>0.76670000000000005</v>
      </c>
      <c r="N72" s="2">
        <v>0.76670000000000005</v>
      </c>
      <c r="O72" s="60">
        <v>747</v>
      </c>
      <c r="P72" s="5">
        <v>1.6999999999999999E-3</v>
      </c>
      <c r="Q72" s="5">
        <v>3.0000000000000001E-3</v>
      </c>
      <c r="R72" s="80">
        <f t="shared" si="26"/>
        <v>2.728278693263299E-3</v>
      </c>
      <c r="S72" s="80">
        <f t="shared" si="27"/>
        <v>2.7465341354958174E-3</v>
      </c>
      <c r="T72" s="80">
        <f t="shared" si="28"/>
        <v>0</v>
      </c>
      <c r="U72" s="81">
        <f t="shared" si="29"/>
        <v>6.9999999999999988E-4</v>
      </c>
      <c r="V72" s="83">
        <f t="shared" si="30"/>
        <v>2.7000000000000001E-3</v>
      </c>
    </row>
    <row r="73" spans="1:22">
      <c r="A73" s="75">
        <v>62</v>
      </c>
      <c r="B73" s="116" t="s">
        <v>251</v>
      </c>
      <c r="C73" s="117" t="s">
        <v>32</v>
      </c>
      <c r="D73" s="2">
        <v>9019984580.5303001</v>
      </c>
      <c r="E73" s="3">
        <f t="shared" si="31"/>
        <v>3.142245474940026E-2</v>
      </c>
      <c r="F73" s="14">
        <v>1</v>
      </c>
      <c r="G73" s="14">
        <v>1</v>
      </c>
      <c r="H73" s="60">
        <v>5520</v>
      </c>
      <c r="I73" s="5">
        <v>0.06</v>
      </c>
      <c r="J73" s="5">
        <v>0.06</v>
      </c>
      <c r="K73" s="2">
        <v>9071060090.8464146</v>
      </c>
      <c r="L73" s="3">
        <f t="shared" si="20"/>
        <v>3.1405593952524673E-2</v>
      </c>
      <c r="M73" s="14">
        <v>1</v>
      </c>
      <c r="N73" s="14">
        <v>1</v>
      </c>
      <c r="O73" s="60">
        <v>5520</v>
      </c>
      <c r="P73" s="5">
        <v>0.06</v>
      </c>
      <c r="Q73" s="5">
        <v>0.06</v>
      </c>
      <c r="R73" s="80">
        <f t="shared" ref="R73" si="32">((K73-D73)/D73)</f>
        <v>5.6624831073837168E-3</v>
      </c>
      <c r="S73" s="80">
        <f t="shared" ref="S73" si="33">((N73-G73)/G73)</f>
        <v>0</v>
      </c>
      <c r="T73" s="80">
        <f t="shared" ref="T73" si="34">((O73-H73)/H73)</f>
        <v>0</v>
      </c>
      <c r="U73" s="81">
        <f t="shared" ref="U73" si="35">P73-I73</f>
        <v>0</v>
      </c>
      <c r="V73" s="83">
        <f t="shared" ref="V73" si="36">Q73-J73</f>
        <v>0</v>
      </c>
    </row>
    <row r="74" spans="1:22">
      <c r="A74" s="75">
        <v>63</v>
      </c>
      <c r="B74" s="116" t="s">
        <v>113</v>
      </c>
      <c r="C74" s="117" t="s">
        <v>114</v>
      </c>
      <c r="D74" s="2">
        <v>1053885312.12</v>
      </c>
      <c r="E74" s="3">
        <f t="shared" si="31"/>
        <v>3.6713658693639747E-3</v>
      </c>
      <c r="F74" s="2">
        <v>214.88534300000001</v>
      </c>
      <c r="G74" s="2">
        <v>217.40504899999999</v>
      </c>
      <c r="H74" s="60">
        <v>488</v>
      </c>
      <c r="I74" s="5">
        <v>1.2999999999999999E-3</v>
      </c>
      <c r="J74" s="5">
        <v>1.2999999999999999E-3</v>
      </c>
      <c r="K74" s="2">
        <v>1054955462.5599999</v>
      </c>
      <c r="L74" s="3">
        <f t="shared" si="20"/>
        <v>3.6524400195066644E-3</v>
      </c>
      <c r="M74" s="2">
        <v>215.05726000000001</v>
      </c>
      <c r="N74" s="2">
        <v>217.65542600000001</v>
      </c>
      <c r="O74" s="60">
        <v>488</v>
      </c>
      <c r="P74" s="5">
        <v>2.3999999999999998E-3</v>
      </c>
      <c r="Q74" s="5">
        <v>2.5000000000000001E-3</v>
      </c>
      <c r="R74" s="80">
        <f t="shared" si="26"/>
        <v>1.0154334894820947E-3</v>
      </c>
      <c r="S74" s="80">
        <f t="shared" si="27"/>
        <v>1.1516613857482884E-3</v>
      </c>
      <c r="T74" s="80">
        <f t="shared" si="28"/>
        <v>0</v>
      </c>
      <c r="U74" s="81">
        <f t="shared" si="29"/>
        <v>1.0999999999999998E-3</v>
      </c>
      <c r="V74" s="83">
        <f t="shared" si="30"/>
        <v>1.2000000000000001E-3</v>
      </c>
    </row>
    <row r="75" spans="1:22">
      <c r="A75" s="75">
        <v>64</v>
      </c>
      <c r="B75" s="116" t="s">
        <v>115</v>
      </c>
      <c r="C75" s="117" t="s">
        <v>34</v>
      </c>
      <c r="D75" s="2">
        <v>1221732695.3399999</v>
      </c>
      <c r="E75" s="3">
        <f t="shared" si="31"/>
        <v>4.2560871354535021E-3</v>
      </c>
      <c r="F75" s="14">
        <v>3.58</v>
      </c>
      <c r="G75" s="14">
        <v>3.58</v>
      </c>
      <c r="H75" s="61">
        <v>780</v>
      </c>
      <c r="I75" s="12">
        <v>8.9999999999999998E-4</v>
      </c>
      <c r="J75" s="12">
        <v>5.6399999999999999E-2</v>
      </c>
      <c r="K75" s="2">
        <v>1221202408.01</v>
      </c>
      <c r="L75" s="3">
        <f t="shared" si="20"/>
        <v>4.2280159734041376E-3</v>
      </c>
      <c r="M75" s="14">
        <v>3.58</v>
      </c>
      <c r="N75" s="14">
        <v>3.58</v>
      </c>
      <c r="O75" s="61">
        <v>780</v>
      </c>
      <c r="P75" s="12">
        <v>-4.0000000000000002E-4</v>
      </c>
      <c r="Q75" s="12">
        <v>1.03E-2</v>
      </c>
      <c r="R75" s="80">
        <f t="shared" si="26"/>
        <v>-4.340452965059991E-4</v>
      </c>
      <c r="S75" s="80">
        <f t="shared" si="27"/>
        <v>0</v>
      </c>
      <c r="T75" s="80">
        <f t="shared" si="28"/>
        <v>0</v>
      </c>
      <c r="U75" s="81">
        <f t="shared" si="29"/>
        <v>-1.2999999999999999E-3</v>
      </c>
      <c r="V75" s="83">
        <f t="shared" si="30"/>
        <v>-4.6100000000000002E-2</v>
      </c>
    </row>
    <row r="76" spans="1:22">
      <c r="A76" s="75">
        <v>65</v>
      </c>
      <c r="B76" s="117" t="s">
        <v>116</v>
      </c>
      <c r="C76" s="121" t="s">
        <v>40</v>
      </c>
      <c r="D76" s="2">
        <v>1596442524.8499999</v>
      </c>
      <c r="E76" s="3">
        <f t="shared" si="31"/>
        <v>5.5614444292285247E-3</v>
      </c>
      <c r="F76" s="14">
        <v>98.68</v>
      </c>
      <c r="G76" s="14">
        <v>98.68</v>
      </c>
      <c r="H76" s="60">
        <v>122</v>
      </c>
      <c r="I76" s="5">
        <v>1.8E-3</v>
      </c>
      <c r="J76" s="5">
        <v>1.8E-3</v>
      </c>
      <c r="K76" s="2">
        <v>1631478236.21</v>
      </c>
      <c r="L76" s="3">
        <f t="shared" si="20"/>
        <v>5.6484625298090663E-3</v>
      </c>
      <c r="M76" s="14">
        <v>98.87</v>
      </c>
      <c r="N76" s="14">
        <v>98.87</v>
      </c>
      <c r="O76" s="60">
        <v>122</v>
      </c>
      <c r="P76" s="5">
        <v>2E-3</v>
      </c>
      <c r="Q76" s="5">
        <v>3.5999999999999999E-3</v>
      </c>
      <c r="R76" s="80">
        <f t="shared" si="26"/>
        <v>2.1946115074385188E-2</v>
      </c>
      <c r="S76" s="80">
        <f t="shared" si="27"/>
        <v>1.9254154843939776E-3</v>
      </c>
      <c r="T76" s="80">
        <f t="shared" si="28"/>
        <v>0</v>
      </c>
      <c r="U76" s="81">
        <f t="shared" si="29"/>
        <v>2.0000000000000009E-4</v>
      </c>
      <c r="V76" s="83">
        <f t="shared" si="30"/>
        <v>1.8E-3</v>
      </c>
    </row>
    <row r="77" spans="1:22">
      <c r="A77" s="75">
        <v>66</v>
      </c>
      <c r="B77" s="116" t="s">
        <v>117</v>
      </c>
      <c r="C77" s="117" t="s">
        <v>17</v>
      </c>
      <c r="D77" s="2">
        <v>1216199289.01</v>
      </c>
      <c r="E77" s="3">
        <f t="shared" si="31"/>
        <v>4.2368106934083825E-3</v>
      </c>
      <c r="F77" s="14">
        <v>341.10879999999997</v>
      </c>
      <c r="G77" s="14">
        <v>341.10879999999997</v>
      </c>
      <c r="H77" s="60">
        <v>103</v>
      </c>
      <c r="I77" s="5">
        <v>2.2000000000000001E-3</v>
      </c>
      <c r="J77" s="5">
        <v>1.5E-3</v>
      </c>
      <c r="K77" s="2">
        <v>1220176082.7</v>
      </c>
      <c r="L77" s="3">
        <f t="shared" si="20"/>
        <v>4.2244626559719677E-3</v>
      </c>
      <c r="M77" s="14">
        <v>341.83229999999998</v>
      </c>
      <c r="N77" s="14">
        <v>341.83229999999998</v>
      </c>
      <c r="O77" s="60">
        <v>103</v>
      </c>
      <c r="P77" s="5">
        <v>2.0999999999999999E-3</v>
      </c>
      <c r="Q77" s="5">
        <v>3.5999999999999999E-3</v>
      </c>
      <c r="R77" s="80">
        <f t="shared" si="26"/>
        <v>3.2698536546894486E-3</v>
      </c>
      <c r="S77" s="80">
        <f t="shared" si="27"/>
        <v>2.1210241424437053E-3</v>
      </c>
      <c r="T77" s="80">
        <f t="shared" si="28"/>
        <v>0</v>
      </c>
      <c r="U77" s="81">
        <f t="shared" si="29"/>
        <v>-1.0000000000000026E-4</v>
      </c>
      <c r="V77" s="83">
        <f t="shared" si="30"/>
        <v>2.0999999999999999E-3</v>
      </c>
    </row>
    <row r="78" spans="1:22">
      <c r="A78" s="75">
        <v>67</v>
      </c>
      <c r="B78" s="116" t="s">
        <v>252</v>
      </c>
      <c r="C78" s="117" t="s">
        <v>78</v>
      </c>
      <c r="D78" s="9">
        <v>1217094020.95</v>
      </c>
      <c r="E78" s="3">
        <f t="shared" ref="E78" si="37">(D78/$K$55)</f>
        <v>1.3336962548753787E-3</v>
      </c>
      <c r="F78" s="8">
        <v>100.38</v>
      </c>
      <c r="G78" s="8">
        <v>100.38</v>
      </c>
      <c r="H78" s="60">
        <v>220</v>
      </c>
      <c r="I78" s="5">
        <v>1.4E-3</v>
      </c>
      <c r="J78" s="5">
        <v>1.4E-3</v>
      </c>
      <c r="K78" s="9">
        <v>1284648763.99</v>
      </c>
      <c r="L78" s="3">
        <f t="shared" ref="L78" si="38">(K78/$K$55)</f>
        <v>1.4077229991043836E-3</v>
      </c>
      <c r="M78" s="8">
        <v>100.63</v>
      </c>
      <c r="N78" s="8">
        <v>100.63</v>
      </c>
      <c r="O78" s="60">
        <v>232</v>
      </c>
      <c r="P78" s="5">
        <v>2.5000000000000001E-3</v>
      </c>
      <c r="Q78" s="5">
        <v>3.8999999999999998E-3</v>
      </c>
      <c r="R78" s="80">
        <f t="shared" si="26"/>
        <v>5.5504950215161074E-2</v>
      </c>
      <c r="S78" s="80">
        <f t="shared" si="27"/>
        <v>2.4905359633393106E-3</v>
      </c>
      <c r="T78" s="80">
        <f t="shared" si="28"/>
        <v>5.4545454545454543E-2</v>
      </c>
      <c r="U78" s="81">
        <f t="shared" si="29"/>
        <v>1.1000000000000001E-3</v>
      </c>
      <c r="V78" s="83">
        <f t="shared" si="30"/>
        <v>2.4999999999999996E-3</v>
      </c>
    </row>
    <row r="79" spans="1:22">
      <c r="A79" s="75">
        <v>68</v>
      </c>
      <c r="B79" s="116" t="s">
        <v>118</v>
      </c>
      <c r="C79" s="117" t="s">
        <v>38</v>
      </c>
      <c r="D79" s="2">
        <v>55146127.780000001</v>
      </c>
      <c r="E79" s="3">
        <f t="shared" ref="E79:E89" si="39">(D79/$D$90)</f>
        <v>1.9210971917978811E-4</v>
      </c>
      <c r="F79" s="14">
        <v>12.01</v>
      </c>
      <c r="G79" s="2">
        <v>12.25</v>
      </c>
      <c r="H79" s="60">
        <v>55</v>
      </c>
      <c r="I79" s="5">
        <v>8.0000000000000004E-4</v>
      </c>
      <c r="J79" s="5">
        <v>2E-3</v>
      </c>
      <c r="K79" s="2">
        <v>55230682.530000001</v>
      </c>
      <c r="L79" s="3">
        <f t="shared" ref="L79:L89" si="40">(K79/$K$90)</f>
        <v>1.9121826687140027E-4</v>
      </c>
      <c r="M79" s="14">
        <v>12.027996</v>
      </c>
      <c r="N79" s="2">
        <v>12.278480999999999</v>
      </c>
      <c r="O79" s="60">
        <v>55</v>
      </c>
      <c r="P79" s="5">
        <v>8.0000000000000004E-4</v>
      </c>
      <c r="Q79" s="5">
        <v>3.8999999999999998E-3</v>
      </c>
      <c r="R79" s="80">
        <f t="shared" si="26"/>
        <v>1.5332853530047074E-3</v>
      </c>
      <c r="S79" s="80">
        <f t="shared" si="27"/>
        <v>2.3249795918366786E-3</v>
      </c>
      <c r="T79" s="80">
        <f t="shared" si="28"/>
        <v>0</v>
      </c>
      <c r="U79" s="81">
        <f t="shared" si="29"/>
        <v>0</v>
      </c>
      <c r="V79" s="83">
        <f t="shared" si="30"/>
        <v>1.8999999999999998E-3</v>
      </c>
    </row>
    <row r="80" spans="1:22">
      <c r="A80" s="75">
        <v>69</v>
      </c>
      <c r="B80" s="116" t="s">
        <v>236</v>
      </c>
      <c r="C80" s="117" t="s">
        <v>237</v>
      </c>
      <c r="D80" s="2">
        <v>309399996.56</v>
      </c>
      <c r="E80" s="3">
        <f t="shared" si="39"/>
        <v>1.0778407994572888E-3</v>
      </c>
      <c r="F80" s="2">
        <v>111.99</v>
      </c>
      <c r="G80" s="2">
        <v>111.99</v>
      </c>
      <c r="H80" s="60">
        <v>73</v>
      </c>
      <c r="I80" s="5">
        <v>0.1173</v>
      </c>
      <c r="J80" s="5">
        <v>0.1173</v>
      </c>
      <c r="K80" s="2">
        <v>270377043.54000002</v>
      </c>
      <c r="L80" s="3">
        <f t="shared" si="40"/>
        <v>9.3609253587350044E-4</v>
      </c>
      <c r="M80" s="2">
        <v>114.13</v>
      </c>
      <c r="N80" s="2">
        <v>114.13</v>
      </c>
      <c r="O80" s="60">
        <v>74</v>
      </c>
      <c r="P80" s="5">
        <v>2.3714</v>
      </c>
      <c r="Q80" s="5">
        <v>0.86019999999999996</v>
      </c>
      <c r="R80" s="80">
        <f t="shared" ref="R80" si="41">((K80-D80)/D80)</f>
        <v>-0.12612460715536078</v>
      </c>
      <c r="S80" s="80">
        <f t="shared" ref="S80" si="42">((N80-G80)/G80)</f>
        <v>1.9108849004375397E-2</v>
      </c>
      <c r="T80" s="80">
        <f t="shared" ref="T80" si="43">((O80-H80)/H80)</f>
        <v>1.3698630136986301E-2</v>
      </c>
      <c r="U80" s="81">
        <f t="shared" si="29"/>
        <v>2.2540999999999998</v>
      </c>
      <c r="V80" s="83">
        <f t="shared" si="30"/>
        <v>0.7429</v>
      </c>
    </row>
    <row r="81" spans="1:28">
      <c r="A81" s="75">
        <v>70</v>
      </c>
      <c r="B81" s="116" t="s">
        <v>119</v>
      </c>
      <c r="C81" s="117" t="s">
        <v>120</v>
      </c>
      <c r="D81" s="2">
        <v>6937180880.7200003</v>
      </c>
      <c r="E81" s="3">
        <f t="shared" si="39"/>
        <v>2.4166698996730799E-2</v>
      </c>
      <c r="F81" s="14">
        <v>1</v>
      </c>
      <c r="G81" s="14">
        <v>1</v>
      </c>
      <c r="H81" s="60">
        <v>3738</v>
      </c>
      <c r="I81" s="5">
        <v>0</v>
      </c>
      <c r="J81" s="5">
        <v>0.1105</v>
      </c>
      <c r="K81" s="2">
        <v>6918655465.6400003</v>
      </c>
      <c r="L81" s="3">
        <f t="shared" si="40"/>
        <v>2.3953593303892521E-2</v>
      </c>
      <c r="M81" s="14">
        <v>1</v>
      </c>
      <c r="N81" s="14">
        <v>1</v>
      </c>
      <c r="O81" s="60">
        <v>3775</v>
      </c>
      <c r="P81" s="5">
        <v>0</v>
      </c>
      <c r="Q81" s="5">
        <v>0.1103</v>
      </c>
      <c r="R81" s="80">
        <f t="shared" si="26"/>
        <v>-2.670452940255062E-3</v>
      </c>
      <c r="S81" s="80">
        <f t="shared" si="27"/>
        <v>0</v>
      </c>
      <c r="T81" s="80">
        <f t="shared" si="28"/>
        <v>9.8983413590155167E-3</v>
      </c>
      <c r="U81" s="81">
        <f t="shared" si="29"/>
        <v>0</v>
      </c>
      <c r="V81" s="83">
        <f t="shared" si="30"/>
        <v>-2.0000000000000573E-4</v>
      </c>
    </row>
    <row r="82" spans="1:28" ht="14.25" customHeight="1">
      <c r="A82" s="75">
        <v>71</v>
      </c>
      <c r="B82" s="116" t="s">
        <v>121</v>
      </c>
      <c r="C82" s="117" t="s">
        <v>42</v>
      </c>
      <c r="D82" s="2">
        <v>22057820673.950001</v>
      </c>
      <c r="E82" s="3">
        <f t="shared" si="39"/>
        <v>7.6841691447418231E-2</v>
      </c>
      <c r="F82" s="2">
        <v>5019.03</v>
      </c>
      <c r="G82" s="2">
        <v>5019.03</v>
      </c>
      <c r="H82" s="60">
        <v>1136</v>
      </c>
      <c r="I82" s="5">
        <v>2E-3</v>
      </c>
      <c r="J82" s="5">
        <v>2E-3</v>
      </c>
      <c r="K82" s="2">
        <v>22048728968.580002</v>
      </c>
      <c r="L82" s="3">
        <f t="shared" si="40"/>
        <v>7.6336549666917636E-2</v>
      </c>
      <c r="M82" s="2">
        <v>5025.8100000000004</v>
      </c>
      <c r="N82" s="2">
        <v>5025.8100000000004</v>
      </c>
      <c r="O82" s="60">
        <v>1136</v>
      </c>
      <c r="P82" s="5">
        <v>1.4E-3</v>
      </c>
      <c r="Q82" s="5">
        <v>2.8E-3</v>
      </c>
      <c r="R82" s="80">
        <f t="shared" si="26"/>
        <v>-4.121760487760297E-4</v>
      </c>
      <c r="S82" s="80">
        <f t="shared" si="27"/>
        <v>1.3508586320465619E-3</v>
      </c>
      <c r="T82" s="80">
        <f t="shared" si="28"/>
        <v>0</v>
      </c>
      <c r="U82" s="81">
        <f t="shared" si="29"/>
        <v>-6.0000000000000006E-4</v>
      </c>
      <c r="V82" s="83">
        <f t="shared" si="30"/>
        <v>7.9999999999999993E-4</v>
      </c>
    </row>
    <row r="83" spans="1:28">
      <c r="A83" s="75">
        <v>72</v>
      </c>
      <c r="B83" s="116" t="s">
        <v>122</v>
      </c>
      <c r="C83" s="117" t="s">
        <v>42</v>
      </c>
      <c r="D83" s="2">
        <v>36171020998.099998</v>
      </c>
      <c r="E83" s="3">
        <f t="shared" si="39"/>
        <v>0.12600711901500639</v>
      </c>
      <c r="F83" s="14">
        <v>255.91</v>
      </c>
      <c r="G83" s="14">
        <v>255.91</v>
      </c>
      <c r="H83" s="60">
        <v>11783</v>
      </c>
      <c r="I83" s="5">
        <v>6.9999999999999999E-4</v>
      </c>
      <c r="J83" s="5">
        <v>6.9999999999999999E-4</v>
      </c>
      <c r="K83" s="2">
        <v>35966675762.459999</v>
      </c>
      <c r="L83" s="3">
        <f t="shared" si="40"/>
        <v>0.1245229117110315</v>
      </c>
      <c r="M83" s="14">
        <v>256.10000000000002</v>
      </c>
      <c r="N83" s="14">
        <v>256.10000000000002</v>
      </c>
      <c r="O83" s="60">
        <v>11786</v>
      </c>
      <c r="P83" s="5">
        <v>6.9999999999999999E-4</v>
      </c>
      <c r="Q83" s="5">
        <v>1.1000000000000001E-3</v>
      </c>
      <c r="R83" s="80">
        <f t="shared" si="26"/>
        <v>-5.6494185124255488E-3</v>
      </c>
      <c r="S83" s="80">
        <f t="shared" si="27"/>
        <v>7.4244851705688E-4</v>
      </c>
      <c r="T83" s="80">
        <f t="shared" si="28"/>
        <v>2.5460409063905628E-4</v>
      </c>
      <c r="U83" s="81">
        <f t="shared" si="29"/>
        <v>0</v>
      </c>
      <c r="V83" s="83">
        <f t="shared" si="30"/>
        <v>4.0000000000000007E-4</v>
      </c>
    </row>
    <row r="84" spans="1:28" ht="12.75" customHeight="1">
      <c r="A84" s="75">
        <v>73</v>
      </c>
      <c r="B84" s="116" t="s">
        <v>123</v>
      </c>
      <c r="C84" s="117" t="s">
        <v>42</v>
      </c>
      <c r="D84" s="2">
        <v>310918918.88</v>
      </c>
      <c r="E84" s="3">
        <f t="shared" si="39"/>
        <v>1.0831321907498056E-3</v>
      </c>
      <c r="F84" s="2">
        <v>5497.76</v>
      </c>
      <c r="G84" s="7">
        <v>5526.86</v>
      </c>
      <c r="H84" s="60">
        <v>1132</v>
      </c>
      <c r="I84" s="5">
        <v>4.1500000000000002E-2</v>
      </c>
      <c r="J84" s="5">
        <v>4.1500000000000002E-2</v>
      </c>
      <c r="K84" s="2">
        <v>317848356.26999998</v>
      </c>
      <c r="L84" s="3">
        <f t="shared" si="40"/>
        <v>1.1004465096164505E-3</v>
      </c>
      <c r="M84" s="2">
        <v>5620.97</v>
      </c>
      <c r="N84" s="7">
        <v>5649.57</v>
      </c>
      <c r="O84" s="60">
        <v>1132</v>
      </c>
      <c r="P84" s="5">
        <v>2.2200000000000001E-2</v>
      </c>
      <c r="Q84" s="5">
        <v>6.4100000000000004E-2</v>
      </c>
      <c r="R84" s="80">
        <f t="shared" si="26"/>
        <v>2.2286959619444775E-2</v>
      </c>
      <c r="S84" s="80">
        <f t="shared" si="27"/>
        <v>2.2202480250992435E-2</v>
      </c>
      <c r="T84" s="80">
        <f t="shared" si="28"/>
        <v>0</v>
      </c>
      <c r="U84" s="81">
        <f t="shared" si="29"/>
        <v>-1.9300000000000001E-2</v>
      </c>
      <c r="V84" s="83">
        <f t="shared" si="30"/>
        <v>2.2600000000000002E-2</v>
      </c>
    </row>
    <row r="85" spans="1:28" ht="12.75" customHeight="1">
      <c r="A85" s="75">
        <v>74</v>
      </c>
      <c r="B85" s="116" t="s">
        <v>124</v>
      </c>
      <c r="C85" s="117" t="s">
        <v>42</v>
      </c>
      <c r="D85" s="2">
        <v>18103106742.970001</v>
      </c>
      <c r="E85" s="3">
        <f t="shared" si="39"/>
        <v>6.3064858634280976E-2</v>
      </c>
      <c r="F85" s="14">
        <v>126.08</v>
      </c>
      <c r="G85" s="14">
        <v>126.08</v>
      </c>
      <c r="H85" s="60">
        <v>5754</v>
      </c>
      <c r="I85" s="5">
        <v>1.6999999999999999E-3</v>
      </c>
      <c r="J85" s="5">
        <v>1.6999999999999999E-3</v>
      </c>
      <c r="K85" s="2">
        <v>18053581083.310001</v>
      </c>
      <c r="L85" s="3">
        <f t="shared" si="40"/>
        <v>6.2504650086438754E-2</v>
      </c>
      <c r="M85" s="14">
        <v>126.31</v>
      </c>
      <c r="N85" s="14">
        <v>126.31</v>
      </c>
      <c r="O85" s="60">
        <v>5768</v>
      </c>
      <c r="P85" s="5">
        <v>1.8E-3</v>
      </c>
      <c r="Q85" s="5">
        <v>3.0999999999999999E-3</v>
      </c>
      <c r="R85" s="80">
        <f t="shared" si="26"/>
        <v>-2.7357547167550234E-3</v>
      </c>
      <c r="S85" s="80">
        <f t="shared" si="27"/>
        <v>1.8242385786802345E-3</v>
      </c>
      <c r="T85" s="80">
        <f t="shared" si="28"/>
        <v>2.4330900243309003E-3</v>
      </c>
      <c r="U85" s="81">
        <f t="shared" si="29"/>
        <v>1.0000000000000005E-4</v>
      </c>
      <c r="V85" s="83">
        <f t="shared" si="30"/>
        <v>1.4E-3</v>
      </c>
    </row>
    <row r="86" spans="1:28" ht="12.75" customHeight="1">
      <c r="A86" s="75">
        <v>75</v>
      </c>
      <c r="B86" s="116" t="s">
        <v>125</v>
      </c>
      <c r="C86" s="117" t="s">
        <v>42</v>
      </c>
      <c r="D86" s="2">
        <v>13931089095.18</v>
      </c>
      <c r="E86" s="3">
        <f t="shared" si="39"/>
        <v>4.8531016078236025E-2</v>
      </c>
      <c r="F86" s="14">
        <v>355.1</v>
      </c>
      <c r="G86" s="14">
        <v>355.28</v>
      </c>
      <c r="H86" s="60">
        <v>17575</v>
      </c>
      <c r="I86" s="5">
        <v>5.7999999999999996E-3</v>
      </c>
      <c r="J86" s="5">
        <v>5.7999999999999996E-3</v>
      </c>
      <c r="K86" s="2">
        <v>14000173294.209999</v>
      </c>
      <c r="L86" s="3">
        <f t="shared" si="40"/>
        <v>4.8471044546008778E-2</v>
      </c>
      <c r="M86" s="14">
        <v>355.58</v>
      </c>
      <c r="N86" s="14">
        <v>355.79</v>
      </c>
      <c r="O86" s="60">
        <v>17582</v>
      </c>
      <c r="P86" s="5">
        <v>1.4E-3</v>
      </c>
      <c r="Q86" s="5">
        <v>6.8999999999999999E-3</v>
      </c>
      <c r="R86" s="80">
        <f t="shared" si="26"/>
        <v>4.9589948465623649E-3</v>
      </c>
      <c r="S86" s="80">
        <f t="shared" si="27"/>
        <v>1.4354875028148159E-3</v>
      </c>
      <c r="T86" s="80">
        <f t="shared" si="28"/>
        <v>3.9829302987197726E-4</v>
      </c>
      <c r="U86" s="81">
        <f t="shared" si="29"/>
        <v>-4.3999999999999994E-3</v>
      </c>
      <c r="V86" s="83">
        <f t="shared" si="30"/>
        <v>1.1000000000000003E-3</v>
      </c>
    </row>
    <row r="87" spans="1:28">
      <c r="A87" s="75">
        <v>76</v>
      </c>
      <c r="B87" s="116" t="s">
        <v>126</v>
      </c>
      <c r="C87" s="117" t="s">
        <v>45</v>
      </c>
      <c r="D87" s="2">
        <v>94300030775.839996</v>
      </c>
      <c r="E87" s="3">
        <f t="shared" si="39"/>
        <v>0.32850815025968444</v>
      </c>
      <c r="F87" s="2">
        <v>1.9525999999999999</v>
      </c>
      <c r="G87" s="2">
        <v>1.9525999999999999</v>
      </c>
      <c r="H87" s="60">
        <v>6101</v>
      </c>
      <c r="I87" s="5">
        <v>7.7700000000000005E-2</v>
      </c>
      <c r="J87" s="5">
        <v>7.7700000000000005E-2</v>
      </c>
      <c r="K87" s="2">
        <v>96337272307.039993</v>
      </c>
      <c r="L87" s="3">
        <f t="shared" si="40"/>
        <v>0.33353645839274643</v>
      </c>
      <c r="M87" s="2">
        <v>1.9554</v>
      </c>
      <c r="N87" s="2">
        <v>1.9554</v>
      </c>
      <c r="O87" s="60">
        <v>6116</v>
      </c>
      <c r="P87" s="5">
        <v>7.7600000000000002E-2</v>
      </c>
      <c r="Q87" s="5">
        <v>7.7600000000000002E-2</v>
      </c>
      <c r="R87" s="80">
        <f t="shared" si="26"/>
        <v>2.1603826790287172E-2</v>
      </c>
      <c r="S87" s="80">
        <f t="shared" si="27"/>
        <v>1.4339854552904516E-3</v>
      </c>
      <c r="T87" s="80">
        <f t="shared" si="28"/>
        <v>2.4586133420750698E-3</v>
      </c>
      <c r="U87" s="81">
        <f t="shared" si="29"/>
        <v>-1.0000000000000286E-4</v>
      </c>
      <c r="V87" s="83">
        <f t="shared" si="30"/>
        <v>-1.0000000000000286E-4</v>
      </c>
    </row>
    <row r="88" spans="1:28">
      <c r="A88" s="75">
        <v>77</v>
      </c>
      <c r="B88" s="116" t="s">
        <v>241</v>
      </c>
      <c r="C88" s="116" t="s">
        <v>242</v>
      </c>
      <c r="D88" s="2">
        <v>81884199.430000007</v>
      </c>
      <c r="E88" s="3">
        <f t="shared" si="39"/>
        <v>2.8525575939829055E-4</v>
      </c>
      <c r="F88" s="2">
        <v>101.68682366300422</v>
      </c>
      <c r="G88" s="2">
        <v>53</v>
      </c>
      <c r="H88" s="60">
        <v>52</v>
      </c>
      <c r="I88" s="5">
        <v>1.5393367953561166E-3</v>
      </c>
      <c r="J88" s="5">
        <v>8.9999999999999998E-4</v>
      </c>
      <c r="K88" s="2">
        <v>82104426.579999998</v>
      </c>
      <c r="L88" s="3">
        <f t="shared" si="40"/>
        <v>2.8425986125682831E-4</v>
      </c>
      <c r="M88" s="2">
        <v>101.83973242674645</v>
      </c>
      <c r="N88" s="2">
        <v>101.83973242674645</v>
      </c>
      <c r="O88" s="60">
        <v>56</v>
      </c>
      <c r="P88" s="5">
        <v>1.5393367953561166E-3</v>
      </c>
      <c r="Q88" s="5">
        <v>2.3999999999999998E-3</v>
      </c>
      <c r="R88" s="80">
        <f t="shared" ref="R88" si="44">((K88-D88)/D88)</f>
        <v>2.6894950617213482E-3</v>
      </c>
      <c r="S88" s="80">
        <f t="shared" ref="S88" si="45">((N88-G88)/G88)</f>
        <v>0.92150438541031043</v>
      </c>
      <c r="T88" s="80">
        <f t="shared" ref="T88" si="46">((O88-H88)/H88)</f>
        <v>7.6923076923076927E-2</v>
      </c>
      <c r="U88" s="81">
        <f t="shared" ref="U88" si="47">P88-I88</f>
        <v>0</v>
      </c>
      <c r="V88" s="83">
        <f t="shared" ref="V88" si="48">Q88-J88</f>
        <v>1.4999999999999998E-3</v>
      </c>
    </row>
    <row r="89" spans="1:28">
      <c r="A89" s="75">
        <v>78</v>
      </c>
      <c r="B89" s="116" t="s">
        <v>127</v>
      </c>
      <c r="C89" s="117" t="s">
        <v>91</v>
      </c>
      <c r="D89" s="2">
        <v>2622397828.8600001</v>
      </c>
      <c r="E89" s="3">
        <f t="shared" si="39"/>
        <v>9.1355119708457725E-3</v>
      </c>
      <c r="F89" s="14">
        <v>25.35</v>
      </c>
      <c r="G89" s="14">
        <v>25.35</v>
      </c>
      <c r="H89" s="60">
        <v>1319</v>
      </c>
      <c r="I89" s="5">
        <v>0</v>
      </c>
      <c r="J89" s="5">
        <v>0.1026</v>
      </c>
      <c r="K89" s="2">
        <v>2623904624.79</v>
      </c>
      <c r="L89" s="3">
        <f t="shared" si="40"/>
        <v>9.0844159768560372E-3</v>
      </c>
      <c r="M89" s="14">
        <v>25.390699999999999</v>
      </c>
      <c r="N89" s="14">
        <v>25.390699999999999</v>
      </c>
      <c r="O89" s="60">
        <v>1321</v>
      </c>
      <c r="P89" s="5">
        <v>0</v>
      </c>
      <c r="Q89" s="5">
        <v>0.1085</v>
      </c>
      <c r="R89" s="80">
        <f t="shared" si="26"/>
        <v>5.7458708721355885E-4</v>
      </c>
      <c r="S89" s="80">
        <f t="shared" si="27"/>
        <v>1.6055226824456612E-3</v>
      </c>
      <c r="T89" s="80">
        <f t="shared" si="28"/>
        <v>1.5163002274450341E-3</v>
      </c>
      <c r="U89" s="81">
        <f t="shared" si="29"/>
        <v>0</v>
      </c>
      <c r="V89" s="83">
        <f t="shared" si="30"/>
        <v>5.9000000000000025E-3</v>
      </c>
    </row>
    <row r="90" spans="1:28">
      <c r="A90" s="75"/>
      <c r="B90" s="19"/>
      <c r="C90" s="71" t="s">
        <v>46</v>
      </c>
      <c r="D90" s="59">
        <f>SUM(D58:D89)</f>
        <v>287055376560.05243</v>
      </c>
      <c r="E90" s="101">
        <f>(D90/$D$181)</f>
        <v>0.13429333954999534</v>
      </c>
      <c r="F90" s="30"/>
      <c r="G90" s="11"/>
      <c r="H90" s="65">
        <f>SUM(H58:H89)</f>
        <v>64545</v>
      </c>
      <c r="I90" s="12"/>
      <c r="J90" s="12"/>
      <c r="K90" s="59">
        <f>SUM(K58:K89)</f>
        <v>288835807549.41266</v>
      </c>
      <c r="L90" s="101">
        <f>(K90/$K$181)</f>
        <v>0.13021151632346617</v>
      </c>
      <c r="M90" s="30"/>
      <c r="N90" s="11"/>
      <c r="O90" s="65">
        <f>SUM(O58:O89)</f>
        <v>64640</v>
      </c>
      <c r="P90" s="12"/>
      <c r="Q90" s="12"/>
      <c r="R90" s="80">
        <f t="shared" si="26"/>
        <v>6.2023955471454499E-3</v>
      </c>
      <c r="S90" s="80" t="e">
        <f t="shared" si="27"/>
        <v>#DIV/0!</v>
      </c>
      <c r="T90" s="80">
        <f t="shared" si="28"/>
        <v>1.4718413509954295E-3</v>
      </c>
      <c r="U90" s="81">
        <f t="shared" si="29"/>
        <v>0</v>
      </c>
      <c r="V90" s="83">
        <f t="shared" si="30"/>
        <v>0</v>
      </c>
    </row>
    <row r="91" spans="1:28" ht="8.25" customHeight="1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</row>
    <row r="92" spans="1:28" ht="15" customHeight="1">
      <c r="A92" s="138" t="s">
        <v>128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</row>
    <row r="93" spans="1:28">
      <c r="A93" s="139" t="s">
        <v>230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AB93" s="104"/>
    </row>
    <row r="94" spans="1:28" ht="16.5" customHeight="1">
      <c r="A94" s="75">
        <v>79</v>
      </c>
      <c r="B94" s="116" t="s">
        <v>129</v>
      </c>
      <c r="C94" s="117" t="s">
        <v>17</v>
      </c>
      <c r="D94" s="2">
        <v>1620086621.8499999</v>
      </c>
      <c r="E94" s="3">
        <f>(D94/$D$118)</f>
        <v>2.2286976472908082E-3</v>
      </c>
      <c r="F94" s="2">
        <f>110.3132*878.029</f>
        <v>96858.188682799999</v>
      </c>
      <c r="G94" s="2">
        <f>110.3132*878.029</f>
        <v>96858.188682799999</v>
      </c>
      <c r="H94" s="60">
        <v>229</v>
      </c>
      <c r="I94" s="5">
        <v>8.9999999999999998E-4</v>
      </c>
      <c r="J94" s="5">
        <v>8.0000000000000004E-4</v>
      </c>
      <c r="K94" s="2">
        <v>1535915163.55</v>
      </c>
      <c r="L94" s="3">
        <f t="shared" ref="L94:L105" si="49">(K94/$K$118)</f>
        <v>1.9428485655300198E-3</v>
      </c>
      <c r="M94" s="2">
        <v>95581.063853380285</v>
      </c>
      <c r="N94" s="2">
        <v>95581.063853380285</v>
      </c>
      <c r="O94" s="60">
        <v>229</v>
      </c>
      <c r="P94" s="5">
        <v>1.1000000000000001E-3</v>
      </c>
      <c r="Q94" s="5">
        <v>1.9E-3</v>
      </c>
      <c r="R94" s="81">
        <f t="shared" ref="R94" si="50">((K94-D94)/D94)</f>
        <v>-5.1954912265051216E-2</v>
      </c>
      <c r="S94" s="81">
        <f t="shared" ref="S94" si="51">((N94-G94)/G94)</f>
        <v>-1.3185512209010623E-2</v>
      </c>
      <c r="T94" s="81">
        <f t="shared" ref="T94" si="52">((O94-H94)/H94)</f>
        <v>0</v>
      </c>
      <c r="U94" s="81">
        <f t="shared" ref="U94" si="53">P94-I94</f>
        <v>2.0000000000000009E-4</v>
      </c>
      <c r="V94" s="83">
        <f t="shared" ref="V94" si="54">Q94-J94</f>
        <v>1.0999999999999998E-3</v>
      </c>
      <c r="AA94" s="105"/>
    </row>
    <row r="95" spans="1:28">
      <c r="A95" s="75">
        <v>80</v>
      </c>
      <c r="B95" s="116" t="s">
        <v>130</v>
      </c>
      <c r="C95" s="117" t="s">
        <v>21</v>
      </c>
      <c r="D95" s="2">
        <f>10576129.58*877.529</f>
        <v>9280860414.2078209</v>
      </c>
      <c r="E95" s="3">
        <f>(D95/$D$118)</f>
        <v>1.2767361628083656E-2</v>
      </c>
      <c r="F95" s="2">
        <f>1.1594*877.529</f>
        <v>1017.4071226</v>
      </c>
      <c r="G95" s="2">
        <f>1.1594*877.529</f>
        <v>1017.4071226</v>
      </c>
      <c r="H95" s="60">
        <v>291</v>
      </c>
      <c r="I95" s="5">
        <v>7.2300000000000003E-2</v>
      </c>
      <c r="J95" s="5">
        <v>7.5800000000000006E-2</v>
      </c>
      <c r="K95" s="2">
        <f>10109876.88*865.9922</f>
        <v>8755074521.0403366</v>
      </c>
      <c r="L95" s="3">
        <f t="shared" si="49"/>
        <v>1.1074689786248672E-2</v>
      </c>
      <c r="M95" s="2">
        <f>1.1098*865.9922</f>
        <v>961.07814355999994</v>
      </c>
      <c r="N95" s="2">
        <f>1.1098*865.9922</f>
        <v>961.07814355999994</v>
      </c>
      <c r="O95" s="60">
        <v>292</v>
      </c>
      <c r="P95" s="5">
        <v>3.3000000000000002E-2</v>
      </c>
      <c r="Q95" s="5">
        <v>-1.7144999999999999</v>
      </c>
      <c r="R95" s="81">
        <f t="shared" ref="R95:R105" si="55">((K95-D95)/D95)</f>
        <v>-5.6652709953763848E-2</v>
      </c>
      <c r="S95" s="81">
        <f t="shared" ref="S95:S105" si="56">((N95-G95)/G95)</f>
        <v>-5.5365229698854906E-2</v>
      </c>
      <c r="T95" s="81">
        <f t="shared" ref="T95:T105" si="57">((O95-H95)/H95)</f>
        <v>3.4364261168384879E-3</v>
      </c>
      <c r="U95" s="81">
        <f t="shared" ref="U95:U105" si="58">P95-I95</f>
        <v>-3.9300000000000002E-2</v>
      </c>
      <c r="V95" s="83">
        <f t="shared" ref="V95:V105" si="59">Q95-J95</f>
        <v>-1.7903</v>
      </c>
    </row>
    <row r="96" spans="1:28">
      <c r="A96" s="75">
        <v>81</v>
      </c>
      <c r="B96" s="116" t="s">
        <v>243</v>
      </c>
      <c r="C96" s="117" t="s">
        <v>25</v>
      </c>
      <c r="D96" s="2">
        <f>402278.77*878.029</f>
        <v>353212426.14433002</v>
      </c>
      <c r="E96" s="3">
        <v>0</v>
      </c>
      <c r="F96" s="2">
        <f>1.1011*878.029</f>
        <v>966.79773189999992</v>
      </c>
      <c r="G96" s="2">
        <f>1.1011*878.029</f>
        <v>966.79773189999992</v>
      </c>
      <c r="H96" s="60">
        <v>22</v>
      </c>
      <c r="I96" s="5">
        <v>2.7300000000000002E-4</v>
      </c>
      <c r="J96" s="5">
        <v>9.9400000000000002E-2</v>
      </c>
      <c r="K96" s="2">
        <f>422950.68*865.9922</f>
        <v>366271989.86469603</v>
      </c>
      <c r="L96" s="3">
        <f t="shared" si="49"/>
        <v>4.633140078242902E-4</v>
      </c>
      <c r="M96" s="2">
        <f>1.1024*865.9922</f>
        <v>954.66980128000012</v>
      </c>
      <c r="N96" s="2">
        <f>1.1024*865.9922</f>
        <v>954.66980128000012</v>
      </c>
      <c r="O96" s="60">
        <v>23</v>
      </c>
      <c r="P96" s="5">
        <v>2.72E-4</v>
      </c>
      <c r="Q96" s="5">
        <v>2.5999999999999999E-3</v>
      </c>
      <c r="R96" s="81">
        <f t="shared" ref="R96" si="60">((K96-D96)/D96)</f>
        <v>3.6973681427135266E-2</v>
      </c>
      <c r="S96" s="81">
        <f t="shared" ref="S96" si="61">((N96-G96)/G96)</f>
        <v>-1.2544434290474986E-2</v>
      </c>
      <c r="T96" s="81">
        <f t="shared" ref="T96" si="62">((O96-H96)/H96)</f>
        <v>4.5454545454545456E-2</v>
      </c>
      <c r="U96" s="81">
        <f t="shared" ref="U96" si="63">P96-I96</f>
        <v>-1.0000000000000243E-6</v>
      </c>
      <c r="V96" s="83">
        <f t="shared" si="59"/>
        <v>-9.6799999999999997E-2</v>
      </c>
    </row>
    <row r="97" spans="1:24">
      <c r="A97" s="75">
        <v>82</v>
      </c>
      <c r="B97" s="116" t="s">
        <v>139</v>
      </c>
      <c r="C97" s="117" t="s">
        <v>64</v>
      </c>
      <c r="D97" s="2">
        <f>340579.97*878.029</f>
        <v>299039090.47912997</v>
      </c>
      <c r="E97" s="3">
        <f t="shared" ref="E97:E105" si="64">(D97/$D$118)</f>
        <v>4.113778290680353E-4</v>
      </c>
      <c r="F97" s="2">
        <f>102.67*878.029</f>
        <v>90147.237430000008</v>
      </c>
      <c r="G97" s="2">
        <f>103.46*878.029</f>
        <v>90840.880339999989</v>
      </c>
      <c r="H97" s="60">
        <v>37</v>
      </c>
      <c r="I97" s="5">
        <v>8.0000000000000004E-4</v>
      </c>
      <c r="J97" s="5">
        <v>8.0000000000000004E-4</v>
      </c>
      <c r="K97" s="2">
        <f>386316.54*865.9922</f>
        <v>334547110.37098801</v>
      </c>
      <c r="L97" s="3">
        <f t="shared" si="49"/>
        <v>4.2318377271839994E-4</v>
      </c>
      <c r="M97" s="2">
        <f>103.98*865.9922</f>
        <v>90045.868956000006</v>
      </c>
      <c r="N97" s="2">
        <f>104.93*865.9922</f>
        <v>90868.561546000012</v>
      </c>
      <c r="O97" s="60">
        <v>40</v>
      </c>
      <c r="P97" s="5">
        <v>1.2999999999999999E-3</v>
      </c>
      <c r="Q97" s="5">
        <v>1.43E-2</v>
      </c>
      <c r="R97" s="81">
        <f t="shared" ref="R97" si="65">((K97-D97)/D97)</f>
        <v>0.11874039556155003</v>
      </c>
      <c r="S97" s="81">
        <f t="shared" ref="S97" si="66">((N97-G97)/G97)</f>
        <v>3.0472190379945128E-4</v>
      </c>
      <c r="T97" s="81">
        <f t="shared" ref="T97" si="67">((O97-H97)/H97)</f>
        <v>8.1081081081081086E-2</v>
      </c>
      <c r="U97" s="81">
        <f t="shared" ref="U97" si="68">P97-I97</f>
        <v>4.999999999999999E-4</v>
      </c>
      <c r="V97" s="83">
        <f t="shared" ref="V97" si="69">Q97-J97</f>
        <v>1.35E-2</v>
      </c>
    </row>
    <row r="98" spans="1:24">
      <c r="A98" s="75">
        <v>83</v>
      </c>
      <c r="B98" s="116" t="s">
        <v>131</v>
      </c>
      <c r="C98" s="117" t="s">
        <v>67</v>
      </c>
      <c r="D98" s="2">
        <v>2446232583.8491497</v>
      </c>
      <c r="E98" s="3">
        <f t="shared" si="64"/>
        <v>3.3651983362007506E-3</v>
      </c>
      <c r="F98" s="2">
        <v>98324.8977055</v>
      </c>
      <c r="G98" s="2">
        <v>98324.8977055</v>
      </c>
      <c r="H98" s="60">
        <v>45</v>
      </c>
      <c r="I98" s="5">
        <v>8.544820749580562E-4</v>
      </c>
      <c r="J98" s="5">
        <v>3.1322864221712265E-3</v>
      </c>
      <c r="K98" s="2">
        <v>2322128008.3908939</v>
      </c>
      <c r="L98" s="3">
        <f t="shared" si="49"/>
        <v>2.9373647563005274E-3</v>
      </c>
      <c r="M98" s="2">
        <v>93205.52809692001</v>
      </c>
      <c r="N98" s="2">
        <v>93205.52809692001</v>
      </c>
      <c r="O98" s="60">
        <v>46</v>
      </c>
      <c r="P98" s="5">
        <v>9.6000000000000002E-4</v>
      </c>
      <c r="Q98" s="5">
        <v>6.7000000000000002E-3</v>
      </c>
      <c r="R98" s="81">
        <f t="shared" si="55"/>
        <v>-5.0732941862370699E-2</v>
      </c>
      <c r="S98" s="81">
        <f t="shared" si="56"/>
        <v>-5.2065852373560387E-2</v>
      </c>
      <c r="T98" s="81">
        <f t="shared" si="57"/>
        <v>2.2222222222222223E-2</v>
      </c>
      <c r="U98" s="81">
        <f t="shared" si="58"/>
        <v>1.0551792504194383E-4</v>
      </c>
      <c r="V98" s="83">
        <f t="shared" si="59"/>
        <v>3.5677135778287737E-3</v>
      </c>
      <c r="X98" s="112"/>
    </row>
    <row r="99" spans="1:24">
      <c r="A99" s="75">
        <v>84</v>
      </c>
      <c r="B99" s="116" t="s">
        <v>132</v>
      </c>
      <c r="C99" s="117" t="s">
        <v>27</v>
      </c>
      <c r="D99" s="2">
        <v>24798158267.650002</v>
      </c>
      <c r="E99" s="3">
        <f t="shared" si="64"/>
        <v>3.4113976526234012E-2</v>
      </c>
      <c r="F99" s="2">
        <v>107847.83</v>
      </c>
      <c r="G99" s="2">
        <v>107847.83</v>
      </c>
      <c r="H99" s="60">
        <v>2001</v>
      </c>
      <c r="I99" s="5">
        <v>1.5E-3</v>
      </c>
      <c r="J99" s="5">
        <v>7.2999999999999995E-2</v>
      </c>
      <c r="K99" s="2">
        <v>25401433031.98</v>
      </c>
      <c r="L99" s="3">
        <f t="shared" si="49"/>
        <v>3.2131421643447192E-2</v>
      </c>
      <c r="M99" s="2">
        <v>110631.78</v>
      </c>
      <c r="N99" s="2">
        <v>110631.78</v>
      </c>
      <c r="O99" s="60">
        <v>2001</v>
      </c>
      <c r="P99" s="5">
        <v>1.5E-3</v>
      </c>
      <c r="Q99" s="5">
        <v>7.4899999999999994E-2</v>
      </c>
      <c r="R99" s="81">
        <f t="shared" si="55"/>
        <v>2.4327401971500014E-2</v>
      </c>
      <c r="S99" s="81">
        <f t="shared" si="56"/>
        <v>2.5813685820104095E-2</v>
      </c>
      <c r="T99" s="81">
        <f t="shared" si="57"/>
        <v>0</v>
      </c>
      <c r="U99" s="81">
        <f t="shared" si="58"/>
        <v>0</v>
      </c>
      <c r="V99" s="83">
        <f t="shared" si="59"/>
        <v>1.8999999999999989E-3</v>
      </c>
    </row>
    <row r="100" spans="1:24">
      <c r="A100" s="75">
        <v>85</v>
      </c>
      <c r="B100" s="119" t="s">
        <v>133</v>
      </c>
      <c r="C100" s="119" t="s">
        <v>27</v>
      </c>
      <c r="D100" s="2">
        <v>28851093359.5</v>
      </c>
      <c r="E100" s="3">
        <f t="shared" si="64"/>
        <v>3.9689460442960518E-2</v>
      </c>
      <c r="F100" s="2">
        <v>97371.68</v>
      </c>
      <c r="G100" s="2">
        <v>97371.68</v>
      </c>
      <c r="H100" s="60">
        <v>230</v>
      </c>
      <c r="I100" s="5">
        <v>1.9E-3</v>
      </c>
      <c r="J100" s="5">
        <v>9.2499999999999999E-2</v>
      </c>
      <c r="K100" s="2">
        <v>31566022371.52</v>
      </c>
      <c r="L100" s="3">
        <f t="shared" si="49"/>
        <v>3.9929289546336122E-2</v>
      </c>
      <c r="M100" s="2">
        <v>99918.59</v>
      </c>
      <c r="N100" s="2">
        <v>99918.59</v>
      </c>
      <c r="O100" s="60">
        <v>248</v>
      </c>
      <c r="P100" s="5">
        <v>1.8E-3</v>
      </c>
      <c r="Q100" s="5">
        <v>9.11E-2</v>
      </c>
      <c r="R100" s="81">
        <f t="shared" si="55"/>
        <v>9.4101425488127541E-2</v>
      </c>
      <c r="S100" s="81">
        <f t="shared" si="56"/>
        <v>2.6156578586299464E-2</v>
      </c>
      <c r="T100" s="81">
        <f t="shared" si="57"/>
        <v>7.8260869565217397E-2</v>
      </c>
      <c r="U100" s="81">
        <f t="shared" si="58"/>
        <v>-1.0000000000000005E-4</v>
      </c>
      <c r="V100" s="83">
        <f t="shared" si="59"/>
        <v>-1.3999999999999985E-3</v>
      </c>
    </row>
    <row r="101" spans="1:24">
      <c r="A101" s="75">
        <v>86</v>
      </c>
      <c r="B101" s="116" t="s">
        <v>134</v>
      </c>
      <c r="C101" s="117" t="s">
        <v>31</v>
      </c>
      <c r="D101" s="2">
        <f>108264.18*878.029</f>
        <v>95059089.701219991</v>
      </c>
      <c r="E101" s="3">
        <f t="shared" si="64"/>
        <v>1.3076953214315865E-4</v>
      </c>
      <c r="F101" s="2">
        <f>114.7484*878.029</f>
        <v>100752.4229036</v>
      </c>
      <c r="G101" s="2">
        <f>114.7484*878.029</f>
        <v>100752.4229036</v>
      </c>
      <c r="H101" s="60">
        <v>3</v>
      </c>
      <c r="I101" s="5">
        <v>1.6000000000000001E-3</v>
      </c>
      <c r="J101" s="5">
        <v>1.2999999999999999E-3</v>
      </c>
      <c r="K101" s="2">
        <f>108436.41*865.9922</f>
        <v>93905085.256002009</v>
      </c>
      <c r="L101" s="3">
        <f t="shared" si="49"/>
        <v>1.1878479001659943E-4</v>
      </c>
      <c r="M101" s="2">
        <f>114.96*865.9922</f>
        <v>99554.463311999993</v>
      </c>
      <c r="N101" s="2">
        <f>114.96*865.9922</f>
        <v>99554.463311999993</v>
      </c>
      <c r="O101" s="60">
        <v>3</v>
      </c>
      <c r="P101" s="5">
        <v>1.9E-3</v>
      </c>
      <c r="Q101" s="5">
        <v>3.2000000000000002E-3</v>
      </c>
      <c r="R101" s="81">
        <f t="shared" si="55"/>
        <v>-1.2139864255434495E-2</v>
      </c>
      <c r="S101" s="81">
        <f t="shared" si="56"/>
        <v>-1.1890131840761977E-2</v>
      </c>
      <c r="T101" s="81">
        <f t="shared" si="57"/>
        <v>0</v>
      </c>
      <c r="U101" s="81">
        <f t="shared" si="58"/>
        <v>2.9999999999999992E-4</v>
      </c>
      <c r="V101" s="83">
        <f t="shared" si="59"/>
        <v>1.9000000000000002E-3</v>
      </c>
    </row>
    <row r="102" spans="1:24">
      <c r="A102" s="75">
        <v>87</v>
      </c>
      <c r="B102" s="116" t="s">
        <v>135</v>
      </c>
      <c r="C102" s="117" t="s">
        <v>34</v>
      </c>
      <c r="D102" s="2">
        <f>11740155.18*878.029</f>
        <v>10308196712.54022</v>
      </c>
      <c r="E102" s="3">
        <f t="shared" si="64"/>
        <v>1.4180632968140346E-2</v>
      </c>
      <c r="F102" s="2">
        <f>1.32*878.029</f>
        <v>1158.99828</v>
      </c>
      <c r="G102" s="2">
        <f>1.32*878.029</f>
        <v>1158.99828</v>
      </c>
      <c r="H102" s="61">
        <v>116</v>
      </c>
      <c r="I102" s="12">
        <v>2.3999999999999998E-3</v>
      </c>
      <c r="J102" s="12">
        <v>4.3700000000000003E-2</v>
      </c>
      <c r="K102" s="2">
        <f>11314235.15*865.9922</f>
        <v>9798039388.8658314</v>
      </c>
      <c r="L102" s="3">
        <f t="shared" si="49"/>
        <v>1.2393983224741379E-2</v>
      </c>
      <c r="M102" s="2">
        <f>1.32*865.9922</f>
        <v>1143.1097040000002</v>
      </c>
      <c r="N102" s="2">
        <f>1.32*865.9922</f>
        <v>1143.1097040000002</v>
      </c>
      <c r="O102" s="61">
        <v>116</v>
      </c>
      <c r="P102" s="12">
        <v>8.0000000000000004E-4</v>
      </c>
      <c r="Q102" s="12">
        <v>4.3700000000000003E-2</v>
      </c>
      <c r="R102" s="81">
        <f t="shared" si="55"/>
        <v>-4.9490452879480624E-2</v>
      </c>
      <c r="S102" s="81">
        <f t="shared" si="56"/>
        <v>-1.3708886608528729E-2</v>
      </c>
      <c r="T102" s="81">
        <f t="shared" si="57"/>
        <v>0</v>
      </c>
      <c r="U102" s="81">
        <f t="shared" si="58"/>
        <v>-1.5999999999999999E-3</v>
      </c>
      <c r="V102" s="83">
        <f t="shared" si="59"/>
        <v>0</v>
      </c>
    </row>
    <row r="103" spans="1:24">
      <c r="A103" s="75">
        <v>88</v>
      </c>
      <c r="B103" s="116" t="s">
        <v>136</v>
      </c>
      <c r="C103" s="117" t="s">
        <v>78</v>
      </c>
      <c r="D103" s="2">
        <f>8262222.4*878.029</f>
        <v>7254470871.6496</v>
      </c>
      <c r="E103" s="3">
        <f t="shared" si="64"/>
        <v>9.9797269762790016E-3</v>
      </c>
      <c r="F103" s="2">
        <f>102.46*878.029</f>
        <v>89962.851339999994</v>
      </c>
      <c r="G103" s="2">
        <f>102.46*878.029</f>
        <v>89962.851339999994</v>
      </c>
      <c r="H103" s="60">
        <v>225</v>
      </c>
      <c r="I103" s="5">
        <v>4.3E-3</v>
      </c>
      <c r="J103" s="5">
        <v>9.8500000000000004E-2</v>
      </c>
      <c r="K103" s="2">
        <f>8443747.3*865.9922</f>
        <v>7312219300.5710611</v>
      </c>
      <c r="L103" s="3">
        <f t="shared" si="49"/>
        <v>9.2495569521688185E-3</v>
      </c>
      <c r="M103" s="2">
        <f>102.66*865.9922</f>
        <v>88902.759252000003</v>
      </c>
      <c r="N103" s="2">
        <f>102.66*865.9922</f>
        <v>88902.759252000003</v>
      </c>
      <c r="O103" s="60">
        <v>225</v>
      </c>
      <c r="P103" s="5">
        <v>1.9E-3</v>
      </c>
      <c r="Q103" s="5">
        <v>3.0000000000000001E-3</v>
      </c>
      <c r="R103" s="81">
        <f t="shared" si="55"/>
        <v>7.9603915906729175E-3</v>
      </c>
      <c r="S103" s="81">
        <f t="shared" si="56"/>
        <v>-1.1783664837317621E-2</v>
      </c>
      <c r="T103" s="81">
        <f t="shared" si="57"/>
        <v>0</v>
      </c>
      <c r="U103" s="81">
        <f t="shared" si="58"/>
        <v>-2.4000000000000002E-3</v>
      </c>
      <c r="V103" s="83">
        <f t="shared" si="59"/>
        <v>-9.5500000000000002E-2</v>
      </c>
    </row>
    <row r="104" spans="1:24">
      <c r="A104" s="75">
        <v>89</v>
      </c>
      <c r="B104" s="116" t="s">
        <v>137</v>
      </c>
      <c r="C104" s="117" t="s">
        <v>38</v>
      </c>
      <c r="D104" s="2">
        <f>1863938.63*878.029</f>
        <v>1636592171.3602698</v>
      </c>
      <c r="E104" s="3">
        <f t="shared" si="64"/>
        <v>2.2514037661270801E-3</v>
      </c>
      <c r="F104" s="2">
        <f>132.11*878.029</f>
        <v>115996.41119000001</v>
      </c>
      <c r="G104" s="2">
        <f>135.28*878.029</f>
        <v>118779.76312</v>
      </c>
      <c r="H104" s="60">
        <v>46</v>
      </c>
      <c r="I104" s="5">
        <v>1.6999999999999999E-3</v>
      </c>
      <c r="J104" s="5">
        <v>0</v>
      </c>
      <c r="K104" s="2">
        <f>1852428.05*865.9922</f>
        <v>1604188242.3612101</v>
      </c>
      <c r="L104" s="3">
        <f t="shared" si="49"/>
        <v>2.0292102711636133E-3</v>
      </c>
      <c r="M104" s="2">
        <f>131.09*865.9922</f>
        <v>113522.91749800001</v>
      </c>
      <c r="N104" s="2">
        <f>134.3*865.9922</f>
        <v>116302.75246000002</v>
      </c>
      <c r="O104" s="60">
        <v>46</v>
      </c>
      <c r="P104" s="5">
        <v>0</v>
      </c>
      <c r="Q104" s="5">
        <v>-1E-4</v>
      </c>
      <c r="R104" s="81">
        <f t="shared" si="55"/>
        <v>-1.9799635832381399E-2</v>
      </c>
      <c r="S104" s="81">
        <f t="shared" si="56"/>
        <v>-2.0853810404534382E-2</v>
      </c>
      <c r="T104" s="81">
        <f t="shared" si="57"/>
        <v>0</v>
      </c>
      <c r="U104" s="81">
        <f t="shared" si="58"/>
        <v>-1.6999999999999999E-3</v>
      </c>
      <c r="V104" s="83">
        <f t="shared" si="59"/>
        <v>-1E-4</v>
      </c>
    </row>
    <row r="105" spans="1:24" ht="16.5" customHeight="1">
      <c r="A105" s="75">
        <v>90</v>
      </c>
      <c r="B105" s="116" t="s">
        <v>138</v>
      </c>
      <c r="C105" s="117" t="s">
        <v>45</v>
      </c>
      <c r="D105" s="4">
        <v>127373035786.7</v>
      </c>
      <c r="E105" s="3">
        <f t="shared" si="64"/>
        <v>0.17522272041351972</v>
      </c>
      <c r="F105" s="2">
        <v>108166.29</v>
      </c>
      <c r="G105" s="2">
        <v>108166.29</v>
      </c>
      <c r="H105" s="60">
        <v>2976</v>
      </c>
      <c r="I105" s="5">
        <v>5.4300000000000001E-2</v>
      </c>
      <c r="J105" s="5">
        <v>5.4300000000000001E-2</v>
      </c>
      <c r="K105" s="4">
        <v>129703234681.14999</v>
      </c>
      <c r="L105" s="3">
        <f t="shared" si="49"/>
        <v>0.16406748850791747</v>
      </c>
      <c r="M105" s="2">
        <v>110909.9</v>
      </c>
      <c r="N105" s="2">
        <v>110909.9</v>
      </c>
      <c r="O105" s="60">
        <v>3000</v>
      </c>
      <c r="P105" s="5">
        <v>5.4199999999999998E-2</v>
      </c>
      <c r="Q105" s="5">
        <v>5.4199999999999998E-2</v>
      </c>
      <c r="R105" s="81">
        <f t="shared" si="55"/>
        <v>1.82942871704194E-2</v>
      </c>
      <c r="S105" s="81">
        <f t="shared" si="56"/>
        <v>2.5364741639932374E-2</v>
      </c>
      <c r="T105" s="81">
        <f t="shared" si="57"/>
        <v>8.0645161290322578E-3</v>
      </c>
      <c r="U105" s="81">
        <f t="shared" si="58"/>
        <v>-1.0000000000000286E-4</v>
      </c>
      <c r="V105" s="83">
        <f t="shared" si="59"/>
        <v>-1.0000000000000286E-4</v>
      </c>
    </row>
    <row r="106" spans="1:24" ht="6" customHeight="1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</row>
    <row r="107" spans="1:24">
      <c r="A107" s="139" t="s">
        <v>231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</row>
    <row r="108" spans="1:24">
      <c r="A108" s="75">
        <v>91</v>
      </c>
      <c r="B108" s="116" t="s">
        <v>140</v>
      </c>
      <c r="C108" s="117" t="s">
        <v>97</v>
      </c>
      <c r="D108" s="4">
        <v>792063007.28999996</v>
      </c>
      <c r="E108" s="3">
        <f>(D108/$D$118)</f>
        <v>1.0896139360977621E-3</v>
      </c>
      <c r="F108" s="2">
        <v>81773.279999999999</v>
      </c>
      <c r="G108" s="2">
        <v>81773.279999999999</v>
      </c>
      <c r="H108" s="60">
        <v>28</v>
      </c>
      <c r="I108" s="5">
        <v>2.9499999999999998E-2</v>
      </c>
      <c r="J108" s="5">
        <v>7.4300000000000005E-2</v>
      </c>
      <c r="K108" s="4">
        <v>799078528.46000004</v>
      </c>
      <c r="L108" s="3">
        <f t="shared" ref="L108:L117" si="70">(K108/$K$118)</f>
        <v>1.0107905759430382E-3</v>
      </c>
      <c r="M108" s="2">
        <v>82586.25</v>
      </c>
      <c r="N108" s="2">
        <v>82586.25</v>
      </c>
      <c r="O108" s="60">
        <v>28</v>
      </c>
      <c r="P108" s="5">
        <v>4.0000000000000001E-3</v>
      </c>
      <c r="Q108" s="5">
        <v>8.4599999999999995E-2</v>
      </c>
      <c r="R108" s="81">
        <f t="shared" ref="R108" si="71">((K108-D108)/D108)</f>
        <v>8.8572766376292418E-3</v>
      </c>
      <c r="S108" s="81">
        <f t="shared" ref="S108" si="72">((N108-G108)/G108)</f>
        <v>9.9417560357124134E-3</v>
      </c>
      <c r="T108" s="81">
        <f t="shared" ref="T108" si="73">((O108-H108)/H108)</f>
        <v>0</v>
      </c>
      <c r="U108" s="81">
        <f t="shared" ref="U108" si="74">P108-I108</f>
        <v>-2.5499999999999998E-2</v>
      </c>
      <c r="V108" s="83">
        <f t="shared" ref="V108" si="75">Q108-J108</f>
        <v>1.029999999999999E-2</v>
      </c>
    </row>
    <row r="109" spans="1:24">
      <c r="A109" s="75">
        <v>92</v>
      </c>
      <c r="B109" s="117" t="s">
        <v>141</v>
      </c>
      <c r="C109" s="117" t="s">
        <v>23</v>
      </c>
      <c r="D109" s="2">
        <f>7124738.07*878.029</f>
        <v>6255726642.8640299</v>
      </c>
      <c r="E109" s="3">
        <f>(D109/$K$118)</f>
        <v>7.9131516003427028E-3</v>
      </c>
      <c r="F109" s="4">
        <f>131.76*878.029</f>
        <v>115689.10103999999</v>
      </c>
      <c r="G109" s="4">
        <f>131.76*878.029</f>
        <v>115689.10103999999</v>
      </c>
      <c r="H109" s="60">
        <v>330</v>
      </c>
      <c r="I109" s="5">
        <v>5.0000000000000001E-4</v>
      </c>
      <c r="J109" s="5">
        <v>6.7212161072238708E-4</v>
      </c>
      <c r="K109" s="2">
        <f>7075967.25*865.9922</f>
        <v>6127732445.9554501</v>
      </c>
      <c r="L109" s="3">
        <f t="shared" si="70"/>
        <v>7.751245951019445E-3</v>
      </c>
      <c r="M109" s="4">
        <f>131.92*865.9922</f>
        <v>114241.691024</v>
      </c>
      <c r="N109" s="4">
        <f>131.92*865.9922</f>
        <v>114241.691024</v>
      </c>
      <c r="O109" s="60">
        <v>332</v>
      </c>
      <c r="P109" s="5">
        <v>5.0000000000000001E-4</v>
      </c>
      <c r="Q109" s="5">
        <v>1.8E-3</v>
      </c>
      <c r="R109" s="81">
        <f t="shared" ref="R109:R118" si="76">((K109-D109)/D109)</f>
        <v>-2.0460324469993279E-2</v>
      </c>
      <c r="S109" s="81">
        <f t="shared" ref="S109:S118" si="77">((N109-G109)/G109)</f>
        <v>-1.251120462505406E-2</v>
      </c>
      <c r="T109" s="81">
        <f t="shared" ref="T109:T118" si="78">((O109-H109)/H109)</f>
        <v>6.0606060606060606E-3</v>
      </c>
      <c r="U109" s="81">
        <f t="shared" ref="U109:U118" si="79">P109-I109</f>
        <v>0</v>
      </c>
      <c r="V109" s="83">
        <f t="shared" ref="V109:V118" si="80">Q109-J109</f>
        <v>1.1278783892776129E-3</v>
      </c>
    </row>
    <row r="110" spans="1:24">
      <c r="A110" s="75">
        <v>93</v>
      </c>
      <c r="B110" s="116" t="s">
        <v>142</v>
      </c>
      <c r="C110" s="117" t="s">
        <v>58</v>
      </c>
      <c r="D110" s="4">
        <v>11472613571.299999</v>
      </c>
      <c r="E110" s="3">
        <f t="shared" ref="E110:E117" si="81">(D110/$D$118)</f>
        <v>1.5782481337593735E-2</v>
      </c>
      <c r="F110" s="4">
        <v>114127.88</v>
      </c>
      <c r="G110" s="4">
        <v>114127.88</v>
      </c>
      <c r="H110" s="60">
        <v>574</v>
      </c>
      <c r="I110" s="5">
        <v>1.1000000000000001E-3</v>
      </c>
      <c r="J110" s="5">
        <v>5.9400000000000001E-2</v>
      </c>
      <c r="K110" s="4">
        <v>10744324034.35</v>
      </c>
      <c r="L110" s="3">
        <f t="shared" si="70"/>
        <v>1.3590981476788489E-2</v>
      </c>
      <c r="M110" s="4">
        <v>109391.32</v>
      </c>
      <c r="N110" s="4">
        <v>109391.32</v>
      </c>
      <c r="O110" s="60">
        <v>575</v>
      </c>
      <c r="P110" s="5">
        <v>1.6999999999999999E-3</v>
      </c>
      <c r="Q110" s="5">
        <v>7.3099999999999998E-2</v>
      </c>
      <c r="R110" s="81">
        <f t="shared" si="76"/>
        <v>-6.3480699704895061E-2</v>
      </c>
      <c r="S110" s="81">
        <f t="shared" si="77"/>
        <v>-4.1502216636285519E-2</v>
      </c>
      <c r="T110" s="81">
        <f t="shared" si="78"/>
        <v>1.7421602787456446E-3</v>
      </c>
      <c r="U110" s="81">
        <f t="shared" si="79"/>
        <v>5.9999999999999984E-4</v>
      </c>
      <c r="V110" s="83">
        <f t="shared" si="80"/>
        <v>1.3699999999999997E-2</v>
      </c>
    </row>
    <row r="111" spans="1:24">
      <c r="A111" s="75">
        <v>94</v>
      </c>
      <c r="B111" s="116" t="s">
        <v>143</v>
      </c>
      <c r="C111" s="117" t="s">
        <v>56</v>
      </c>
      <c r="D111" s="4">
        <v>3437933905.7595334</v>
      </c>
      <c r="E111" s="3">
        <f t="shared" si="81"/>
        <v>4.7294478603607578E-3</v>
      </c>
      <c r="F111" s="4">
        <v>1072.6959537168837</v>
      </c>
      <c r="G111" s="4">
        <v>1072.6959537168837</v>
      </c>
      <c r="H111" s="60">
        <v>165</v>
      </c>
      <c r="I111" s="5">
        <v>4.3620742016568126E-2</v>
      </c>
      <c r="J111" s="5">
        <v>5.2136831723018799E-2</v>
      </c>
      <c r="K111" s="4">
        <v>3599410640.4200959</v>
      </c>
      <c r="L111" s="3">
        <f t="shared" si="70"/>
        <v>4.553057333798515E-3</v>
      </c>
      <c r="M111" s="4">
        <v>1089.8607442653604</v>
      </c>
      <c r="N111" s="4">
        <v>1089.8607442653604</v>
      </c>
      <c r="O111" s="60">
        <v>163</v>
      </c>
      <c r="P111" s="5">
        <v>4.9221388747890109E-2</v>
      </c>
      <c r="Q111" s="5">
        <v>5.0456607167438917E-2</v>
      </c>
      <c r="R111" s="81">
        <f t="shared" si="76"/>
        <v>4.6969121305689525E-2</v>
      </c>
      <c r="S111" s="81">
        <f t="shared" si="77"/>
        <v>1.6001543111075284E-2</v>
      </c>
      <c r="T111" s="81">
        <f t="shared" si="78"/>
        <v>-1.2121212121212121E-2</v>
      </c>
      <c r="U111" s="81">
        <f t="shared" si="79"/>
        <v>5.6006467313219829E-3</v>
      </c>
      <c r="V111" s="83">
        <f t="shared" si="80"/>
        <v>-1.6802245555798817E-3</v>
      </c>
    </row>
    <row r="112" spans="1:24">
      <c r="A112" s="75">
        <v>95</v>
      </c>
      <c r="B112" s="116" t="s">
        <v>258</v>
      </c>
      <c r="C112" s="117" t="s">
        <v>114</v>
      </c>
      <c r="D112" s="4">
        <v>0</v>
      </c>
      <c r="E112" s="3">
        <f t="shared" si="81"/>
        <v>0</v>
      </c>
      <c r="F112" s="4">
        <v>0</v>
      </c>
      <c r="G112" s="4">
        <v>0</v>
      </c>
      <c r="H112" s="60">
        <v>0</v>
      </c>
      <c r="I112" s="5">
        <v>0</v>
      </c>
      <c r="J112" s="5">
        <v>0</v>
      </c>
      <c r="K112" s="4">
        <v>764438409.98000002</v>
      </c>
      <c r="L112" s="3">
        <f t="shared" si="70"/>
        <v>9.6697272317628478E-4</v>
      </c>
      <c r="M112" s="4">
        <v>884.24</v>
      </c>
      <c r="N112" s="4">
        <v>884.24</v>
      </c>
      <c r="O112" s="60">
        <v>35</v>
      </c>
      <c r="P112" s="5">
        <v>1.1000000000000001E-3</v>
      </c>
      <c r="Q112" s="5">
        <v>4.5100000000000001E-2</v>
      </c>
      <c r="R112" s="81" t="e">
        <f t="shared" si="76"/>
        <v>#DIV/0!</v>
      </c>
      <c r="S112" s="81" t="e">
        <f t="shared" si="77"/>
        <v>#DIV/0!</v>
      </c>
      <c r="T112" s="81" t="e">
        <f t="shared" si="78"/>
        <v>#DIV/0!</v>
      </c>
      <c r="U112" s="81">
        <f t="shared" si="79"/>
        <v>1.1000000000000001E-3</v>
      </c>
      <c r="V112" s="83">
        <f t="shared" si="80"/>
        <v>4.5100000000000001E-2</v>
      </c>
    </row>
    <row r="113" spans="1:22">
      <c r="A113" s="75">
        <v>96</v>
      </c>
      <c r="B113" s="117" t="s">
        <v>144</v>
      </c>
      <c r="C113" s="121" t="s">
        <v>40</v>
      </c>
      <c r="D113" s="2">
        <v>10335250974</v>
      </c>
      <c r="E113" s="3">
        <f t="shared" si="81"/>
        <v>1.4217850588514094E-2</v>
      </c>
      <c r="F113" s="4">
        <f>1.0164*878.029</f>
        <v>892.42867560000002</v>
      </c>
      <c r="G113" s="4">
        <f>1.0164*878.029</f>
        <v>892.42867560000002</v>
      </c>
      <c r="H113" s="60">
        <v>398</v>
      </c>
      <c r="I113" s="5">
        <v>1.6000000000000001E-3</v>
      </c>
      <c r="J113" s="5">
        <v>1.6000000000000001E-3</v>
      </c>
      <c r="K113" s="2">
        <v>11313043887</v>
      </c>
      <c r="L113" s="3">
        <f t="shared" si="70"/>
        <v>1.4310380943719742E-2</v>
      </c>
      <c r="M113" s="4">
        <f>1.0182*865.9922</f>
        <v>881.75325803999999</v>
      </c>
      <c r="N113" s="4">
        <f>1.0182*865.9922</f>
        <v>881.75325803999999</v>
      </c>
      <c r="O113" s="60">
        <v>401</v>
      </c>
      <c r="P113" s="5">
        <v>1.6000000000000001E-3</v>
      </c>
      <c r="Q113" s="5">
        <v>2.8E-3</v>
      </c>
      <c r="R113" s="81">
        <f t="shared" si="76"/>
        <v>9.4607563518273208E-2</v>
      </c>
      <c r="S113" s="81">
        <f t="shared" si="77"/>
        <v>-1.1962208131448378E-2</v>
      </c>
      <c r="T113" s="81">
        <f t="shared" si="78"/>
        <v>7.537688442211055E-3</v>
      </c>
      <c r="U113" s="81">
        <f t="shared" si="79"/>
        <v>0</v>
      </c>
      <c r="V113" s="83">
        <f t="shared" si="80"/>
        <v>1.1999999999999999E-3</v>
      </c>
    </row>
    <row r="114" spans="1:22">
      <c r="A114" s="75">
        <v>97</v>
      </c>
      <c r="B114" s="116" t="s">
        <v>145</v>
      </c>
      <c r="C114" s="117" t="s">
        <v>80</v>
      </c>
      <c r="D114" s="4">
        <v>230683273.44</v>
      </c>
      <c r="E114" s="3">
        <f t="shared" si="81"/>
        <v>3.173430740376002E-4</v>
      </c>
      <c r="F114" s="4">
        <v>1.01</v>
      </c>
      <c r="G114" s="4">
        <v>1.01</v>
      </c>
      <c r="H114" s="60">
        <v>3</v>
      </c>
      <c r="I114" s="5">
        <v>-2.6037000000000001E-2</v>
      </c>
      <c r="J114" s="5">
        <v>-2.6037000000000001E-2</v>
      </c>
      <c r="K114" s="4">
        <v>238795017.25999999</v>
      </c>
      <c r="L114" s="3">
        <f t="shared" si="70"/>
        <v>3.0206261891899355E-4</v>
      </c>
      <c r="M114" s="4">
        <f>1.03*865.9922</f>
        <v>891.97196600000007</v>
      </c>
      <c r="N114" s="4">
        <f>1.03*865.9922</f>
        <v>891.97196600000007</v>
      </c>
      <c r="O114" s="60">
        <v>3</v>
      </c>
      <c r="P114" s="5">
        <v>1.9820000000000001E-2</v>
      </c>
      <c r="Q114" s="5">
        <v>-6.7340000000000004E-3</v>
      </c>
      <c r="R114" s="81">
        <f t="shared" si="76"/>
        <v>3.5163987830742448E-2</v>
      </c>
      <c r="S114" s="81">
        <f t="shared" si="77"/>
        <v>882.14056039603963</v>
      </c>
      <c r="T114" s="81">
        <f t="shared" si="78"/>
        <v>0</v>
      </c>
      <c r="U114" s="81">
        <f t="shared" si="79"/>
        <v>4.5857000000000002E-2</v>
      </c>
      <c r="V114" s="83">
        <f t="shared" si="80"/>
        <v>1.9303000000000001E-2</v>
      </c>
    </row>
    <row r="115" spans="1:22">
      <c r="A115" s="75">
        <v>98</v>
      </c>
      <c r="B115" s="116" t="s">
        <v>146</v>
      </c>
      <c r="C115" s="117" t="s">
        <v>42</v>
      </c>
      <c r="D115" s="2">
        <v>434467745986.96002</v>
      </c>
      <c r="E115" s="3">
        <f t="shared" si="81"/>
        <v>0.59768238947567254</v>
      </c>
      <c r="F115" s="4">
        <v>1274.32</v>
      </c>
      <c r="G115" s="4">
        <v>1274.32</v>
      </c>
      <c r="H115" s="60">
        <v>10038</v>
      </c>
      <c r="I115" s="5">
        <v>1.4E-3</v>
      </c>
      <c r="J115" s="5">
        <v>1.4E-3</v>
      </c>
      <c r="K115" s="2">
        <v>491176164559.79999</v>
      </c>
      <c r="L115" s="3">
        <f t="shared" si="70"/>
        <v>0.62131094827652489</v>
      </c>
      <c r="M115" s="4">
        <v>1430.17</v>
      </c>
      <c r="N115" s="4">
        <v>1430.17</v>
      </c>
      <c r="O115" s="60">
        <v>10136</v>
      </c>
      <c r="P115" s="5">
        <v>1.4E-3</v>
      </c>
      <c r="Q115" s="5">
        <v>2.5000000000000001E-3</v>
      </c>
      <c r="R115" s="81">
        <f t="shared" si="76"/>
        <v>0.13052388605745199</v>
      </c>
      <c r="S115" s="81">
        <f t="shared" si="77"/>
        <v>0.12230052106221369</v>
      </c>
      <c r="T115" s="81">
        <f t="shared" si="78"/>
        <v>9.7629009762900971E-3</v>
      </c>
      <c r="U115" s="81">
        <f t="shared" si="79"/>
        <v>0</v>
      </c>
      <c r="V115" s="83">
        <f t="shared" si="80"/>
        <v>1.1000000000000001E-3</v>
      </c>
    </row>
    <row r="116" spans="1:22" ht="16.5" customHeight="1">
      <c r="A116" s="75">
        <v>99</v>
      </c>
      <c r="B116" s="116" t="s">
        <v>147</v>
      </c>
      <c r="C116" s="117" t="s">
        <v>45</v>
      </c>
      <c r="D116" s="2">
        <v>20217309973.619999</v>
      </c>
      <c r="E116" s="3">
        <f t="shared" si="81"/>
        <v>2.781226050820863E-2</v>
      </c>
      <c r="F116" s="4">
        <v>945.03</v>
      </c>
      <c r="G116" s="4">
        <v>945.03</v>
      </c>
      <c r="H116" s="60">
        <v>142</v>
      </c>
      <c r="I116" s="5">
        <v>0.1061</v>
      </c>
      <c r="J116" s="5">
        <v>0.1061</v>
      </c>
      <c r="K116" s="2">
        <v>20920328725.119999</v>
      </c>
      <c r="L116" s="3">
        <f t="shared" si="70"/>
        <v>2.6463070108684882E-2</v>
      </c>
      <c r="M116" s="4">
        <v>969.89</v>
      </c>
      <c r="N116" s="4">
        <v>969.89</v>
      </c>
      <c r="O116" s="60">
        <v>160</v>
      </c>
      <c r="P116" s="5">
        <v>0.106</v>
      </c>
      <c r="Q116" s="5">
        <v>0.106</v>
      </c>
      <c r="R116" s="81">
        <f t="shared" si="76"/>
        <v>3.4773110389924013E-2</v>
      </c>
      <c r="S116" s="81">
        <f t="shared" si="77"/>
        <v>2.6306043194395959E-2</v>
      </c>
      <c r="T116" s="81">
        <f t="shared" si="78"/>
        <v>0.12676056338028169</v>
      </c>
      <c r="U116" s="81">
        <f t="shared" si="79"/>
        <v>-1.0000000000000286E-4</v>
      </c>
      <c r="V116" s="83">
        <f t="shared" si="80"/>
        <v>-1.0000000000000286E-4</v>
      </c>
    </row>
    <row r="117" spans="1:22">
      <c r="A117" s="75">
        <v>100</v>
      </c>
      <c r="B117" s="116" t="s">
        <v>148</v>
      </c>
      <c r="C117" s="117" t="s">
        <v>32</v>
      </c>
      <c r="D117" s="4">
        <v>25395410646.345535</v>
      </c>
      <c r="E117" s="3">
        <f t="shared" si="81"/>
        <v>3.4935596156496482E-2</v>
      </c>
      <c r="F117" s="4">
        <f>1.0912*907.11</f>
        <v>989.83843200000001</v>
      </c>
      <c r="G117" s="4">
        <f>1.0912*907.11</f>
        <v>989.83843200000001</v>
      </c>
      <c r="H117" s="60">
        <v>1024</v>
      </c>
      <c r="I117" s="5">
        <v>-2.8057361717288787E-2</v>
      </c>
      <c r="J117" s="5">
        <v>-2.8057361717288787E-2</v>
      </c>
      <c r="K117" s="4">
        <v>26071764443.144836</v>
      </c>
      <c r="L117" s="3">
        <f t="shared" si="70"/>
        <v>3.2979354167012594E-2</v>
      </c>
      <c r="M117" s="4">
        <f>1.0926*865.9922</f>
        <v>946.18307772000003</v>
      </c>
      <c r="N117" s="4">
        <f>1.0926*865.9922</f>
        <v>946.18307772000003</v>
      </c>
      <c r="O117" s="60">
        <v>1060</v>
      </c>
      <c r="P117" s="5">
        <v>1.2829912023462064E-3</v>
      </c>
      <c r="Q117" s="5">
        <v>-2.6810367863187023E-2</v>
      </c>
      <c r="R117" s="81">
        <f t="shared" si="76"/>
        <v>2.6632914356776907E-2</v>
      </c>
      <c r="S117" s="81">
        <f t="shared" si="77"/>
        <v>-4.4103515148217629E-2</v>
      </c>
      <c r="T117" s="81">
        <f t="shared" si="78"/>
        <v>3.515625E-2</v>
      </c>
      <c r="U117" s="81">
        <f t="shared" si="79"/>
        <v>2.9340352919634993E-2</v>
      </c>
      <c r="V117" s="83">
        <f t="shared" si="80"/>
        <v>1.2469938541017633E-3</v>
      </c>
    </row>
    <row r="118" spans="1:22">
      <c r="A118" s="75"/>
      <c r="B118" s="19"/>
      <c r="C118" s="66" t="s">
        <v>46</v>
      </c>
      <c r="D118" s="59">
        <f>SUM(D94:D117)</f>
        <v>726920775377.21094</v>
      </c>
      <c r="E118" s="101">
        <f>(D118/$D$181)</f>
        <v>0.34007591038189555</v>
      </c>
      <c r="F118" s="30"/>
      <c r="G118" s="11"/>
      <c r="H118" s="65">
        <f>SUM(H94:H117)</f>
        <v>18923</v>
      </c>
      <c r="I118" s="33"/>
      <c r="J118" s="33"/>
      <c r="K118" s="59">
        <f>SUM(K94:K117)</f>
        <v>790548059586.41138</v>
      </c>
      <c r="L118" s="101">
        <f>(K118/$K$181)</f>
        <v>0.35639092825327856</v>
      </c>
      <c r="M118" s="30"/>
      <c r="N118" s="11"/>
      <c r="O118" s="65">
        <f>SUM(O94:O117)</f>
        <v>19162</v>
      </c>
      <c r="P118" s="33"/>
      <c r="Q118" s="33"/>
      <c r="R118" s="81">
        <f t="shared" si="76"/>
        <v>8.7529874457341256E-2</v>
      </c>
      <c r="S118" s="81" t="e">
        <f t="shared" si="77"/>
        <v>#DIV/0!</v>
      </c>
      <c r="T118" s="81">
        <f t="shared" si="78"/>
        <v>1.2630132642815621E-2</v>
      </c>
      <c r="U118" s="81">
        <f t="shared" si="79"/>
        <v>0</v>
      </c>
      <c r="V118" s="83">
        <f t="shared" si="80"/>
        <v>0</v>
      </c>
    </row>
    <row r="119" spans="1:22" ht="8.25" customHeight="1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</row>
    <row r="120" spans="1:22" ht="15.75">
      <c r="A120" s="138" t="s">
        <v>149</v>
      </c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</row>
    <row r="121" spans="1:22">
      <c r="A121" s="75">
        <v>101</v>
      </c>
      <c r="B121" s="116" t="s">
        <v>245</v>
      </c>
      <c r="C121" s="117" t="s">
        <v>246</v>
      </c>
      <c r="D121" s="2">
        <v>2176546734.5443888</v>
      </c>
      <c r="E121" s="3">
        <f>(D121/$D$126)</f>
        <v>2.2481332165550563E-2</v>
      </c>
      <c r="F121" s="14">
        <v>102.57</v>
      </c>
      <c r="G121" s="14">
        <v>102.57</v>
      </c>
      <c r="H121" s="60">
        <v>8</v>
      </c>
      <c r="I121" s="5">
        <v>2.7222859934683541E-3</v>
      </c>
      <c r="J121" s="5">
        <v>1.855831217034476E-3</v>
      </c>
      <c r="K121" s="2">
        <v>2172835435.7594862</v>
      </c>
      <c r="L121" s="3">
        <f>(K121/$K$126)</f>
        <v>2.180740831113635E-2</v>
      </c>
      <c r="M121" s="14">
        <v>102.62752807012154</v>
      </c>
      <c r="N121" s="14">
        <v>102.62752807012154</v>
      </c>
      <c r="O121" s="60">
        <v>7</v>
      </c>
      <c r="P121" s="5">
        <v>5.6086643386521473E-4</v>
      </c>
      <c r="Q121" s="5">
        <v>3.7726959361583656E-3</v>
      </c>
      <c r="R121" s="81">
        <f t="shared" ref="R121" si="82">((K121-D121)/D121)</f>
        <v>-1.7051316776248546E-3</v>
      </c>
      <c r="S121" s="81">
        <f t="shared" ref="S121" si="83">((N121-G121)/G121)</f>
        <v>5.6086643386515586E-4</v>
      </c>
      <c r="T121" s="81">
        <f t="shared" ref="T121" si="84">((O121-H121)/H121)</f>
        <v>-0.125</v>
      </c>
      <c r="U121" s="81">
        <f t="shared" ref="U121" si="85">P121-I121</f>
        <v>-2.1614195596031394E-3</v>
      </c>
      <c r="V121" s="83">
        <f t="shared" ref="V121" si="86">Q121-J121</f>
        <v>1.9168647191238897E-3</v>
      </c>
    </row>
    <row r="122" spans="1:22">
      <c r="A122" s="75">
        <v>102</v>
      </c>
      <c r="B122" s="116" t="s">
        <v>150</v>
      </c>
      <c r="C122" s="117" t="s">
        <v>40</v>
      </c>
      <c r="D122" s="2">
        <v>54330953714</v>
      </c>
      <c r="E122" s="3">
        <f>(D122/$D$126)</f>
        <v>0.56117895284764763</v>
      </c>
      <c r="F122" s="14">
        <v>102.5</v>
      </c>
      <c r="G122" s="14">
        <v>102.5</v>
      </c>
      <c r="H122" s="60">
        <v>675</v>
      </c>
      <c r="I122" s="5">
        <v>0</v>
      </c>
      <c r="J122" s="5">
        <v>7.6999999999999999E-2</v>
      </c>
      <c r="K122" s="2">
        <v>54330953714</v>
      </c>
      <c r="L122" s="3">
        <f>(K122/$K$126)</f>
        <v>0.54528625227455874</v>
      </c>
      <c r="M122" s="14">
        <v>102.5</v>
      </c>
      <c r="N122" s="14">
        <v>102.5</v>
      </c>
      <c r="O122" s="60">
        <v>675</v>
      </c>
      <c r="P122" s="5">
        <v>0</v>
      </c>
      <c r="Q122" s="5">
        <v>7.6999999999999999E-2</v>
      </c>
      <c r="R122" s="81">
        <f t="shared" ref="R122" si="87">((K122-D122)/D122)</f>
        <v>0</v>
      </c>
      <c r="S122" s="81">
        <f t="shared" ref="S122" si="88">((N122-G122)/G122)</f>
        <v>0</v>
      </c>
      <c r="T122" s="81">
        <f t="shared" ref="T122" si="89">((O122-H122)/H122)</f>
        <v>0</v>
      </c>
      <c r="U122" s="81">
        <f t="shared" ref="U122" si="90">P122-I122</f>
        <v>0</v>
      </c>
      <c r="V122" s="83">
        <f t="shared" ref="V122" si="91">Q122-J122</f>
        <v>0</v>
      </c>
    </row>
    <row r="123" spans="1:22" ht="17.25" customHeight="1">
      <c r="A123" s="75">
        <v>103</v>
      </c>
      <c r="B123" s="116" t="s">
        <v>151</v>
      </c>
      <c r="C123" s="117" t="s">
        <v>120</v>
      </c>
      <c r="D123" s="2">
        <v>2597973157.9299998</v>
      </c>
      <c r="E123" s="3">
        <f>(D123/$D$126)</f>
        <v>2.6834203278816634E-2</v>
      </c>
      <c r="F123" s="14">
        <v>101.35</v>
      </c>
      <c r="G123" s="14">
        <v>101.35</v>
      </c>
      <c r="H123" s="60">
        <v>2771</v>
      </c>
      <c r="I123" s="5">
        <v>1.95E-2</v>
      </c>
      <c r="J123" s="5">
        <v>1.95E-2</v>
      </c>
      <c r="K123" s="2">
        <v>2600123054.1799998</v>
      </c>
      <c r="L123" s="3">
        <f>(K123/$K$126)</f>
        <v>2.6095830438204692E-2</v>
      </c>
      <c r="M123" s="14">
        <v>101.35</v>
      </c>
      <c r="N123" s="14">
        <v>101.35</v>
      </c>
      <c r="O123" s="60">
        <v>2771</v>
      </c>
      <c r="P123" s="5">
        <v>6.6000000000000003E-2</v>
      </c>
      <c r="Q123" s="5">
        <v>3.3000000000000002E-2</v>
      </c>
      <c r="R123" s="81">
        <f t="shared" ref="R123:R126" si="92">((K123-D123)/D123)</f>
        <v>8.2752827658657711E-4</v>
      </c>
      <c r="S123" s="81">
        <f t="shared" ref="S123:S126" si="93">((N123-G123)/G123)</f>
        <v>0</v>
      </c>
      <c r="T123" s="81">
        <f t="shared" ref="T123:T126" si="94">((O123-H123)/H123)</f>
        <v>0</v>
      </c>
      <c r="U123" s="81">
        <f t="shared" ref="U123:U126" si="95">P123-I123</f>
        <v>4.65E-2</v>
      </c>
      <c r="V123" s="83">
        <f t="shared" ref="V123:V126" si="96">Q123-J123</f>
        <v>1.3500000000000002E-2</v>
      </c>
    </row>
    <row r="124" spans="1:22">
      <c r="A124" s="75">
        <v>104</v>
      </c>
      <c r="B124" s="116" t="s">
        <v>152</v>
      </c>
      <c r="C124" s="117" t="s">
        <v>120</v>
      </c>
      <c r="D124" s="2">
        <v>10879349301.85</v>
      </c>
      <c r="E124" s="3">
        <f>(D124/$D$126)</f>
        <v>0.11237170400163186</v>
      </c>
      <c r="F124" s="14">
        <v>36.6</v>
      </c>
      <c r="G124" s="14">
        <v>36.6</v>
      </c>
      <c r="H124" s="60">
        <v>5264</v>
      </c>
      <c r="I124" s="5">
        <v>0.01</v>
      </c>
      <c r="J124" s="5">
        <v>3.8100000000000002E-2</v>
      </c>
      <c r="K124" s="2">
        <v>10837611362.93</v>
      </c>
      <c r="L124" s="3">
        <f>(K124/$K$126)</f>
        <v>0.10877041685681815</v>
      </c>
      <c r="M124" s="14">
        <v>36.6</v>
      </c>
      <c r="N124" s="14">
        <v>36.6</v>
      </c>
      <c r="O124" s="60">
        <v>5274</v>
      </c>
      <c r="P124" s="5">
        <v>3.4799999999999998E-2</v>
      </c>
      <c r="Q124" s="5">
        <v>0.19500000000000001</v>
      </c>
      <c r="R124" s="81">
        <f t="shared" si="92"/>
        <v>-3.8364370664064132E-3</v>
      </c>
      <c r="S124" s="81">
        <f t="shared" si="93"/>
        <v>0</v>
      </c>
      <c r="T124" s="81">
        <f t="shared" si="94"/>
        <v>1.8996960486322189E-3</v>
      </c>
      <c r="U124" s="81">
        <f t="shared" si="95"/>
        <v>2.4799999999999996E-2</v>
      </c>
      <c r="V124" s="83">
        <f t="shared" si="96"/>
        <v>0.15690000000000001</v>
      </c>
    </row>
    <row r="125" spans="1:22">
      <c r="A125" s="75">
        <v>105</v>
      </c>
      <c r="B125" s="116" t="s">
        <v>153</v>
      </c>
      <c r="C125" s="117" t="s">
        <v>42</v>
      </c>
      <c r="D125" s="2">
        <v>26830913744.490002</v>
      </c>
      <c r="E125" s="3">
        <f>(D125/$D$126)</f>
        <v>0.27713380770635326</v>
      </c>
      <c r="F125" s="14">
        <v>6.8</v>
      </c>
      <c r="G125" s="14">
        <v>6.8</v>
      </c>
      <c r="H125" s="60">
        <v>208853</v>
      </c>
      <c r="I125" s="5">
        <v>6.25E-2</v>
      </c>
      <c r="J125" s="5">
        <v>6.25E-2</v>
      </c>
      <c r="K125" s="2">
        <v>29695966810.650002</v>
      </c>
      <c r="L125" s="3">
        <f>(K125/$K$126)</f>
        <v>0.29804009211928223</v>
      </c>
      <c r="M125" s="14">
        <v>6.55</v>
      </c>
      <c r="N125" s="14">
        <v>6.55</v>
      </c>
      <c r="O125" s="60">
        <v>208853</v>
      </c>
      <c r="P125" s="5">
        <v>-3.6799999999999999E-2</v>
      </c>
      <c r="Q125" s="5">
        <v>2.3400000000000001E-2</v>
      </c>
      <c r="R125" s="81">
        <f t="shared" si="92"/>
        <v>0.10678179257865816</v>
      </c>
      <c r="S125" s="81">
        <f t="shared" si="93"/>
        <v>-3.6764705882352942E-2</v>
      </c>
      <c r="T125" s="81">
        <f t="shared" si="94"/>
        <v>0</v>
      </c>
      <c r="U125" s="81">
        <f t="shared" si="95"/>
        <v>-9.9299999999999999E-2</v>
      </c>
      <c r="V125" s="83">
        <f t="shared" si="96"/>
        <v>-3.9099999999999996E-2</v>
      </c>
    </row>
    <row r="126" spans="1:22">
      <c r="A126" s="75"/>
      <c r="B126" s="19"/>
      <c r="C126" s="71" t="s">
        <v>46</v>
      </c>
      <c r="D126" s="58">
        <f>SUM(D121:D125)</f>
        <v>96815736652.814392</v>
      </c>
      <c r="E126" s="101">
        <f>(D126/$D$181)</f>
        <v>4.5293381200192759E-2</v>
      </c>
      <c r="F126" s="30"/>
      <c r="G126" s="34"/>
      <c r="H126" s="65">
        <f>SUM(H121:H125)</f>
        <v>217571</v>
      </c>
      <c r="I126" s="35"/>
      <c r="J126" s="35"/>
      <c r="K126" s="58">
        <f>SUM(K121:K125)</f>
        <v>99637490377.51947</v>
      </c>
      <c r="L126" s="101">
        <f>(K126/$K$181)</f>
        <v>4.4918075825837685E-2</v>
      </c>
      <c r="M126" s="30"/>
      <c r="N126" s="34"/>
      <c r="O126" s="65">
        <f>SUM(O121:O125)</f>
        <v>217580</v>
      </c>
      <c r="P126" s="35"/>
      <c r="Q126" s="35"/>
      <c r="R126" s="81">
        <f t="shared" si="92"/>
        <v>2.914561023094845E-2</v>
      </c>
      <c r="S126" s="81" t="e">
        <f t="shared" si="93"/>
        <v>#DIV/0!</v>
      </c>
      <c r="T126" s="81">
        <f t="shared" si="94"/>
        <v>4.1365807023914033E-5</v>
      </c>
      <c r="U126" s="81">
        <f t="shared" si="95"/>
        <v>0</v>
      </c>
      <c r="V126" s="83">
        <f t="shared" si="96"/>
        <v>0</v>
      </c>
    </row>
    <row r="127" spans="1:22" ht="7.5" customHeight="1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</row>
    <row r="128" spans="1:22" ht="15" customHeight="1">
      <c r="A128" s="138" t="s">
        <v>154</v>
      </c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</row>
    <row r="129" spans="1:24">
      <c r="A129" s="75">
        <v>106</v>
      </c>
      <c r="B129" s="116" t="s">
        <v>155</v>
      </c>
      <c r="C129" s="117" t="s">
        <v>50</v>
      </c>
      <c r="D129" s="4">
        <v>236636537.84</v>
      </c>
      <c r="E129" s="3">
        <f t="shared" ref="E129:E154" si="97">(D129/$D$155)</f>
        <v>5.3477846750667702E-3</v>
      </c>
      <c r="F129" s="4">
        <v>5.29</v>
      </c>
      <c r="G129" s="4">
        <v>5.4</v>
      </c>
      <c r="H129" s="62">
        <v>11813</v>
      </c>
      <c r="I129" s="6">
        <v>5.0958999999999997E-2</v>
      </c>
      <c r="J129" s="6">
        <v>5.0958999999999997E-2</v>
      </c>
      <c r="K129" s="4">
        <v>241373137.63999999</v>
      </c>
      <c r="L129" s="16">
        <f t="shared" ref="L129:L145" si="98">(K129/$K$155)</f>
        <v>5.1243871671107959E-3</v>
      </c>
      <c r="M129" s="4">
        <v>5.39</v>
      </c>
      <c r="N129" s="4">
        <v>5.51</v>
      </c>
      <c r="O129" s="62">
        <v>11814</v>
      </c>
      <c r="P129" s="6">
        <v>2.1114999999999998E-2</v>
      </c>
      <c r="Q129" s="6">
        <v>7.1947999999999998E-2</v>
      </c>
      <c r="R129" s="81">
        <f t="shared" ref="R129" si="99">((K129-D129)/D129)</f>
        <v>2.0016350151313481E-2</v>
      </c>
      <c r="S129" s="81">
        <f t="shared" ref="S129" si="100">((N129-G129)/G129)</f>
        <v>2.0370370370370264E-2</v>
      </c>
      <c r="T129" s="81">
        <f t="shared" ref="T129" si="101">((O129-H129)/H129)</f>
        <v>8.4652501481418771E-5</v>
      </c>
      <c r="U129" s="81">
        <f t="shared" ref="U129" si="102">P129-I129</f>
        <v>-2.9843999999999999E-2</v>
      </c>
      <c r="V129" s="83">
        <f t="shared" ref="V129" si="103">Q129-J129</f>
        <v>2.0989000000000001E-2</v>
      </c>
    </row>
    <row r="130" spans="1:24">
      <c r="A130" s="75">
        <v>107</v>
      </c>
      <c r="B130" s="116" t="s">
        <v>262</v>
      </c>
      <c r="C130" s="116" t="s">
        <v>261</v>
      </c>
      <c r="D130" s="4">
        <v>0</v>
      </c>
      <c r="E130" s="3">
        <f t="shared" si="97"/>
        <v>0</v>
      </c>
      <c r="F130" s="4">
        <v>0</v>
      </c>
      <c r="G130" s="4">
        <v>0</v>
      </c>
      <c r="H130" s="62">
        <v>0</v>
      </c>
      <c r="I130" s="6">
        <v>0</v>
      </c>
      <c r="J130" s="6">
        <v>0</v>
      </c>
      <c r="K130" s="4">
        <v>634015661.34161413</v>
      </c>
      <c r="L130" s="16">
        <f t="shared" si="98"/>
        <v>1.3460245620090171E-2</v>
      </c>
      <c r="M130" s="4">
        <v>1211.8203146001401</v>
      </c>
      <c r="N130" s="4">
        <v>1222.1363359798611</v>
      </c>
      <c r="O130" s="62">
        <v>192</v>
      </c>
      <c r="P130" s="6">
        <v>3.2211976662407264E-2</v>
      </c>
      <c r="Q130" s="6">
        <v>8.1097375801929134E-2</v>
      </c>
      <c r="R130" s="81" t="e">
        <f t="shared" ref="R130" si="104">((K130-D130)/D130)</f>
        <v>#DIV/0!</v>
      </c>
      <c r="S130" s="81" t="e">
        <f t="shared" ref="S130" si="105">((N130-G130)/G130)</f>
        <v>#DIV/0!</v>
      </c>
      <c r="T130" s="81" t="e">
        <f t="shared" ref="T130" si="106">((O130-H130)/H130)</f>
        <v>#DIV/0!</v>
      </c>
      <c r="U130" s="81">
        <f t="shared" ref="U130" si="107">P130-I130</f>
        <v>3.2211976662407264E-2</v>
      </c>
      <c r="V130" s="83">
        <f t="shared" ref="V130" si="108">Q130-J130</f>
        <v>8.1097375801929134E-2</v>
      </c>
    </row>
    <row r="131" spans="1:24">
      <c r="A131" s="75">
        <v>108</v>
      </c>
      <c r="B131" s="116" t="s">
        <v>156</v>
      </c>
      <c r="C131" s="117" t="s">
        <v>21</v>
      </c>
      <c r="D131" s="4">
        <v>6166946921.5799999</v>
      </c>
      <c r="E131" s="3">
        <f t="shared" si="97"/>
        <v>0.13936776011097052</v>
      </c>
      <c r="F131" s="4">
        <v>656.44010000000003</v>
      </c>
      <c r="G131" s="4">
        <v>676.23230000000001</v>
      </c>
      <c r="H131" s="62">
        <v>21199</v>
      </c>
      <c r="I131" s="6">
        <v>-0.36649999999999999</v>
      </c>
      <c r="J131" s="6">
        <v>0.45369999999999999</v>
      </c>
      <c r="K131" s="4">
        <v>6508569179.54</v>
      </c>
      <c r="L131" s="16">
        <f t="shared" si="98"/>
        <v>0.1381778797176331</v>
      </c>
      <c r="M131" s="4">
        <v>694.24919999999997</v>
      </c>
      <c r="N131" s="4">
        <v>715.18129999999996</v>
      </c>
      <c r="O131" s="62">
        <v>21194</v>
      </c>
      <c r="P131" s="6">
        <v>1.0245</v>
      </c>
      <c r="Q131" s="6">
        <v>1.4633</v>
      </c>
      <c r="R131" s="81">
        <f t="shared" ref="R131:R155" si="109">((K131-D131)/D131)</f>
        <v>5.5395686440005039E-2</v>
      </c>
      <c r="S131" s="81">
        <f t="shared" ref="S131:S155" si="110">((N131-G131)/G131)</f>
        <v>5.7597071302272838E-2</v>
      </c>
      <c r="T131" s="81">
        <f t="shared" ref="T131:T155" si="111">((O131-H131)/H131)</f>
        <v>-2.3586018208406057E-4</v>
      </c>
      <c r="U131" s="81">
        <f t="shared" ref="U131:U155" si="112">P131-I131</f>
        <v>1.391</v>
      </c>
      <c r="V131" s="83">
        <f t="shared" ref="V131:V155" si="113">Q131-J131</f>
        <v>1.0096000000000001</v>
      </c>
    </row>
    <row r="132" spans="1:24">
      <c r="A132" s="75">
        <v>109</v>
      </c>
      <c r="B132" s="116" t="s">
        <v>157</v>
      </c>
      <c r="C132" s="117" t="s">
        <v>91</v>
      </c>
      <c r="D132" s="4">
        <v>3472024117.6399999</v>
      </c>
      <c r="E132" s="3">
        <f t="shared" si="97"/>
        <v>7.8464794732298629E-2</v>
      </c>
      <c r="F132" s="4">
        <v>19.002300000000002</v>
      </c>
      <c r="G132" s="4">
        <v>19.226299999999998</v>
      </c>
      <c r="H132" s="60">
        <v>6269</v>
      </c>
      <c r="I132" s="5">
        <v>5.16E-2</v>
      </c>
      <c r="J132" s="5">
        <v>3.0300000000000001E-2</v>
      </c>
      <c r="K132" s="4">
        <v>3564542037.3899999</v>
      </c>
      <c r="L132" s="16">
        <f t="shared" si="98"/>
        <v>7.5675751045137254E-2</v>
      </c>
      <c r="M132" s="4">
        <v>19.781199999999998</v>
      </c>
      <c r="N132" s="4">
        <v>20.021799999999999</v>
      </c>
      <c r="O132" s="60">
        <v>6269</v>
      </c>
      <c r="P132" s="5">
        <v>3.2800000000000003E-2</v>
      </c>
      <c r="Q132" s="5">
        <v>7.2700000000000001E-2</v>
      </c>
      <c r="R132" s="81">
        <f t="shared" si="109"/>
        <v>2.6646681190937743E-2</v>
      </c>
      <c r="S132" s="81">
        <f t="shared" si="110"/>
        <v>4.1375615693087106E-2</v>
      </c>
      <c r="T132" s="81">
        <f t="shared" si="111"/>
        <v>0</v>
      </c>
      <c r="U132" s="81">
        <f t="shared" si="112"/>
        <v>-1.8799999999999997E-2</v>
      </c>
      <c r="V132" s="83">
        <f t="shared" si="113"/>
        <v>4.24E-2</v>
      </c>
    </row>
    <row r="133" spans="1:24">
      <c r="A133" s="75">
        <v>110</v>
      </c>
      <c r="B133" s="116" t="s">
        <v>158</v>
      </c>
      <c r="C133" s="117" t="s">
        <v>101</v>
      </c>
      <c r="D133" s="2">
        <v>1366954806.45</v>
      </c>
      <c r="E133" s="3">
        <f t="shared" si="97"/>
        <v>3.0892017066210191E-2</v>
      </c>
      <c r="F133" s="4">
        <v>3.1959</v>
      </c>
      <c r="G133" s="4">
        <v>3.2772999999999999</v>
      </c>
      <c r="H133" s="60">
        <v>2754</v>
      </c>
      <c r="I133" s="5">
        <v>1.5649</v>
      </c>
      <c r="J133" s="5">
        <v>2.1911</v>
      </c>
      <c r="K133" s="2">
        <v>1457199190.51</v>
      </c>
      <c r="L133" s="16">
        <f t="shared" si="98"/>
        <v>3.0936552860786205E-2</v>
      </c>
      <c r="M133" s="4">
        <v>3.4049999999999998</v>
      </c>
      <c r="N133" s="4">
        <v>3.4954000000000001</v>
      </c>
      <c r="O133" s="60">
        <v>2754</v>
      </c>
      <c r="P133" s="5">
        <v>3.47</v>
      </c>
      <c r="Q133" s="5">
        <v>2.9979</v>
      </c>
      <c r="R133" s="81">
        <f t="shared" si="109"/>
        <v>6.601855718578277E-2</v>
      </c>
      <c r="S133" s="81">
        <f t="shared" si="110"/>
        <v>6.6548683367406158E-2</v>
      </c>
      <c r="T133" s="81">
        <f t="shared" si="111"/>
        <v>0</v>
      </c>
      <c r="U133" s="81">
        <f t="shared" si="112"/>
        <v>1.9051000000000002</v>
      </c>
      <c r="V133" s="83">
        <f t="shared" si="113"/>
        <v>0.80679999999999996</v>
      </c>
    </row>
    <row r="134" spans="1:24">
      <c r="A134" s="75">
        <v>111</v>
      </c>
      <c r="B134" s="116" t="s">
        <v>159</v>
      </c>
      <c r="C134" s="117" t="s">
        <v>56</v>
      </c>
      <c r="D134" s="2">
        <v>3302614985.7756901</v>
      </c>
      <c r="E134" s="3">
        <f t="shared" si="97"/>
        <v>7.4636292306300145E-2</v>
      </c>
      <c r="F134" s="4">
        <v>6124.4803823639104</v>
      </c>
      <c r="G134" s="4">
        <v>6173.89251442146</v>
      </c>
      <c r="H134" s="60">
        <v>850</v>
      </c>
      <c r="I134" s="5">
        <v>3.0595225664721077</v>
      </c>
      <c r="J134" s="5">
        <v>4.2622631142649219</v>
      </c>
      <c r="K134" s="2">
        <v>3466969109.0155602</v>
      </c>
      <c r="L134" s="16">
        <f t="shared" si="98"/>
        <v>7.3604263443376297E-2</v>
      </c>
      <c r="M134" s="4">
        <v>6374.4834389695498</v>
      </c>
      <c r="N134" s="4">
        <v>6427.2545324653001</v>
      </c>
      <c r="O134" s="60">
        <v>855</v>
      </c>
      <c r="P134" s="5">
        <v>2.134317945711564</v>
      </c>
      <c r="Q134" s="5">
        <v>3.0934562702440886</v>
      </c>
      <c r="R134" s="81">
        <f t="shared" si="109"/>
        <v>4.9764845114474633E-2</v>
      </c>
      <c r="S134" s="81">
        <f t="shared" si="110"/>
        <v>4.1037646420312213E-2</v>
      </c>
      <c r="T134" s="81">
        <f t="shared" si="111"/>
        <v>5.8823529411764705E-3</v>
      </c>
      <c r="U134" s="81">
        <f t="shared" si="112"/>
        <v>-0.92520462076054377</v>
      </c>
      <c r="V134" s="83">
        <f t="shared" si="113"/>
        <v>-1.1688068440208332</v>
      </c>
    </row>
    <row r="135" spans="1:24">
      <c r="A135" s="75">
        <v>112</v>
      </c>
      <c r="B135" s="116" t="s">
        <v>160</v>
      </c>
      <c r="C135" s="117" t="s">
        <v>58</v>
      </c>
      <c r="D135" s="4">
        <v>490107774.42000002</v>
      </c>
      <c r="E135" s="3">
        <f t="shared" si="97"/>
        <v>1.1076019236498976E-2</v>
      </c>
      <c r="F135" s="4">
        <v>180.66</v>
      </c>
      <c r="G135" s="4">
        <v>182.02</v>
      </c>
      <c r="H135" s="60">
        <v>642</v>
      </c>
      <c r="I135" s="5">
        <v>4.4699999999999997E-2</v>
      </c>
      <c r="J135" s="5">
        <v>4.4699999999999997E-2</v>
      </c>
      <c r="K135" s="4">
        <v>509859423.10000002</v>
      </c>
      <c r="L135" s="16">
        <f t="shared" si="98"/>
        <v>1.0824390445058283E-2</v>
      </c>
      <c r="M135" s="4">
        <v>184.42</v>
      </c>
      <c r="N135" s="4">
        <v>185.82</v>
      </c>
      <c r="O135" s="60">
        <v>644</v>
      </c>
      <c r="P135" s="5">
        <v>2.0799999999999999E-2</v>
      </c>
      <c r="Q135" s="5">
        <v>6.6500000000000004E-2</v>
      </c>
      <c r="R135" s="81">
        <f t="shared" si="109"/>
        <v>4.0300623068822705E-2</v>
      </c>
      <c r="S135" s="81">
        <f t="shared" si="110"/>
        <v>2.0876826722338111E-2</v>
      </c>
      <c r="T135" s="81">
        <f t="shared" si="111"/>
        <v>3.1152647975077881E-3</v>
      </c>
      <c r="U135" s="81">
        <f t="shared" si="112"/>
        <v>-2.3899999999999998E-2</v>
      </c>
      <c r="V135" s="83">
        <f t="shared" si="113"/>
        <v>2.1800000000000007E-2</v>
      </c>
    </row>
    <row r="136" spans="1:24">
      <c r="A136" s="75">
        <v>113</v>
      </c>
      <c r="B136" s="116" t="s">
        <v>161</v>
      </c>
      <c r="C136" s="117" t="s">
        <v>60</v>
      </c>
      <c r="D136" s="4">
        <v>3734808.11</v>
      </c>
      <c r="E136" s="3">
        <f t="shared" si="97"/>
        <v>8.4403489660914692E-5</v>
      </c>
      <c r="F136" s="4">
        <v>102.747</v>
      </c>
      <c r="G136" s="4">
        <v>102.99</v>
      </c>
      <c r="H136" s="60">
        <v>0</v>
      </c>
      <c r="I136" s="5">
        <v>0</v>
      </c>
      <c r="J136" s="5">
        <v>0</v>
      </c>
      <c r="K136" s="4">
        <v>3734808.11</v>
      </c>
      <c r="L136" s="16">
        <f t="shared" si="98"/>
        <v>7.9290524776828798E-5</v>
      </c>
      <c r="M136" s="4">
        <v>102.747</v>
      </c>
      <c r="N136" s="4">
        <v>102.99</v>
      </c>
      <c r="O136" s="60">
        <v>0</v>
      </c>
      <c r="P136" s="5">
        <v>0</v>
      </c>
      <c r="Q136" s="5">
        <v>0</v>
      </c>
      <c r="R136" s="81">
        <f t="shared" si="109"/>
        <v>0</v>
      </c>
      <c r="S136" s="81">
        <f t="shared" si="110"/>
        <v>0</v>
      </c>
      <c r="T136" s="81" t="e">
        <f t="shared" si="111"/>
        <v>#DIV/0!</v>
      </c>
      <c r="U136" s="81">
        <f t="shared" si="112"/>
        <v>0</v>
      </c>
      <c r="V136" s="83">
        <f t="shared" si="113"/>
        <v>0</v>
      </c>
    </row>
    <row r="137" spans="1:24">
      <c r="A137" s="75">
        <v>114</v>
      </c>
      <c r="B137" s="116" t="s">
        <v>162</v>
      </c>
      <c r="C137" s="117" t="s">
        <v>105</v>
      </c>
      <c r="D137" s="4">
        <v>182608550.72</v>
      </c>
      <c r="E137" s="3">
        <f t="shared" si="97"/>
        <v>4.1267980760302395E-3</v>
      </c>
      <c r="F137" s="4">
        <v>1.6019000000000001</v>
      </c>
      <c r="G137" s="4">
        <v>1.6177999999999999</v>
      </c>
      <c r="H137" s="60">
        <v>273</v>
      </c>
      <c r="I137" s="5">
        <v>4.6788211461805007E-2</v>
      </c>
      <c r="J137" s="5">
        <v>7.8502659395408347E-2</v>
      </c>
      <c r="K137" s="4">
        <v>186329923.65000001</v>
      </c>
      <c r="L137" s="16">
        <f t="shared" si="98"/>
        <v>3.955811648870748E-3</v>
      </c>
      <c r="M137" s="4">
        <v>1.6343000000000001</v>
      </c>
      <c r="N137" s="4">
        <v>1.6509</v>
      </c>
      <c r="O137" s="60">
        <v>275</v>
      </c>
      <c r="P137" s="5">
        <v>2.0225981646794455E-2</v>
      </c>
      <c r="Q137" s="5">
        <v>0.10031643439035887</v>
      </c>
      <c r="R137" s="81">
        <f t="shared" si="109"/>
        <v>2.0378963171916942E-2</v>
      </c>
      <c r="S137" s="81">
        <f t="shared" si="110"/>
        <v>2.0459883792805125E-2</v>
      </c>
      <c r="T137" s="81">
        <f t="shared" si="111"/>
        <v>7.326007326007326E-3</v>
      </c>
      <c r="U137" s="81">
        <f t="shared" si="112"/>
        <v>-2.6562229815010552E-2</v>
      </c>
      <c r="V137" s="83">
        <f t="shared" si="113"/>
        <v>2.1813774994950519E-2</v>
      </c>
    </row>
    <row r="138" spans="1:24">
      <c r="A138" s="75">
        <v>115</v>
      </c>
      <c r="B138" s="116" t="s">
        <v>163</v>
      </c>
      <c r="C138" s="117" t="s">
        <v>25</v>
      </c>
      <c r="D138" s="9">
        <v>149453837.91</v>
      </c>
      <c r="E138" s="3">
        <f t="shared" si="97"/>
        <v>3.3775297394919453E-3</v>
      </c>
      <c r="F138" s="4">
        <v>139.34520000000001</v>
      </c>
      <c r="G138" s="4">
        <v>139.9468</v>
      </c>
      <c r="H138" s="60">
        <v>83</v>
      </c>
      <c r="I138" s="5">
        <v>5.4980000000000003E-3</v>
      </c>
      <c r="J138" s="5">
        <v>0.33139999999999997</v>
      </c>
      <c r="K138" s="9">
        <v>147459002.44</v>
      </c>
      <c r="L138" s="16">
        <f t="shared" si="98"/>
        <v>3.1305762818789845E-3</v>
      </c>
      <c r="M138" s="4">
        <v>137.6294</v>
      </c>
      <c r="N138" s="4">
        <v>138.27869999999999</v>
      </c>
      <c r="O138" s="60">
        <v>83</v>
      </c>
      <c r="P138" s="5">
        <v>5.1980000000000004E-3</v>
      </c>
      <c r="Q138" s="5">
        <v>7.0900000000000005E-2</v>
      </c>
      <c r="R138" s="81">
        <f t="shared" si="109"/>
        <v>-1.3347502465619344E-2</v>
      </c>
      <c r="S138" s="81">
        <f t="shared" si="110"/>
        <v>-1.1919529421180118E-2</v>
      </c>
      <c r="T138" s="81">
        <f t="shared" si="111"/>
        <v>0</v>
      </c>
      <c r="U138" s="81">
        <f t="shared" si="112"/>
        <v>-2.9999999999999992E-4</v>
      </c>
      <c r="V138" s="83">
        <f t="shared" si="113"/>
        <v>-0.26049999999999995</v>
      </c>
    </row>
    <row r="139" spans="1:24">
      <c r="A139" s="75">
        <v>116</v>
      </c>
      <c r="B139" s="116" t="s">
        <v>164</v>
      </c>
      <c r="C139" s="117" t="s">
        <v>64</v>
      </c>
      <c r="D139" s="9">
        <v>164734316.13999999</v>
      </c>
      <c r="E139" s="3">
        <f t="shared" si="97"/>
        <v>3.7228555630185621E-3</v>
      </c>
      <c r="F139" s="4">
        <v>104</v>
      </c>
      <c r="G139" s="4">
        <v>104.05</v>
      </c>
      <c r="H139" s="60">
        <v>30</v>
      </c>
      <c r="I139" s="5">
        <v>1.5E-3</v>
      </c>
      <c r="J139" s="5">
        <v>1.5E-3</v>
      </c>
      <c r="K139" s="9">
        <v>198456867.66999999</v>
      </c>
      <c r="L139" s="16">
        <f t="shared" si="98"/>
        <v>4.2132684517277559E-3</v>
      </c>
      <c r="M139" s="4">
        <v>111.04</v>
      </c>
      <c r="N139" s="4">
        <v>111.43</v>
      </c>
      <c r="O139" s="60">
        <v>29</v>
      </c>
      <c r="P139" s="5">
        <v>-5.5999999999999999E-3</v>
      </c>
      <c r="Q139" s="5">
        <v>7.0800000000000002E-2</v>
      </c>
      <c r="R139" s="81">
        <f t="shared" si="109"/>
        <v>0.20470872323493777</v>
      </c>
      <c r="S139" s="81">
        <f t="shared" si="110"/>
        <v>7.0927438731379244E-2</v>
      </c>
      <c r="T139" s="81">
        <f t="shared" si="111"/>
        <v>-3.3333333333333333E-2</v>
      </c>
      <c r="U139" s="81">
        <f t="shared" si="112"/>
        <v>-7.1000000000000004E-3</v>
      </c>
      <c r="V139" s="83">
        <f t="shared" si="113"/>
        <v>6.93E-2</v>
      </c>
    </row>
    <row r="140" spans="1:24" ht="15.75" customHeight="1">
      <c r="A140" s="75">
        <v>117</v>
      </c>
      <c r="B140" s="116" t="s">
        <v>165</v>
      </c>
      <c r="C140" s="117" t="s">
        <v>67</v>
      </c>
      <c r="D140" s="2">
        <v>471765216.60000002</v>
      </c>
      <c r="E140" s="3">
        <f t="shared" si="97"/>
        <v>1.0661493016217447E-2</v>
      </c>
      <c r="F140" s="4">
        <v>1.3506</v>
      </c>
      <c r="G140" s="4">
        <v>1.3652</v>
      </c>
      <c r="H140" s="60">
        <v>102</v>
      </c>
      <c r="I140" s="5">
        <v>3.6054004295796201E-2</v>
      </c>
      <c r="J140" s="5">
        <v>0.14103286418216765</v>
      </c>
      <c r="K140" s="2">
        <v>517258629.29000002</v>
      </c>
      <c r="L140" s="16">
        <f t="shared" si="98"/>
        <v>1.0981476679332596E-2</v>
      </c>
      <c r="M140" s="4">
        <v>1.4109</v>
      </c>
      <c r="N140" s="4">
        <v>1.4109</v>
      </c>
      <c r="O140" s="60">
        <v>103</v>
      </c>
      <c r="P140" s="5">
        <v>3.3399999999999999E-2</v>
      </c>
      <c r="Q140" s="5">
        <v>0.29530000000000001</v>
      </c>
      <c r="R140" s="81">
        <f t="shared" si="109"/>
        <v>9.643231651936926E-2</v>
      </c>
      <c r="S140" s="81">
        <f t="shared" si="110"/>
        <v>3.3474948725461529E-2</v>
      </c>
      <c r="T140" s="81">
        <f t="shared" si="111"/>
        <v>9.8039215686274508E-3</v>
      </c>
      <c r="U140" s="81">
        <f t="shared" si="112"/>
        <v>-2.6540042957962015E-3</v>
      </c>
      <c r="V140" s="83">
        <f t="shared" si="113"/>
        <v>0.15426713581783236</v>
      </c>
      <c r="X140" s="106"/>
    </row>
    <row r="141" spans="1:24">
      <c r="A141" s="75">
        <v>118</v>
      </c>
      <c r="B141" s="116" t="s">
        <v>166</v>
      </c>
      <c r="C141" s="117" t="s">
        <v>27</v>
      </c>
      <c r="D141" s="4">
        <v>7746053851.2700005</v>
      </c>
      <c r="E141" s="3">
        <f t="shared" si="97"/>
        <v>0.17505423488773456</v>
      </c>
      <c r="F141" s="4">
        <v>284.5</v>
      </c>
      <c r="G141" s="4">
        <v>287.02999999999997</v>
      </c>
      <c r="H141" s="60">
        <v>5478</v>
      </c>
      <c r="I141" s="5">
        <v>5.2499999999999998E-2</v>
      </c>
      <c r="J141" s="5">
        <v>5.21E-2</v>
      </c>
      <c r="K141" s="4">
        <v>7937165189.25</v>
      </c>
      <c r="L141" s="16">
        <f t="shared" si="98"/>
        <v>0.16850718284854804</v>
      </c>
      <c r="M141" s="4">
        <v>291.17</v>
      </c>
      <c r="N141" s="4">
        <v>293.81</v>
      </c>
      <c r="O141" s="60">
        <v>5480</v>
      </c>
      <c r="P141" s="5">
        <v>2.35E-2</v>
      </c>
      <c r="Q141" s="5">
        <v>7.6799999999999993E-2</v>
      </c>
      <c r="R141" s="81">
        <f t="shared" si="109"/>
        <v>2.4672090027965138E-2</v>
      </c>
      <c r="S141" s="81">
        <f t="shared" si="110"/>
        <v>2.3621224262272342E-2</v>
      </c>
      <c r="T141" s="81">
        <f t="shared" si="111"/>
        <v>3.6509675063891932E-4</v>
      </c>
      <c r="U141" s="81">
        <f t="shared" si="112"/>
        <v>-2.8999999999999998E-2</v>
      </c>
      <c r="V141" s="83">
        <f t="shared" si="113"/>
        <v>2.4699999999999993E-2</v>
      </c>
    </row>
    <row r="142" spans="1:24">
      <c r="A142" s="75">
        <v>119</v>
      </c>
      <c r="B142" s="116" t="s">
        <v>167</v>
      </c>
      <c r="C142" s="117" t="s">
        <v>72</v>
      </c>
      <c r="D142" s="4">
        <v>2503459249.3400002</v>
      </c>
      <c r="E142" s="3">
        <f t="shared" si="97"/>
        <v>5.6576051739426571E-2</v>
      </c>
      <c r="F142" s="4">
        <v>1.7442</v>
      </c>
      <c r="G142" s="4">
        <v>1.7746</v>
      </c>
      <c r="H142" s="60">
        <v>10316</v>
      </c>
      <c r="I142" s="5">
        <v>2.8E-3</v>
      </c>
      <c r="J142" s="5">
        <v>1E-4</v>
      </c>
      <c r="K142" s="4">
        <v>2666931013.4000001</v>
      </c>
      <c r="L142" s="16">
        <f t="shared" si="98"/>
        <v>5.6619337156812014E-2</v>
      </c>
      <c r="M142" s="4">
        <v>1.8567</v>
      </c>
      <c r="N142" s="4">
        <v>1.8914</v>
      </c>
      <c r="O142" s="60">
        <v>10319</v>
      </c>
      <c r="P142" s="5">
        <v>2.3400000000000001E-2</v>
      </c>
      <c r="Q142" s="5">
        <v>6.5299999999999997E-2</v>
      </c>
      <c r="R142" s="81">
        <f t="shared" si="109"/>
        <v>6.5298352311145808E-2</v>
      </c>
      <c r="S142" s="81">
        <f t="shared" si="110"/>
        <v>6.5817649047672719E-2</v>
      </c>
      <c r="T142" s="81">
        <f t="shared" si="111"/>
        <v>2.9081039162466072E-4</v>
      </c>
      <c r="U142" s="81">
        <f t="shared" si="112"/>
        <v>2.06E-2</v>
      </c>
      <c r="V142" s="83">
        <f t="shared" si="113"/>
        <v>6.5199999999999994E-2</v>
      </c>
    </row>
    <row r="143" spans="1:24">
      <c r="A143" s="75">
        <v>120</v>
      </c>
      <c r="B143" s="116" t="s">
        <v>168</v>
      </c>
      <c r="C143" s="117" t="s">
        <v>74</v>
      </c>
      <c r="D143" s="4">
        <v>195601324.05083489</v>
      </c>
      <c r="E143" s="3">
        <f t="shared" si="97"/>
        <v>4.4204237127957475E-3</v>
      </c>
      <c r="F143" s="4">
        <v>127.77464773799211</v>
      </c>
      <c r="G143" s="4">
        <v>133.41682785120022</v>
      </c>
      <c r="H143" s="60">
        <v>60</v>
      </c>
      <c r="I143" s="5">
        <v>6.4611295933945323E-2</v>
      </c>
      <c r="J143" s="5">
        <v>6.4426869230092443E-2</v>
      </c>
      <c r="K143" s="4">
        <v>201827979.06999999</v>
      </c>
      <c r="L143" s="16">
        <f t="shared" si="98"/>
        <v>4.2848376419283071E-3</v>
      </c>
      <c r="M143" s="4">
        <v>262.61</v>
      </c>
      <c r="N143" s="4">
        <v>273.93</v>
      </c>
      <c r="O143" s="60">
        <v>60</v>
      </c>
      <c r="P143" s="5">
        <v>1.06E-2</v>
      </c>
      <c r="Q143" s="5">
        <v>1.1877</v>
      </c>
      <c r="R143" s="81">
        <f t="shared" si="109"/>
        <v>3.1833399131525567E-2</v>
      </c>
      <c r="S143" s="81">
        <f t="shared" si="110"/>
        <v>1.0531892746356861</v>
      </c>
      <c r="T143" s="81">
        <f t="shared" si="111"/>
        <v>0</v>
      </c>
      <c r="U143" s="81">
        <f t="shared" si="112"/>
        <v>-5.4011295933945325E-2</v>
      </c>
      <c r="V143" s="83">
        <f t="shared" si="113"/>
        <v>1.1232731307699075</v>
      </c>
    </row>
    <row r="144" spans="1:24" ht="13.5" customHeight="1">
      <c r="A144" s="75">
        <v>121</v>
      </c>
      <c r="B144" s="116" t="s">
        <v>240</v>
      </c>
      <c r="C144" s="117" t="s">
        <v>32</v>
      </c>
      <c r="D144" s="2">
        <v>2727737300.9601002</v>
      </c>
      <c r="E144" s="3">
        <f t="shared" si="97"/>
        <v>6.1644545127454264E-2</v>
      </c>
      <c r="F144" s="4">
        <v>1.7359</v>
      </c>
      <c r="G144" s="4">
        <v>1.7902</v>
      </c>
      <c r="H144" s="60">
        <v>2288</v>
      </c>
      <c r="I144" s="5">
        <v>-0.52275039177411819</v>
      </c>
      <c r="J144" s="5">
        <v>-0.52275039177411819</v>
      </c>
      <c r="K144" s="2">
        <v>2813186463.9133</v>
      </c>
      <c r="L144" s="16">
        <f t="shared" si="98"/>
        <v>5.9724361854498843E-2</v>
      </c>
      <c r="M144" s="4">
        <v>3.9009999999999998</v>
      </c>
      <c r="N144" s="4">
        <v>3.9796999999999998</v>
      </c>
      <c r="O144" s="60">
        <v>2289</v>
      </c>
      <c r="P144" s="5">
        <v>4.0516390600410679E-2</v>
      </c>
      <c r="Q144" s="5">
        <v>7.2498831550875442E-2</v>
      </c>
      <c r="R144" s="81">
        <f t="shared" si="109"/>
        <v>3.1326023559205551E-2</v>
      </c>
      <c r="S144" s="81">
        <f t="shared" si="110"/>
        <v>1.2230477041671319</v>
      </c>
      <c r="T144" s="81">
        <f t="shared" si="111"/>
        <v>4.3706293706293706E-4</v>
      </c>
      <c r="U144" s="81">
        <f t="shared" si="112"/>
        <v>0.56326678237452887</v>
      </c>
      <c r="V144" s="83">
        <f t="shared" si="113"/>
        <v>0.59524922332499364</v>
      </c>
    </row>
    <row r="145" spans="1:22">
      <c r="A145" s="75">
        <v>122</v>
      </c>
      <c r="B145" s="116" t="s">
        <v>169</v>
      </c>
      <c r="C145" s="117" t="s">
        <v>114</v>
      </c>
      <c r="D145" s="2">
        <v>188362375.08000001</v>
      </c>
      <c r="E145" s="3">
        <f t="shared" si="97"/>
        <v>4.2568296172972907E-3</v>
      </c>
      <c r="F145" s="4">
        <v>187.63067000000001</v>
      </c>
      <c r="G145" s="4">
        <v>193.52790999999999</v>
      </c>
      <c r="H145" s="60">
        <v>139</v>
      </c>
      <c r="I145" s="5">
        <v>4.53E-2</v>
      </c>
      <c r="J145" s="5">
        <v>4.53E-2</v>
      </c>
      <c r="K145" s="2">
        <v>193088452.27000001</v>
      </c>
      <c r="L145" s="16">
        <f t="shared" si="98"/>
        <v>4.0992962042255927E-3</v>
      </c>
      <c r="M145" s="4">
        <v>192.33838800000001</v>
      </c>
      <c r="N145" s="4">
        <v>198.3134</v>
      </c>
      <c r="O145" s="60">
        <v>139</v>
      </c>
      <c r="P145" s="5">
        <v>1.24E-2</v>
      </c>
      <c r="Q145" s="5">
        <v>7.1099999999999997E-2</v>
      </c>
      <c r="R145" s="81">
        <f t="shared" si="109"/>
        <v>2.5090346137293978E-2</v>
      </c>
      <c r="S145" s="81">
        <f t="shared" si="110"/>
        <v>2.4727647810592335E-2</v>
      </c>
      <c r="T145" s="81">
        <f t="shared" si="111"/>
        <v>0</v>
      </c>
      <c r="U145" s="81">
        <f t="shared" si="112"/>
        <v>-3.2899999999999999E-2</v>
      </c>
      <c r="V145" s="83">
        <f t="shared" si="113"/>
        <v>2.5799999999999997E-2</v>
      </c>
    </row>
    <row r="146" spans="1:22">
      <c r="A146" s="75">
        <v>123</v>
      </c>
      <c r="B146" s="116" t="s">
        <v>170</v>
      </c>
      <c r="C146" s="117" t="s">
        <v>29</v>
      </c>
      <c r="D146" s="2">
        <v>1579356693.3499999</v>
      </c>
      <c r="E146" s="3">
        <f t="shared" si="97"/>
        <v>3.5692119223245215E-2</v>
      </c>
      <c r="F146" s="4">
        <v>552.22</v>
      </c>
      <c r="G146" s="4">
        <v>552.22</v>
      </c>
      <c r="H146" s="60">
        <v>818</v>
      </c>
      <c r="I146" s="5">
        <v>1.0813E-2</v>
      </c>
      <c r="J146" s="5">
        <v>1.027E-2</v>
      </c>
      <c r="K146" s="2">
        <v>1565068013.04</v>
      </c>
      <c r="L146" s="16">
        <f t="shared" ref="L146:L154" si="114">(K146/$K$155)</f>
        <v>3.3226623807821369E-2</v>
      </c>
      <c r="M146" s="4">
        <v>552.22</v>
      </c>
      <c r="N146" s="4">
        <v>552.22</v>
      </c>
      <c r="O146" s="60">
        <v>818</v>
      </c>
      <c r="P146" s="5">
        <v>1.0813E-2</v>
      </c>
      <c r="Q146" s="5">
        <v>1.027E-2</v>
      </c>
      <c r="R146" s="81">
        <f t="shared" si="109"/>
        <v>-9.0471521538886719E-3</v>
      </c>
      <c r="S146" s="81">
        <f t="shared" si="110"/>
        <v>0</v>
      </c>
      <c r="T146" s="81">
        <f t="shared" si="111"/>
        <v>0</v>
      </c>
      <c r="U146" s="81">
        <f t="shared" si="112"/>
        <v>0</v>
      </c>
      <c r="V146" s="83">
        <f t="shared" si="113"/>
        <v>0</v>
      </c>
    </row>
    <row r="147" spans="1:22">
      <c r="A147" s="75">
        <v>124</v>
      </c>
      <c r="B147" s="116" t="s">
        <v>171</v>
      </c>
      <c r="C147" s="117" t="s">
        <v>80</v>
      </c>
      <c r="D147" s="2">
        <v>28454851.23</v>
      </c>
      <c r="E147" s="3">
        <f t="shared" si="97"/>
        <v>6.4305545850230331E-4</v>
      </c>
      <c r="F147" s="4">
        <v>1.7</v>
      </c>
      <c r="G147" s="4">
        <v>1.7</v>
      </c>
      <c r="H147" s="60">
        <v>8</v>
      </c>
      <c r="I147" s="5">
        <v>4.2594E-2</v>
      </c>
      <c r="J147" s="5">
        <v>4.2594E-2</v>
      </c>
      <c r="K147" s="4">
        <v>28875802.940000001</v>
      </c>
      <c r="L147" s="16">
        <f t="shared" si="114"/>
        <v>6.1303753794860849E-4</v>
      </c>
      <c r="M147" s="4">
        <v>1.75</v>
      </c>
      <c r="N147" s="4">
        <v>1.75</v>
      </c>
      <c r="O147" s="60">
        <v>8</v>
      </c>
      <c r="P147" s="5">
        <v>3.0785E-2</v>
      </c>
      <c r="Q147" s="5">
        <v>7.4690000000000006E-2</v>
      </c>
      <c r="R147" s="81">
        <f t="shared" si="109"/>
        <v>1.4793671089595815E-2</v>
      </c>
      <c r="S147" s="81">
        <f t="shared" si="110"/>
        <v>2.941176470588238E-2</v>
      </c>
      <c r="T147" s="81">
        <f t="shared" si="111"/>
        <v>0</v>
      </c>
      <c r="U147" s="81">
        <f t="shared" si="112"/>
        <v>-1.1809E-2</v>
      </c>
      <c r="V147" s="83">
        <f t="shared" si="113"/>
        <v>3.2096000000000006E-2</v>
      </c>
    </row>
    <row r="148" spans="1:22">
      <c r="A148" s="75">
        <v>125</v>
      </c>
      <c r="B148" s="116" t="s">
        <v>172</v>
      </c>
      <c r="C148" s="117" t="s">
        <v>38</v>
      </c>
      <c r="D148" s="4">
        <v>238443818.19</v>
      </c>
      <c r="E148" s="3">
        <f t="shared" si="97"/>
        <v>5.3886276752538936E-3</v>
      </c>
      <c r="F148" s="4">
        <v>2.4318870000000001</v>
      </c>
      <c r="G148" s="4">
        <v>2.475641</v>
      </c>
      <c r="H148" s="60">
        <v>116</v>
      </c>
      <c r="I148" s="5">
        <v>1.1000000000000001E-3</v>
      </c>
      <c r="J148" s="5">
        <v>2.0000000000000001E-4</v>
      </c>
      <c r="K148" s="4">
        <v>252796060.40000001</v>
      </c>
      <c r="L148" s="16">
        <f t="shared" si="114"/>
        <v>5.3668974952051579E-3</v>
      </c>
      <c r="M148" s="4">
        <v>2.5499999999999998</v>
      </c>
      <c r="N148" s="4">
        <v>2.6</v>
      </c>
      <c r="O148" s="60">
        <v>116</v>
      </c>
      <c r="P148" s="5">
        <v>0</v>
      </c>
      <c r="Q148" s="5">
        <v>1E-3</v>
      </c>
      <c r="R148" s="81">
        <f t="shared" si="109"/>
        <v>6.019129503522571E-2</v>
      </c>
      <c r="S148" s="81">
        <f t="shared" si="110"/>
        <v>5.0233050753320095E-2</v>
      </c>
      <c r="T148" s="81">
        <v>1.1200000000000001</v>
      </c>
      <c r="U148" s="81">
        <f t="shared" si="112"/>
        <v>-1.1000000000000001E-3</v>
      </c>
      <c r="V148" s="83">
        <f t="shared" si="113"/>
        <v>8.0000000000000004E-4</v>
      </c>
    </row>
    <row r="149" spans="1:22">
      <c r="A149" s="75">
        <v>126</v>
      </c>
      <c r="B149" s="116" t="s">
        <v>173</v>
      </c>
      <c r="C149" s="117" t="s">
        <v>42</v>
      </c>
      <c r="D149" s="2">
        <v>2478478749.6599998</v>
      </c>
      <c r="E149" s="3">
        <f t="shared" si="97"/>
        <v>5.6011513673650176E-2</v>
      </c>
      <c r="F149" s="4">
        <v>5208.21</v>
      </c>
      <c r="G149" s="4">
        <v>5254.81</v>
      </c>
      <c r="H149" s="60">
        <v>3723</v>
      </c>
      <c r="I149" s="5">
        <v>4.6800000000000001E-2</v>
      </c>
      <c r="J149" s="5">
        <v>4.6800000000000001E-2</v>
      </c>
      <c r="K149" s="2">
        <v>2574167863.4099998</v>
      </c>
      <c r="L149" s="3">
        <f t="shared" si="114"/>
        <v>5.4649961856655348E-2</v>
      </c>
      <c r="M149" s="4">
        <v>5330.99</v>
      </c>
      <c r="N149" s="4">
        <v>5378.01</v>
      </c>
      <c r="O149" s="60">
        <v>3763</v>
      </c>
      <c r="P149" s="5">
        <v>2.3400000000000001E-2</v>
      </c>
      <c r="Q149" s="5">
        <v>7.1099999999999997E-2</v>
      </c>
      <c r="R149" s="81">
        <f t="shared" si="109"/>
        <v>3.8608002494726547E-2</v>
      </c>
      <c r="S149" s="81">
        <f t="shared" si="110"/>
        <v>2.3445186410165127E-2</v>
      </c>
      <c r="T149" s="81">
        <f t="shared" si="111"/>
        <v>1.0744023636852002E-2</v>
      </c>
      <c r="U149" s="81">
        <f t="shared" si="112"/>
        <v>-2.3400000000000001E-2</v>
      </c>
      <c r="V149" s="83">
        <f t="shared" si="113"/>
        <v>2.4299999999999995E-2</v>
      </c>
    </row>
    <row r="150" spans="1:22">
      <c r="A150" s="75">
        <v>127</v>
      </c>
      <c r="B150" s="116" t="s">
        <v>264</v>
      </c>
      <c r="C150" s="116" t="s">
        <v>265</v>
      </c>
      <c r="D150" s="2">
        <v>0</v>
      </c>
      <c r="E150" s="3">
        <f t="shared" si="97"/>
        <v>0</v>
      </c>
      <c r="F150" s="4">
        <v>0</v>
      </c>
      <c r="G150" s="4">
        <v>0</v>
      </c>
      <c r="H150" s="60">
        <v>0</v>
      </c>
      <c r="I150" s="5">
        <v>0</v>
      </c>
      <c r="J150" s="5">
        <v>0</v>
      </c>
      <c r="K150" s="2">
        <v>592791946.29999995</v>
      </c>
      <c r="L150" s="3">
        <f t="shared" si="114"/>
        <v>1.2585060094454146E-2</v>
      </c>
      <c r="M150" s="4">
        <v>1.17</v>
      </c>
      <c r="N150" s="4">
        <v>1.17</v>
      </c>
      <c r="O150" s="60">
        <v>32</v>
      </c>
      <c r="P150" s="5">
        <v>0</v>
      </c>
      <c r="Q150" s="5">
        <v>0.19872330379945261</v>
      </c>
      <c r="R150" s="81" t="e">
        <f t="shared" ref="R150" si="115">((K150-D150)/D150)</f>
        <v>#DIV/0!</v>
      </c>
      <c r="S150" s="81" t="e">
        <f t="shared" ref="S150" si="116">((N150-G150)/G150)</f>
        <v>#DIV/0!</v>
      </c>
      <c r="T150" s="81" t="e">
        <f t="shared" ref="T150" si="117">((O150-H150)/H150)</f>
        <v>#DIV/0!</v>
      </c>
      <c r="U150" s="81">
        <f t="shared" ref="U150" si="118">P150-I150</f>
        <v>0</v>
      </c>
      <c r="V150" s="83">
        <f t="shared" ref="V150" si="119">Q150-J150</f>
        <v>0.19872330379945261</v>
      </c>
    </row>
    <row r="151" spans="1:22">
      <c r="A151" s="75">
        <v>128</v>
      </c>
      <c r="B151" s="116" t="s">
        <v>174</v>
      </c>
      <c r="C151" s="117" t="s">
        <v>45</v>
      </c>
      <c r="D151" s="4">
        <v>1787076915.1300001</v>
      </c>
      <c r="E151" s="3">
        <f t="shared" si="97"/>
        <v>4.0386419726777957E-2</v>
      </c>
      <c r="F151" s="4">
        <v>1.9813000000000001</v>
      </c>
      <c r="G151" s="4">
        <v>1.9958</v>
      </c>
      <c r="H151" s="60">
        <v>1934</v>
      </c>
      <c r="I151" s="5">
        <v>7.1400000000000005E-2</v>
      </c>
      <c r="J151" s="5">
        <v>7.1400000000000005E-2</v>
      </c>
      <c r="K151" s="4">
        <v>1842220924.9300001</v>
      </c>
      <c r="L151" s="16">
        <f t="shared" si="114"/>
        <v>3.9110620837908228E-2</v>
      </c>
      <c r="M151" s="4">
        <v>2.0106999999999999</v>
      </c>
      <c r="N151" s="4">
        <v>2.0255999999999998</v>
      </c>
      <c r="O151" s="60">
        <v>1963</v>
      </c>
      <c r="P151" s="5">
        <v>1.4800000000000001E-2</v>
      </c>
      <c r="Q151" s="5">
        <v>8.7300000000000003E-2</v>
      </c>
      <c r="R151" s="81">
        <f t="shared" si="109"/>
        <v>3.0857099284945174E-2</v>
      </c>
      <c r="S151" s="81">
        <f t="shared" si="110"/>
        <v>1.49313558472792E-2</v>
      </c>
      <c r="T151" s="81">
        <f t="shared" si="111"/>
        <v>1.4994829369183039E-2</v>
      </c>
      <c r="U151" s="81">
        <f t="shared" si="112"/>
        <v>-5.6600000000000004E-2</v>
      </c>
      <c r="V151" s="83">
        <f t="shared" si="113"/>
        <v>1.5899999999999997E-2</v>
      </c>
    </row>
    <row r="152" spans="1:22">
      <c r="A152" s="75">
        <v>129</v>
      </c>
      <c r="B152" s="116" t="s">
        <v>175</v>
      </c>
      <c r="C152" s="117" t="s">
        <v>45</v>
      </c>
      <c r="D152" s="4">
        <v>940768134.67999995</v>
      </c>
      <c r="E152" s="3">
        <f t="shared" si="97"/>
        <v>2.1260560433125273E-2</v>
      </c>
      <c r="F152" s="4">
        <v>1.5105</v>
      </c>
      <c r="G152" s="4">
        <v>1.5217000000000001</v>
      </c>
      <c r="H152" s="60">
        <v>459</v>
      </c>
      <c r="I152" s="5">
        <v>6.1699999999999998E-2</v>
      </c>
      <c r="J152" s="5">
        <v>6.1699999999999998E-2</v>
      </c>
      <c r="K152" s="4">
        <v>962414514.04999995</v>
      </c>
      <c r="L152" s="16">
        <f t="shared" si="114"/>
        <v>2.0432201501206757E-2</v>
      </c>
      <c r="M152" s="4">
        <v>1.5428999999999999</v>
      </c>
      <c r="N152" s="4">
        <v>1.5545</v>
      </c>
      <c r="O152" s="60">
        <v>489</v>
      </c>
      <c r="P152" s="5">
        <v>2.1499999999999998E-2</v>
      </c>
      <c r="Q152" s="5">
        <v>8.4500000000000006E-2</v>
      </c>
      <c r="R152" s="81">
        <f t="shared" si="109"/>
        <v>2.3009260807247654E-2</v>
      </c>
      <c r="S152" s="81">
        <f t="shared" si="110"/>
        <v>2.1554839981599488E-2</v>
      </c>
      <c r="T152" s="81">
        <f t="shared" si="111"/>
        <v>6.535947712418301E-2</v>
      </c>
      <c r="U152" s="81">
        <f t="shared" si="112"/>
        <v>-4.02E-2</v>
      </c>
      <c r="V152" s="83">
        <f t="shared" si="113"/>
        <v>2.2800000000000008E-2</v>
      </c>
    </row>
    <row r="153" spans="1:22">
      <c r="A153" s="75">
        <v>130</v>
      </c>
      <c r="B153" s="116" t="s">
        <v>176</v>
      </c>
      <c r="C153" s="117" t="s">
        <v>87</v>
      </c>
      <c r="D153" s="4">
        <v>7519164580.4300003</v>
      </c>
      <c r="E153" s="3">
        <f t="shared" si="97"/>
        <v>0.16992673016420098</v>
      </c>
      <c r="F153" s="4">
        <v>368.1</v>
      </c>
      <c r="G153" s="4">
        <v>372.51</v>
      </c>
      <c r="H153" s="60">
        <v>29</v>
      </c>
      <c r="I153" s="5">
        <v>5.8900000000000001E-2</v>
      </c>
      <c r="J153" s="5">
        <v>5.8900000000000001E-2</v>
      </c>
      <c r="K153" s="4">
        <v>7718678677.3199997</v>
      </c>
      <c r="L153" s="16">
        <f t="shared" si="114"/>
        <v>0.16386868210704983</v>
      </c>
      <c r="M153" s="4">
        <v>377.85</v>
      </c>
      <c r="N153" s="4">
        <v>382.41</v>
      </c>
      <c r="O153" s="60">
        <v>29</v>
      </c>
      <c r="P153" s="5">
        <v>8.6999999999999994E-2</v>
      </c>
      <c r="Q153" s="5">
        <v>8.6900000000000005E-2</v>
      </c>
      <c r="R153" s="81">
        <f t="shared" si="109"/>
        <v>2.6534077656615109E-2</v>
      </c>
      <c r="S153" s="81">
        <f t="shared" si="110"/>
        <v>2.657646774583242E-2</v>
      </c>
      <c r="T153" s="81">
        <f t="shared" si="111"/>
        <v>0</v>
      </c>
      <c r="U153" s="81">
        <f t="shared" si="112"/>
        <v>2.8099999999999993E-2</v>
      </c>
      <c r="V153" s="83">
        <f t="shared" si="113"/>
        <v>2.8000000000000004E-2</v>
      </c>
    </row>
    <row r="154" spans="1:22">
      <c r="A154" s="75">
        <v>131</v>
      </c>
      <c r="B154" s="116" t="s">
        <v>177</v>
      </c>
      <c r="C154" s="117" t="s">
        <v>40</v>
      </c>
      <c r="D154" s="2">
        <v>308911639.12</v>
      </c>
      <c r="E154" s="3">
        <f t="shared" si="97"/>
        <v>6.9811405487713619E-3</v>
      </c>
      <c r="F154" s="4">
        <v>213.78</v>
      </c>
      <c r="G154" s="4">
        <v>217.23</v>
      </c>
      <c r="H154" s="60">
        <v>688</v>
      </c>
      <c r="I154" s="5">
        <v>4.41E-2</v>
      </c>
      <c r="J154" s="5">
        <v>4.41E-2</v>
      </c>
      <c r="K154" s="2">
        <v>317850140.43000001</v>
      </c>
      <c r="L154" s="16">
        <f t="shared" si="114"/>
        <v>6.7480051699586319E-3</v>
      </c>
      <c r="M154" s="4">
        <v>219.95</v>
      </c>
      <c r="N154" s="4">
        <v>223.53</v>
      </c>
      <c r="O154" s="60">
        <v>689</v>
      </c>
      <c r="P154" s="5">
        <v>2.8899999999999999E-2</v>
      </c>
      <c r="Q154" s="5">
        <v>7.4200000000000002E-2</v>
      </c>
      <c r="R154" s="81">
        <f t="shared" si="109"/>
        <v>2.8935463019338508E-2</v>
      </c>
      <c r="S154" s="81">
        <f t="shared" si="110"/>
        <v>2.900151912719243E-2</v>
      </c>
      <c r="T154" s="81">
        <f t="shared" si="111"/>
        <v>1.4534883720930232E-3</v>
      </c>
      <c r="U154" s="81">
        <f t="shared" si="112"/>
        <v>-1.5200000000000002E-2</v>
      </c>
      <c r="V154" s="83">
        <f t="shared" si="113"/>
        <v>3.0100000000000002E-2</v>
      </c>
    </row>
    <row r="155" spans="1:22">
      <c r="A155" s="84"/>
      <c r="B155" s="19"/>
      <c r="C155" s="71" t="s">
        <v>46</v>
      </c>
      <c r="D155" s="72">
        <f>SUM(D129:D154)</f>
        <v>44249451355.676628</v>
      </c>
      <c r="E155" s="101">
        <f>(D155/$D$181)</f>
        <v>2.0701255162053102E-2</v>
      </c>
      <c r="F155" s="30"/>
      <c r="G155" s="36"/>
      <c r="H155" s="65">
        <f>SUM(H129:H154)</f>
        <v>70071</v>
      </c>
      <c r="I155" s="37"/>
      <c r="J155" s="37"/>
      <c r="K155" s="72">
        <f>SUM(K129:K154)</f>
        <v>47102830010.420479</v>
      </c>
      <c r="L155" s="101">
        <f>(K155/$K$181)</f>
        <v>2.1234662595405719E-2</v>
      </c>
      <c r="M155" s="30"/>
      <c r="N155" s="36"/>
      <c r="O155" s="65">
        <f>SUM(O129:O154)</f>
        <v>70406</v>
      </c>
      <c r="P155" s="37"/>
      <c r="Q155" s="37"/>
      <c r="R155" s="81">
        <f t="shared" si="109"/>
        <v>6.4483932960172158E-2</v>
      </c>
      <c r="S155" s="81" t="e">
        <f t="shared" si="110"/>
        <v>#DIV/0!</v>
      </c>
      <c r="T155" s="81">
        <f t="shared" si="111"/>
        <v>4.7808651225185886E-3</v>
      </c>
      <c r="U155" s="81">
        <f t="shared" si="112"/>
        <v>0</v>
      </c>
      <c r="V155" s="83">
        <f t="shared" si="113"/>
        <v>0</v>
      </c>
    </row>
    <row r="156" spans="1:22" ht="8.25" customHeight="1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</row>
    <row r="157" spans="1:22" ht="15" customHeight="1">
      <c r="A157" s="138" t="s">
        <v>178</v>
      </c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</row>
    <row r="158" spans="1:22">
      <c r="A158" s="75">
        <v>132</v>
      </c>
      <c r="B158" s="116" t="s">
        <v>179</v>
      </c>
      <c r="C158" s="117" t="s">
        <v>21</v>
      </c>
      <c r="D158" s="17">
        <v>777163995.95000005</v>
      </c>
      <c r="E158" s="3">
        <f>(D158/$D$161)</f>
        <v>0.16822760853253335</v>
      </c>
      <c r="F158" s="17">
        <v>54.839799999999997</v>
      </c>
      <c r="G158" s="17">
        <v>56.493299999999998</v>
      </c>
      <c r="H158" s="62">
        <v>1421</v>
      </c>
      <c r="I158" s="6">
        <v>0.35870000000000002</v>
      </c>
      <c r="J158" s="6">
        <v>0.41839999999999999</v>
      </c>
      <c r="K158" s="17">
        <v>840191277.26999998</v>
      </c>
      <c r="L158" s="16">
        <f>(K158/$K$161)</f>
        <v>0.1732908449768728</v>
      </c>
      <c r="M158" s="17">
        <v>57.729399999999998</v>
      </c>
      <c r="N158" s="17">
        <v>59.47</v>
      </c>
      <c r="O158" s="62">
        <v>1427</v>
      </c>
      <c r="P158" s="6">
        <v>1.7318</v>
      </c>
      <c r="Q158" s="6">
        <v>1.7907999999999999</v>
      </c>
      <c r="R158" s="81">
        <f t="shared" ref="R158" si="120">((K158-D158)/D158)</f>
        <v>8.1099075161035747E-2</v>
      </c>
      <c r="S158" s="81">
        <f t="shared" ref="S158" si="121">((N158-G158)/G158)</f>
        <v>5.2691204089688533E-2</v>
      </c>
      <c r="T158" s="81">
        <f t="shared" ref="T158" si="122">((O158-H158)/H158)</f>
        <v>4.22237860661506E-3</v>
      </c>
      <c r="U158" s="81">
        <f t="shared" ref="U158" si="123">P158-I158</f>
        <v>1.3731</v>
      </c>
      <c r="V158" s="83">
        <f t="shared" ref="V158" si="124">Q158-J158</f>
        <v>1.3723999999999998</v>
      </c>
    </row>
    <row r="159" spans="1:22">
      <c r="A159" s="75">
        <v>133</v>
      </c>
      <c r="B159" s="116" t="s">
        <v>180</v>
      </c>
      <c r="C159" s="117" t="s">
        <v>181</v>
      </c>
      <c r="D159" s="98">
        <v>838124075.89999998</v>
      </c>
      <c r="E159" s="3">
        <f>(D159/$D$161)</f>
        <v>0.18142323843739619</v>
      </c>
      <c r="F159" s="17">
        <v>22.660299999999999</v>
      </c>
      <c r="G159" s="17">
        <v>22.857600000000001</v>
      </c>
      <c r="H159" s="60">
        <v>1504</v>
      </c>
      <c r="I159" s="5">
        <v>5.6399999999999999E-2</v>
      </c>
      <c r="J159" s="5">
        <v>3.9699999999999999E-2</v>
      </c>
      <c r="K159" s="98">
        <v>858952357.73000002</v>
      </c>
      <c r="L159" s="16">
        <f>(K159/$K$161)</f>
        <v>0.17716034895001123</v>
      </c>
      <c r="M159" s="17">
        <v>23.543800000000001</v>
      </c>
      <c r="N159" s="17">
        <v>23.76</v>
      </c>
      <c r="O159" s="60">
        <v>1503</v>
      </c>
      <c r="P159" s="5">
        <v>6.4899999999999999E-2</v>
      </c>
      <c r="Q159" s="5">
        <v>8.0500000000000002E-2</v>
      </c>
      <c r="R159" s="81">
        <f t="shared" ref="R159:R161" si="125">((K159-D159)/D159)</f>
        <v>2.4851072089337223E-2</v>
      </c>
      <c r="S159" s="81">
        <f t="shared" ref="S159:S161" si="126">((N159-G159)/G159)</f>
        <v>3.9479210415791686E-2</v>
      </c>
      <c r="T159" s="81">
        <f t="shared" ref="T159:T161" si="127">((O159-H159)/H159)</f>
        <v>-6.6489361702127658E-4</v>
      </c>
      <c r="U159" s="81">
        <f t="shared" ref="U159:U161" si="128">P159-I159</f>
        <v>8.5000000000000006E-3</v>
      </c>
      <c r="V159" s="83">
        <f t="shared" ref="V159:V161" si="129">Q159-J159</f>
        <v>4.0800000000000003E-2</v>
      </c>
    </row>
    <row r="160" spans="1:22">
      <c r="A160" s="75">
        <v>134</v>
      </c>
      <c r="B160" s="116" t="s">
        <v>182</v>
      </c>
      <c r="C160" s="117" t="s">
        <v>42</v>
      </c>
      <c r="D160" s="9">
        <v>3004429242.8600001</v>
      </c>
      <c r="E160" s="3">
        <f>(D160/$D$161)</f>
        <v>0.65034915303007046</v>
      </c>
      <c r="F160" s="17">
        <v>2.17</v>
      </c>
      <c r="G160" s="17">
        <v>2.2000000000000002</v>
      </c>
      <c r="H160" s="60">
        <v>17841</v>
      </c>
      <c r="I160" s="5">
        <v>5.7700000000000001E-2</v>
      </c>
      <c r="J160" s="5">
        <v>5.7700000000000001E-2</v>
      </c>
      <c r="K160" s="9">
        <v>3149302209.8000002</v>
      </c>
      <c r="L160" s="16">
        <f>(K160/$K$161)</f>
        <v>0.64954880607311594</v>
      </c>
      <c r="M160" s="17">
        <v>2.25</v>
      </c>
      <c r="N160" s="17">
        <v>2.2799999999999998</v>
      </c>
      <c r="O160" s="60">
        <v>17851</v>
      </c>
      <c r="P160" s="5">
        <v>3.6400000000000002E-2</v>
      </c>
      <c r="Q160" s="5">
        <v>9.6199999999999994E-2</v>
      </c>
      <c r="R160" s="81">
        <f t="shared" si="125"/>
        <v>4.8219796583424089E-2</v>
      </c>
      <c r="S160" s="81">
        <f t="shared" si="126"/>
        <v>3.6363636363636188E-2</v>
      </c>
      <c r="T160" s="81">
        <f t="shared" si="127"/>
        <v>5.6050669805504172E-4</v>
      </c>
      <c r="U160" s="81">
        <f t="shared" si="128"/>
        <v>-2.1299999999999999E-2</v>
      </c>
      <c r="V160" s="83">
        <f t="shared" si="129"/>
        <v>3.8499999999999993E-2</v>
      </c>
    </row>
    <row r="161" spans="1:24">
      <c r="A161" s="75"/>
      <c r="B161" s="19"/>
      <c r="C161" s="66" t="s">
        <v>46</v>
      </c>
      <c r="D161" s="72">
        <f>SUM(D158:D160)</f>
        <v>4619717314.71</v>
      </c>
      <c r="E161" s="101">
        <f>(D161/$D$181)</f>
        <v>2.1612459359023873E-3</v>
      </c>
      <c r="F161" s="30"/>
      <c r="G161" s="36"/>
      <c r="H161" s="65">
        <f>SUM(H158:H160)</f>
        <v>20766</v>
      </c>
      <c r="I161" s="37"/>
      <c r="J161" s="37"/>
      <c r="K161" s="72">
        <f>SUM(K158:K160)</f>
        <v>4848445844.8000002</v>
      </c>
      <c r="L161" s="101">
        <f>(K161/$K$181)</f>
        <v>2.1857521427831039E-3</v>
      </c>
      <c r="M161" s="30"/>
      <c r="N161" s="36"/>
      <c r="O161" s="65">
        <f>SUM(O158:O160)</f>
        <v>20781</v>
      </c>
      <c r="P161" s="37"/>
      <c r="Q161" s="37"/>
      <c r="R161" s="81">
        <f t="shared" si="125"/>
        <v>4.9511369312942137E-2</v>
      </c>
      <c r="S161" s="81" t="e">
        <f t="shared" si="126"/>
        <v>#DIV/0!</v>
      </c>
      <c r="T161" s="81">
        <f t="shared" si="127"/>
        <v>7.2233458537994801E-4</v>
      </c>
      <c r="U161" s="81">
        <f t="shared" si="128"/>
        <v>0</v>
      </c>
      <c r="V161" s="83">
        <f t="shared" si="129"/>
        <v>0</v>
      </c>
    </row>
    <row r="162" spans="1:24" ht="6" customHeight="1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</row>
    <row r="163" spans="1:24" ht="15" customHeight="1">
      <c r="A163" s="138" t="s">
        <v>183</v>
      </c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</row>
    <row r="164" spans="1:24">
      <c r="A164" s="139" t="s">
        <v>232</v>
      </c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</row>
    <row r="165" spans="1:24">
      <c r="A165" s="75">
        <v>135</v>
      </c>
      <c r="B165" s="116" t="s">
        <v>184</v>
      </c>
      <c r="C165" s="117" t="s">
        <v>185</v>
      </c>
      <c r="D165" s="13">
        <v>3784627872.8899999</v>
      </c>
      <c r="E165" s="3">
        <f>(D165/$D$180)</f>
        <v>7.9114232605079354E-2</v>
      </c>
      <c r="F165" s="18">
        <v>1.84</v>
      </c>
      <c r="G165" s="18">
        <v>1.87</v>
      </c>
      <c r="H165" s="61">
        <v>14974</v>
      </c>
      <c r="I165" s="12">
        <v>8.6999999999999994E-3</v>
      </c>
      <c r="J165" s="12">
        <v>8.6999999999999994E-3</v>
      </c>
      <c r="K165" s="13">
        <v>3806387952.5599999</v>
      </c>
      <c r="L165" s="3">
        <f>(K165/$K$180)</f>
        <v>8.1491093256718924E-2</v>
      </c>
      <c r="M165" s="18">
        <v>1.86</v>
      </c>
      <c r="N165" s="18">
        <v>1.89</v>
      </c>
      <c r="O165" s="61">
        <v>14970</v>
      </c>
      <c r="P165" s="12">
        <v>9.5999999999999992E-3</v>
      </c>
      <c r="Q165" s="12">
        <v>1.84E-2</v>
      </c>
      <c r="R165" s="81">
        <f t="shared" ref="R165" si="130">((K165-D165)/D165)</f>
        <v>5.7495955747384345E-3</v>
      </c>
      <c r="S165" s="81">
        <f t="shared" ref="S165:S166" si="131">((N165-G165)/G165)</f>
        <v>1.0695187165775291E-2</v>
      </c>
      <c r="T165" s="81">
        <f t="shared" ref="T165" si="132">((O165-H165)/H165)</f>
        <v>-2.6712969146520634E-4</v>
      </c>
      <c r="U165" s="81">
        <f t="shared" ref="U165" si="133">P165-I165</f>
        <v>8.9999999999999976E-4</v>
      </c>
      <c r="V165" s="83">
        <f t="shared" ref="V165" si="134">Q165-J165</f>
        <v>9.7000000000000003E-3</v>
      </c>
    </row>
    <row r="166" spans="1:24">
      <c r="A166" s="75">
        <v>136</v>
      </c>
      <c r="B166" s="116" t="s">
        <v>186</v>
      </c>
      <c r="C166" s="117" t="s">
        <v>42</v>
      </c>
      <c r="D166" s="13">
        <v>585935825.32000005</v>
      </c>
      <c r="E166" s="3">
        <f>(D166/$D$180)</f>
        <v>1.2248460015863485E-2</v>
      </c>
      <c r="F166" s="18">
        <v>395.7</v>
      </c>
      <c r="G166" s="18">
        <v>400.71</v>
      </c>
      <c r="H166" s="61">
        <v>1333</v>
      </c>
      <c r="I166" s="12">
        <v>4.9299999999999997E-2</v>
      </c>
      <c r="J166" s="12">
        <v>4.9299999999999997E-2</v>
      </c>
      <c r="K166" s="13">
        <v>611014027.80999994</v>
      </c>
      <c r="L166" s="3">
        <f>(K166/$K$180)</f>
        <v>1.3081220764147342E-2</v>
      </c>
      <c r="M166" s="18">
        <v>411.8</v>
      </c>
      <c r="N166" s="18">
        <v>417.03</v>
      </c>
      <c r="O166" s="61">
        <v>1344</v>
      </c>
      <c r="P166" s="12">
        <v>4.07E-2</v>
      </c>
      <c r="Q166" s="12">
        <v>9.2100000000000001E-2</v>
      </c>
      <c r="R166" s="81">
        <f t="shared" ref="R166" si="135">((K166-D166)/D166)</f>
        <v>4.2800254577886249E-2</v>
      </c>
      <c r="S166" s="81">
        <f t="shared" si="131"/>
        <v>4.0727708317736006E-2</v>
      </c>
      <c r="T166" s="81">
        <f t="shared" ref="T166" si="136">((O166-H166)/H166)</f>
        <v>8.2520630157539385E-3</v>
      </c>
      <c r="U166" s="81">
        <f t="shared" ref="U166" si="137">P166-I166</f>
        <v>-8.5999999999999965E-3</v>
      </c>
      <c r="V166" s="83">
        <f t="shared" ref="V166" si="138">Q166-J166</f>
        <v>4.2800000000000005E-2</v>
      </c>
    </row>
    <row r="167" spans="1:24" ht="6" customHeight="1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</row>
    <row r="168" spans="1:24" ht="15" customHeight="1">
      <c r="A168" s="139" t="s">
        <v>231</v>
      </c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</row>
    <row r="169" spans="1:24">
      <c r="A169" s="75">
        <v>137</v>
      </c>
      <c r="B169" s="116" t="s">
        <v>187</v>
      </c>
      <c r="C169" s="117" t="s">
        <v>188</v>
      </c>
      <c r="D169" s="2">
        <v>407289465.79000002</v>
      </c>
      <c r="E169" s="3">
        <f t="shared" ref="E169:E179" si="139">(D169/$D$180)</f>
        <v>8.5140189779089326E-3</v>
      </c>
      <c r="F169" s="2">
        <v>1030.8900000000001</v>
      </c>
      <c r="G169" s="2">
        <v>1030.8900000000001</v>
      </c>
      <c r="H169" s="60">
        <v>21</v>
      </c>
      <c r="I169" s="5">
        <v>1.4E-3</v>
      </c>
      <c r="J169" s="5">
        <v>1.4E-3</v>
      </c>
      <c r="K169" s="2">
        <v>408046817.85000002</v>
      </c>
      <c r="L169" s="3">
        <f t="shared" ref="L169:L179" si="140">(K169/$K$180)</f>
        <v>8.7358886432366625E-3</v>
      </c>
      <c r="M169" s="2">
        <v>1032.81</v>
      </c>
      <c r="N169" s="2">
        <v>1032.81</v>
      </c>
      <c r="O169" s="60">
        <v>21</v>
      </c>
      <c r="P169" s="5">
        <v>2E-3</v>
      </c>
      <c r="Q169" s="5">
        <v>3.3E-3</v>
      </c>
      <c r="R169" s="81">
        <f t="shared" ref="R169" si="141">((K169-D169)/D169)</f>
        <v>1.8594933667901343E-3</v>
      </c>
      <c r="S169" s="81">
        <f t="shared" ref="S169" si="142">((N169-G169)/G169)</f>
        <v>1.8624683525883898E-3</v>
      </c>
      <c r="T169" s="81">
        <f t="shared" ref="T169" si="143">((O169-H169)/H169)</f>
        <v>0</v>
      </c>
      <c r="U169" s="81">
        <f t="shared" ref="U169" si="144">P169-I169</f>
        <v>6.0000000000000006E-4</v>
      </c>
      <c r="V169" s="83">
        <f t="shared" ref="V169" si="145">Q169-J169</f>
        <v>1.9E-3</v>
      </c>
      <c r="X169" s="70"/>
    </row>
    <row r="170" spans="1:24">
      <c r="A170" s="75">
        <v>138</v>
      </c>
      <c r="B170" s="116" t="s">
        <v>189</v>
      </c>
      <c r="C170" s="117" t="s">
        <v>58</v>
      </c>
      <c r="D170" s="2">
        <v>109215811.40000001</v>
      </c>
      <c r="E170" s="3">
        <f t="shared" si="139"/>
        <v>2.2830580436047046E-3</v>
      </c>
      <c r="F170" s="17">
        <v>109.55</v>
      </c>
      <c r="G170" s="17">
        <v>109.55</v>
      </c>
      <c r="H170" s="60">
        <v>64</v>
      </c>
      <c r="I170" s="5">
        <v>1.9E-3</v>
      </c>
      <c r="J170" s="5">
        <v>0.1004</v>
      </c>
      <c r="K170" s="2">
        <v>108069230.56</v>
      </c>
      <c r="L170" s="3">
        <f t="shared" si="140"/>
        <v>2.3136579496117454E-3</v>
      </c>
      <c r="M170" s="17">
        <v>109.72</v>
      </c>
      <c r="N170" s="17">
        <v>109.72</v>
      </c>
      <c r="O170" s="60">
        <v>65</v>
      </c>
      <c r="P170" s="5">
        <v>1.6000000000000001E-3</v>
      </c>
      <c r="Q170" s="5">
        <v>9.0899999999999995E-2</v>
      </c>
      <c r="R170" s="81">
        <f t="shared" ref="R170:R181" si="146">((K170-D170)/D170)</f>
        <v>-1.0498304460703788E-2</v>
      </c>
      <c r="S170" s="81">
        <f t="shared" ref="S170:S180" si="147">((N170-G170)/G170)</f>
        <v>1.5518028297581169E-3</v>
      </c>
      <c r="T170" s="81">
        <f t="shared" ref="T170:T180" si="148">((O170-H170)/H170)</f>
        <v>1.5625E-2</v>
      </c>
      <c r="U170" s="81">
        <f t="shared" ref="U170:U180" si="149">P170-I170</f>
        <v>-2.9999999999999992E-4</v>
      </c>
      <c r="V170" s="83">
        <f t="shared" ref="V170:V180" si="150">Q170-J170</f>
        <v>-9.5000000000000084E-3</v>
      </c>
    </row>
    <row r="171" spans="1:24">
      <c r="A171" s="75">
        <v>139</v>
      </c>
      <c r="B171" s="122" t="s">
        <v>190</v>
      </c>
      <c r="C171" s="117" t="s">
        <v>64</v>
      </c>
      <c r="D171" s="9">
        <v>50542391.899999999</v>
      </c>
      <c r="E171" s="3">
        <f t="shared" si="139"/>
        <v>1.0565431222014092E-3</v>
      </c>
      <c r="F171" s="17">
        <v>96.52</v>
      </c>
      <c r="G171" s="17">
        <v>96.59</v>
      </c>
      <c r="H171" s="60">
        <v>12</v>
      </c>
      <c r="I171" s="5">
        <v>1.6000000000000001E-3</v>
      </c>
      <c r="J171" s="5">
        <v>1.6000000000000001E-3</v>
      </c>
      <c r="K171" s="9">
        <v>55452506.75</v>
      </c>
      <c r="L171" s="3">
        <f t="shared" si="140"/>
        <v>1.1871846630462071E-3</v>
      </c>
      <c r="M171" s="17">
        <v>99.93</v>
      </c>
      <c r="N171" s="17">
        <v>100.44</v>
      </c>
      <c r="O171" s="60">
        <v>12</v>
      </c>
      <c r="P171" s="5">
        <v>2.0999999999999999E-3</v>
      </c>
      <c r="Q171" s="5">
        <v>3.9300000000000002E-2</v>
      </c>
      <c r="R171" s="81">
        <f t="shared" si="146"/>
        <v>9.7148446391592355E-2</v>
      </c>
      <c r="S171" s="81">
        <f t="shared" si="147"/>
        <v>3.9859198674810997E-2</v>
      </c>
      <c r="T171" s="81">
        <f t="shared" si="148"/>
        <v>0</v>
      </c>
      <c r="U171" s="81">
        <f t="shared" si="149"/>
        <v>4.9999999999999979E-4</v>
      </c>
      <c r="V171" s="83">
        <f t="shared" si="150"/>
        <v>3.7700000000000004E-2</v>
      </c>
    </row>
    <row r="172" spans="1:24">
      <c r="A172" s="75">
        <v>140</v>
      </c>
      <c r="B172" s="116" t="s">
        <v>191</v>
      </c>
      <c r="C172" s="117" t="s">
        <v>27</v>
      </c>
      <c r="D172" s="2">
        <v>9740878013.5599995</v>
      </c>
      <c r="E172" s="3">
        <f t="shared" si="139"/>
        <v>0.20362427029160335</v>
      </c>
      <c r="F172" s="17">
        <v>133.91999999999999</v>
      </c>
      <c r="G172" s="17">
        <v>133.91999999999999</v>
      </c>
      <c r="H172" s="60">
        <v>628</v>
      </c>
      <c r="I172" s="5">
        <v>1.9E-3</v>
      </c>
      <c r="J172" s="5">
        <v>0.1305</v>
      </c>
      <c r="K172" s="2">
        <v>8660405494.2099991</v>
      </c>
      <c r="L172" s="3">
        <f t="shared" si="140"/>
        <v>0.18541092515149857</v>
      </c>
      <c r="M172" s="17">
        <v>134.24</v>
      </c>
      <c r="N172" s="17">
        <v>134.24</v>
      </c>
      <c r="O172" s="60">
        <v>635</v>
      </c>
      <c r="P172" s="5">
        <v>2.3999999999999998E-3</v>
      </c>
      <c r="Q172" s="5">
        <v>0.13170000000000001</v>
      </c>
      <c r="R172" s="81">
        <f t="shared" si="146"/>
        <v>-0.11092147112877354</v>
      </c>
      <c r="S172" s="81">
        <f t="shared" si="147"/>
        <v>2.389486260454164E-3</v>
      </c>
      <c r="T172" s="81">
        <f t="shared" si="148"/>
        <v>1.1146496815286623E-2</v>
      </c>
      <c r="U172" s="81">
        <f t="shared" si="149"/>
        <v>4.9999999999999979E-4</v>
      </c>
      <c r="V172" s="83">
        <f t="shared" si="150"/>
        <v>1.2000000000000066E-3</v>
      </c>
    </row>
    <row r="173" spans="1:24">
      <c r="A173" s="75">
        <v>141</v>
      </c>
      <c r="B173" s="116" t="s">
        <v>249</v>
      </c>
      <c r="C173" s="117" t="s">
        <v>56</v>
      </c>
      <c r="D173" s="2">
        <v>206284277.598685</v>
      </c>
      <c r="E173" s="3">
        <f t="shared" si="139"/>
        <v>4.3121867905736551E-3</v>
      </c>
      <c r="F173" s="4">
        <v>1030.9630687218901</v>
      </c>
      <c r="G173" s="4">
        <v>1030.9630687218901</v>
      </c>
      <c r="H173" s="60">
        <v>6</v>
      </c>
      <c r="I173" s="5">
        <v>0.11815642494115383</v>
      </c>
      <c r="J173" s="5">
        <v>0.11809261681062476</v>
      </c>
      <c r="K173" s="2">
        <v>207249161.85922799</v>
      </c>
      <c r="L173" s="3">
        <f t="shared" si="140"/>
        <v>4.4370045793909289E-3</v>
      </c>
      <c r="M173" s="4">
        <v>1033.2850925724899</v>
      </c>
      <c r="N173" s="4">
        <v>1033.2850925724899</v>
      </c>
      <c r="O173" s="60">
        <v>7</v>
      </c>
      <c r="P173" s="5">
        <v>0.11776239062335354</v>
      </c>
      <c r="Q173" s="5">
        <v>0.11776239062335354</v>
      </c>
      <c r="R173" s="81">
        <f t="shared" si="146"/>
        <v>4.6774493518120632E-3</v>
      </c>
      <c r="S173" s="81">
        <f t="shared" si="147"/>
        <v>2.2522861594630461E-3</v>
      </c>
      <c r="T173" s="81">
        <f t="shared" si="148"/>
        <v>0.16666666666666666</v>
      </c>
      <c r="U173" s="81">
        <f t="shared" si="149"/>
        <v>-3.9403431780028753E-4</v>
      </c>
      <c r="V173" s="83">
        <f t="shared" si="150"/>
        <v>-3.3022618727121533E-4</v>
      </c>
    </row>
    <row r="174" spans="1:24">
      <c r="A174" s="75">
        <v>142</v>
      </c>
      <c r="B174" s="116" t="s">
        <v>192</v>
      </c>
      <c r="C174" s="117" t="s">
        <v>185</v>
      </c>
      <c r="D174" s="2">
        <v>18283310440.810001</v>
      </c>
      <c r="E174" s="3">
        <f t="shared" si="139"/>
        <v>0.38219611639137768</v>
      </c>
      <c r="F174" s="7">
        <v>1217.67</v>
      </c>
      <c r="G174" s="7">
        <v>1217.67</v>
      </c>
      <c r="H174" s="60">
        <v>7453</v>
      </c>
      <c r="I174" s="5">
        <v>5.0000000000000001E-4</v>
      </c>
      <c r="J174" s="5">
        <v>1.8E-3</v>
      </c>
      <c r="K174" s="2">
        <v>18424576501.830002</v>
      </c>
      <c r="L174" s="3">
        <f t="shared" si="140"/>
        <v>0.3944524049148439</v>
      </c>
      <c r="M174" s="7">
        <v>1227.31</v>
      </c>
      <c r="N174" s="7">
        <v>1227.31</v>
      </c>
      <c r="O174" s="60">
        <v>7497</v>
      </c>
      <c r="P174" s="5">
        <v>7.9000000000000008E-3</v>
      </c>
      <c r="Q174" s="5">
        <v>9.7000000000000003E-3</v>
      </c>
      <c r="R174" s="81">
        <f t="shared" si="146"/>
        <v>7.7265034402458016E-3</v>
      </c>
      <c r="S174" s="81">
        <f t="shared" si="147"/>
        <v>7.9167590562302364E-3</v>
      </c>
      <c r="T174" s="81">
        <f t="shared" si="148"/>
        <v>5.9036629545149606E-3</v>
      </c>
      <c r="U174" s="81">
        <f t="shared" si="149"/>
        <v>7.4000000000000003E-3</v>
      </c>
      <c r="V174" s="83">
        <f t="shared" si="150"/>
        <v>7.9000000000000008E-3</v>
      </c>
    </row>
    <row r="175" spans="1:24">
      <c r="A175" s="75">
        <v>143</v>
      </c>
      <c r="B175" s="116" t="s">
        <v>193</v>
      </c>
      <c r="C175" s="117" t="s">
        <v>78</v>
      </c>
      <c r="D175" s="2">
        <v>944751864.14999998</v>
      </c>
      <c r="E175" s="3">
        <f t="shared" si="139"/>
        <v>1.9749185717794306E-2</v>
      </c>
      <c r="F175" s="14">
        <v>102.26</v>
      </c>
      <c r="G175" s="14">
        <v>102.26</v>
      </c>
      <c r="H175" s="60">
        <v>529</v>
      </c>
      <c r="I175" s="5">
        <v>1.1999999999999999E-3</v>
      </c>
      <c r="J175" s="5">
        <v>1.1999999999999999E-3</v>
      </c>
      <c r="K175" s="2">
        <v>948377003.74999988</v>
      </c>
      <c r="L175" s="3">
        <f t="shared" si="140"/>
        <v>2.0303836555372948E-2</v>
      </c>
      <c r="M175" s="14">
        <v>102.48</v>
      </c>
      <c r="N175" s="14">
        <v>102.48</v>
      </c>
      <c r="O175" s="60">
        <v>532</v>
      </c>
      <c r="P175" s="5">
        <v>2.2000000000000001E-3</v>
      </c>
      <c r="Q175" s="5">
        <v>3.3999999999999998E-3</v>
      </c>
      <c r="R175" s="81">
        <f t="shared" si="146"/>
        <v>3.8371341063840807E-3</v>
      </c>
      <c r="S175" s="81">
        <f t="shared" si="147"/>
        <v>2.1513788382554163E-3</v>
      </c>
      <c r="T175" s="81">
        <f t="shared" si="148"/>
        <v>5.6710775047258983E-3</v>
      </c>
      <c r="U175" s="81">
        <f t="shared" si="149"/>
        <v>1.0000000000000002E-3</v>
      </c>
      <c r="V175" s="83">
        <f t="shared" si="150"/>
        <v>2.1999999999999997E-3</v>
      </c>
    </row>
    <row r="176" spans="1:24" ht="15.75" customHeight="1">
      <c r="A176" s="75">
        <v>144</v>
      </c>
      <c r="B176" s="116" t="s">
        <v>194</v>
      </c>
      <c r="C176" s="117" t="s">
        <v>42</v>
      </c>
      <c r="D176" s="2">
        <v>8158937006.7200003</v>
      </c>
      <c r="E176" s="3">
        <f t="shared" si="139"/>
        <v>0.17055522017992525</v>
      </c>
      <c r="F176" s="14">
        <v>128.41999999999999</v>
      </c>
      <c r="G176" s="14">
        <v>128.41999999999999</v>
      </c>
      <c r="H176" s="60">
        <v>1950</v>
      </c>
      <c r="I176" s="5">
        <v>1.4E-3</v>
      </c>
      <c r="J176" s="5">
        <v>1.4E-3</v>
      </c>
      <c r="K176" s="2">
        <v>8017938792.1700001</v>
      </c>
      <c r="L176" s="3">
        <f t="shared" si="140"/>
        <v>0.17165633298096941</v>
      </c>
      <c r="M176" s="14">
        <v>128.59</v>
      </c>
      <c r="N176" s="14">
        <v>128.59</v>
      </c>
      <c r="O176" s="60">
        <v>1951</v>
      </c>
      <c r="P176" s="5">
        <v>1.2999999999999999E-3</v>
      </c>
      <c r="Q176" s="5">
        <v>2.5000000000000001E-3</v>
      </c>
      <c r="R176" s="81">
        <f t="shared" si="146"/>
        <v>-1.7281444192284962E-2</v>
      </c>
      <c r="S176" s="81">
        <f t="shared" si="147"/>
        <v>1.3237813424701443E-3</v>
      </c>
      <c r="T176" s="81">
        <f t="shared" si="148"/>
        <v>5.1282051282051282E-4</v>
      </c>
      <c r="U176" s="81">
        <f t="shared" si="149"/>
        <v>-1.0000000000000005E-4</v>
      </c>
      <c r="V176" s="83">
        <f t="shared" si="150"/>
        <v>1.1000000000000001E-3</v>
      </c>
    </row>
    <row r="177" spans="1:22">
      <c r="A177" s="75">
        <v>145</v>
      </c>
      <c r="B177" s="116" t="s">
        <v>195</v>
      </c>
      <c r="C177" s="117" t="s">
        <v>45</v>
      </c>
      <c r="D177" s="2">
        <v>5106701651.1499996</v>
      </c>
      <c r="E177" s="3">
        <f t="shared" si="139"/>
        <v>0.10675099265844426</v>
      </c>
      <c r="F177" s="14">
        <v>1.1812</v>
      </c>
      <c r="G177" s="14">
        <v>1.1812</v>
      </c>
      <c r="H177" s="60">
        <v>586</v>
      </c>
      <c r="I177" s="5">
        <v>9.7199999999999995E-2</v>
      </c>
      <c r="J177" s="5">
        <v>9.7199999999999995E-2</v>
      </c>
      <c r="K177" s="2">
        <v>4972158352.7799997</v>
      </c>
      <c r="L177" s="3">
        <f t="shared" si="140"/>
        <v>0.10644911266626388</v>
      </c>
      <c r="M177" s="14">
        <v>1.1833</v>
      </c>
      <c r="N177" s="14">
        <v>1.1833</v>
      </c>
      <c r="O177" s="60">
        <v>597</v>
      </c>
      <c r="P177" s="5">
        <v>9.7100000000000006E-2</v>
      </c>
      <c r="Q177" s="5">
        <v>9.7100000000000006E-2</v>
      </c>
      <c r="R177" s="81">
        <f t="shared" si="146"/>
        <v>-2.6346418404862463E-2</v>
      </c>
      <c r="S177" s="81">
        <f t="shared" si="147"/>
        <v>1.7778530308161114E-3</v>
      </c>
      <c r="T177" s="81">
        <f t="shared" si="148"/>
        <v>1.877133105802048E-2</v>
      </c>
      <c r="U177" s="81">
        <f t="shared" si="149"/>
        <v>-9.9999999999988987E-5</v>
      </c>
      <c r="V177" s="83">
        <f t="shared" si="150"/>
        <v>-9.9999999999988987E-5</v>
      </c>
    </row>
    <row r="178" spans="1:22">
      <c r="A178" s="75">
        <v>146</v>
      </c>
      <c r="B178" s="116" t="s">
        <v>196</v>
      </c>
      <c r="C178" s="117" t="s">
        <v>197</v>
      </c>
      <c r="D178" s="2">
        <v>340755119.62</v>
      </c>
      <c r="E178" s="3">
        <f t="shared" si="139"/>
        <v>7.1231784736612257E-3</v>
      </c>
      <c r="F178" s="18">
        <v>99.787300000000002</v>
      </c>
      <c r="G178" s="18">
        <v>100.0844</v>
      </c>
      <c r="H178" s="61">
        <v>160</v>
      </c>
      <c r="I178" s="5">
        <v>6.1110000000000001E-3</v>
      </c>
      <c r="J178" s="5">
        <v>-2.1299999999999999E-3</v>
      </c>
      <c r="K178" s="2">
        <v>354895444.62</v>
      </c>
      <c r="L178" s="3">
        <f t="shared" si="140"/>
        <v>7.5979690284754993E-3</v>
      </c>
      <c r="M178" s="18">
        <v>100.32680000000001</v>
      </c>
      <c r="N178" s="18">
        <v>100.6173</v>
      </c>
      <c r="O178" s="61">
        <v>173</v>
      </c>
      <c r="P178" s="5">
        <v>5.3290000000000004E-3</v>
      </c>
      <c r="Q178" s="5">
        <v>3.2699999999999999E-3</v>
      </c>
      <c r="R178" s="81">
        <f t="shared" ref="R178" si="151">((K178-D178)/D178)</f>
        <v>4.1497028762968756E-2</v>
      </c>
      <c r="S178" s="81">
        <f t="shared" ref="S178" si="152">((N178-G178)/G178)</f>
        <v>5.3245061168373685E-3</v>
      </c>
      <c r="T178" s="81">
        <f t="shared" ref="T178" si="153">((O178-H178)/H178)</f>
        <v>8.1250000000000003E-2</v>
      </c>
      <c r="U178" s="81">
        <f t="shared" ref="U178" si="154">P178-I178</f>
        <v>-7.8199999999999971E-4</v>
      </c>
      <c r="V178" s="83">
        <f t="shared" ref="V178" si="155">Q178-J178</f>
        <v>5.4000000000000003E-3</v>
      </c>
    </row>
    <row r="179" spans="1:22">
      <c r="A179" s="75">
        <v>147</v>
      </c>
      <c r="B179" s="116" t="s">
        <v>244</v>
      </c>
      <c r="C179" s="117" t="s">
        <v>197</v>
      </c>
      <c r="D179" s="2">
        <v>118280000</v>
      </c>
      <c r="E179" s="3">
        <f t="shared" si="139"/>
        <v>2.4725367319622777E-3</v>
      </c>
      <c r="F179" s="18">
        <v>100.1414</v>
      </c>
      <c r="G179" s="18">
        <v>100.1414</v>
      </c>
      <c r="H179" s="61">
        <v>57</v>
      </c>
      <c r="I179" s="5">
        <v>-6.8999999999999997E-5</v>
      </c>
      <c r="J179" s="5">
        <v>1.4139999999999999E-3</v>
      </c>
      <c r="K179" s="2">
        <v>134680000</v>
      </c>
      <c r="L179" s="3">
        <f t="shared" si="140"/>
        <v>2.8833688464239386E-3</v>
      </c>
      <c r="M179" s="18">
        <v>100.1319</v>
      </c>
      <c r="N179" s="18">
        <v>100.1319</v>
      </c>
      <c r="O179" s="61">
        <v>61</v>
      </c>
      <c r="P179" s="5">
        <v>-6.3E-5</v>
      </c>
      <c r="Q179" s="5">
        <v>1.3190000000000001E-3</v>
      </c>
      <c r="R179" s="81">
        <f t="shared" si="146"/>
        <v>0.1386540412580318</v>
      </c>
      <c r="S179" s="81">
        <f t="shared" si="147"/>
        <v>-9.4865859674447616E-5</v>
      </c>
      <c r="T179" s="81">
        <f t="shared" si="148"/>
        <v>7.0175438596491224E-2</v>
      </c>
      <c r="U179" s="81">
        <f t="shared" si="149"/>
        <v>5.9999999999999968E-6</v>
      </c>
      <c r="V179" s="83">
        <f t="shared" si="150"/>
        <v>-9.4999999999999815E-5</v>
      </c>
    </row>
    <row r="180" spans="1:22">
      <c r="A180" s="85"/>
      <c r="B180" s="19"/>
      <c r="C180" s="66" t="s">
        <v>46</v>
      </c>
      <c r="D180" s="59">
        <f>SUM(D165:D179)</f>
        <v>47837509740.908691</v>
      </c>
      <c r="E180" s="101">
        <f>(D180/$D$181)</f>
        <v>2.2379859300486207E-2</v>
      </c>
      <c r="F180" s="30"/>
      <c r="G180" s="34"/>
      <c r="H180" s="68">
        <f>SUM(H165:H179)</f>
        <v>27773</v>
      </c>
      <c r="I180" s="35"/>
      <c r="J180" s="35"/>
      <c r="K180" s="59">
        <f>SUM(K165:K179)</f>
        <v>46709251286.749229</v>
      </c>
      <c r="L180" s="101">
        <f>(K180/$K$181)</f>
        <v>2.105723140071868E-2</v>
      </c>
      <c r="M180" s="30"/>
      <c r="N180" s="34"/>
      <c r="O180" s="68">
        <f>SUM(O165:O179)</f>
        <v>27865</v>
      </c>
      <c r="P180" s="35"/>
      <c r="Q180" s="35"/>
      <c r="R180" s="81">
        <f t="shared" si="146"/>
        <v>-2.3585225490837396E-2</v>
      </c>
      <c r="S180" s="81" t="e">
        <f t="shared" si="147"/>
        <v>#DIV/0!</v>
      </c>
      <c r="T180" s="81">
        <f t="shared" si="148"/>
        <v>3.3125697619990637E-3</v>
      </c>
      <c r="U180" s="81">
        <f t="shared" si="149"/>
        <v>0</v>
      </c>
      <c r="V180" s="83">
        <f t="shared" si="150"/>
        <v>0</v>
      </c>
    </row>
    <row r="181" spans="1:22">
      <c r="A181" s="86"/>
      <c r="B181" s="38"/>
      <c r="C181" s="67" t="s">
        <v>198</v>
      </c>
      <c r="D181" s="69">
        <f>SUM(D22,D55,D90,D118,D126,D155,D161,D180)</f>
        <v>2137525044219.979</v>
      </c>
      <c r="E181" s="39"/>
      <c r="F181" s="39"/>
      <c r="G181" s="40"/>
      <c r="H181" s="69">
        <f>SUM(H22,H55,H90,H118,H126,H155,H161,H180)</f>
        <v>770592</v>
      </c>
      <c r="I181" s="41"/>
      <c r="J181" s="41"/>
      <c r="K181" s="69">
        <f>SUM(K22,K55,K90,K118,K126,K155,K161,K180)</f>
        <v>2218204777155.7969</v>
      </c>
      <c r="L181" s="39"/>
      <c r="M181" s="39"/>
      <c r="N181" s="40"/>
      <c r="O181" s="69">
        <f>SUM(O22,O55,O90,O118,O126,O155,O161,O180)</f>
        <v>772964</v>
      </c>
      <c r="P181" s="42"/>
      <c r="Q181" s="69"/>
      <c r="R181" s="25">
        <f t="shared" si="146"/>
        <v>3.7744462060915571E-2</v>
      </c>
      <c r="S181" s="25"/>
      <c r="T181" s="25"/>
      <c r="U181" s="25"/>
      <c r="V181" s="25"/>
    </row>
    <row r="182" spans="1:22" ht="6.75" customHeight="1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9"/>
    </row>
    <row r="183" spans="1:22" ht="15.75">
      <c r="A183" s="138" t="s">
        <v>199</v>
      </c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</row>
    <row r="184" spans="1:22">
      <c r="A184" s="75">
        <v>1</v>
      </c>
      <c r="B184" s="116" t="s">
        <v>200</v>
      </c>
      <c r="C184" s="117" t="s">
        <v>201</v>
      </c>
      <c r="D184" s="2">
        <v>92548651821</v>
      </c>
      <c r="E184" s="3">
        <f>(D184/$D$186)</f>
        <v>0.97764471782494933</v>
      </c>
      <c r="F184" s="14">
        <v>114</v>
      </c>
      <c r="G184" s="14">
        <v>114</v>
      </c>
      <c r="H184" s="64">
        <v>0</v>
      </c>
      <c r="I184" s="20">
        <v>0</v>
      </c>
      <c r="J184" s="20">
        <v>0.13800000000000001</v>
      </c>
      <c r="K184" s="2">
        <v>92548651821</v>
      </c>
      <c r="L184" s="3">
        <f>(K184/$K$186)</f>
        <v>0.97764471782494933</v>
      </c>
      <c r="M184" s="14">
        <v>114</v>
      </c>
      <c r="N184" s="14">
        <v>114</v>
      </c>
      <c r="O184" s="64">
        <v>0</v>
      </c>
      <c r="P184" s="20">
        <v>0</v>
      </c>
      <c r="Q184" s="20">
        <v>0.13800000000000001</v>
      </c>
      <c r="R184" s="81">
        <f t="shared" ref="R184:R185" si="156">((K184-D184)/D184)</f>
        <v>0</v>
      </c>
      <c r="S184" s="81">
        <f t="shared" ref="S184:S185" si="157">((N184-G184)/G184)</f>
        <v>0</v>
      </c>
      <c r="T184" s="81" t="e">
        <f t="shared" ref="T184:T185" si="158">((O184-H184)/H184)</f>
        <v>#DIV/0!</v>
      </c>
      <c r="U184" s="81">
        <f t="shared" ref="U184:U185" si="159">P184-I184</f>
        <v>0</v>
      </c>
      <c r="V184" s="83">
        <f t="shared" ref="V184:V185" si="160">Q184-J184</f>
        <v>0</v>
      </c>
    </row>
    <row r="185" spans="1:22">
      <c r="A185" s="75">
        <v>2</v>
      </c>
      <c r="B185" s="116" t="s">
        <v>202</v>
      </c>
      <c r="C185" s="117" t="s">
        <v>45</v>
      </c>
      <c r="D185" s="2">
        <v>2116260834.49</v>
      </c>
      <c r="E185" s="3">
        <f>(D185/$D$186)</f>
        <v>2.2355282175050624E-2</v>
      </c>
      <c r="F185" s="21">
        <v>1000000</v>
      </c>
      <c r="G185" s="21">
        <v>1000000</v>
      </c>
      <c r="H185" s="64">
        <v>0</v>
      </c>
      <c r="I185" s="20">
        <v>0.16600000000000001</v>
      </c>
      <c r="J185" s="20" t="s">
        <v>254</v>
      </c>
      <c r="K185" s="2">
        <v>2116260834.49</v>
      </c>
      <c r="L185" s="3">
        <f>(K185/$K$186)</f>
        <v>2.2355282175050624E-2</v>
      </c>
      <c r="M185" s="21">
        <v>1000000</v>
      </c>
      <c r="N185" s="21">
        <v>1000000</v>
      </c>
      <c r="O185" s="64">
        <v>0</v>
      </c>
      <c r="P185" s="20">
        <v>0.1658</v>
      </c>
      <c r="Q185" s="20" t="s">
        <v>259</v>
      </c>
      <c r="R185" s="81">
        <f t="shared" si="156"/>
        <v>0</v>
      </c>
      <c r="S185" s="81">
        <f t="shared" si="157"/>
        <v>0</v>
      </c>
      <c r="T185" s="81" t="e">
        <f t="shared" si="158"/>
        <v>#DIV/0!</v>
      </c>
      <c r="U185" s="81">
        <f t="shared" si="159"/>
        <v>-2.0000000000000573E-4</v>
      </c>
      <c r="V185" s="83" t="e">
        <f t="shared" si="160"/>
        <v>#VALUE!</v>
      </c>
    </row>
    <row r="186" spans="1:22">
      <c r="A186" s="38"/>
      <c r="B186" s="38"/>
      <c r="C186" s="67" t="s">
        <v>203</v>
      </c>
      <c r="D186" s="73">
        <f>SUM(D184:D185)</f>
        <v>94664912655.490005</v>
      </c>
      <c r="E186" s="24"/>
      <c r="F186" s="22"/>
      <c r="G186" s="22"/>
      <c r="H186" s="73">
        <f>SUM(H184:H185)</f>
        <v>0</v>
      </c>
      <c r="I186" s="23"/>
      <c r="J186" s="23"/>
      <c r="K186" s="73">
        <f>SUM(K184:K185)</f>
        <v>94664912655.490005</v>
      </c>
      <c r="L186" s="24"/>
      <c r="M186" s="22"/>
      <c r="N186" s="22"/>
      <c r="O186" s="23"/>
      <c r="P186" s="23"/>
      <c r="Q186" s="73"/>
      <c r="R186" s="25">
        <f>((K186-D186)/D186)</f>
        <v>0</v>
      </c>
      <c r="S186" s="26"/>
      <c r="T186" s="26"/>
      <c r="U186" s="25">
        <f t="shared" ref="U186:V186" si="161">O186-H186</f>
        <v>0</v>
      </c>
      <c r="V186" s="87">
        <f t="shared" si="161"/>
        <v>0</v>
      </c>
    </row>
    <row r="187" spans="1:22" ht="8.25" customHeight="1">
      <c r="A187" s="137"/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</row>
    <row r="188" spans="1:22" ht="15.75">
      <c r="A188" s="138" t="s">
        <v>204</v>
      </c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</row>
    <row r="189" spans="1:22">
      <c r="A189" s="75">
        <v>1</v>
      </c>
      <c r="B189" s="116" t="s">
        <v>205</v>
      </c>
      <c r="C189" s="117" t="s">
        <v>74</v>
      </c>
      <c r="D189" s="27">
        <v>789605352.77646506</v>
      </c>
      <c r="E189" s="10">
        <f t="shared" ref="E189:E200" si="162">(D189/$D$201)</f>
        <v>7.1386347374885889E-2</v>
      </c>
      <c r="F189" s="21">
        <v>186.07407865593615</v>
      </c>
      <c r="G189" s="21">
        <v>189.12390167786026</v>
      </c>
      <c r="H189" s="63">
        <v>103</v>
      </c>
      <c r="I189" s="28">
        <v>8.6563962954371743E-2</v>
      </c>
      <c r="J189" s="28">
        <v>8.6584399869954254E-2</v>
      </c>
      <c r="K189" s="27">
        <v>820621327.71000004</v>
      </c>
      <c r="L189" s="10">
        <f t="shared" ref="L189:L200" si="163">(K189/$K$201)</f>
        <v>7.1224343019624159E-2</v>
      </c>
      <c r="M189" s="21">
        <v>193.38</v>
      </c>
      <c r="N189" s="21">
        <v>196.8</v>
      </c>
      <c r="O189" s="63">
        <v>103</v>
      </c>
      <c r="P189" s="28">
        <v>4.0000000000000002E-4</v>
      </c>
      <c r="Q189" s="28">
        <v>0.53348905109489064</v>
      </c>
      <c r="R189" s="81">
        <f t="shared" ref="R189" si="164">((K189-D189)/D189)</f>
        <v>3.9280350398429364E-2</v>
      </c>
      <c r="S189" s="81">
        <f t="shared" ref="S189" si="165">((N189-G189)/G189)</f>
        <v>4.0587669004495543E-2</v>
      </c>
      <c r="T189" s="81">
        <f t="shared" ref="T189" si="166">((O189-H189)/H189)</f>
        <v>0</v>
      </c>
      <c r="U189" s="81">
        <f t="shared" ref="U189" si="167">P189-I189</f>
        <v>-8.6163962954371745E-2</v>
      </c>
      <c r="V189" s="83">
        <f t="shared" ref="V189" si="168">Q189-J189</f>
        <v>0.44690465122493639</v>
      </c>
    </row>
    <row r="190" spans="1:22">
      <c r="A190" s="75">
        <v>2</v>
      </c>
      <c r="B190" s="116" t="s">
        <v>206</v>
      </c>
      <c r="C190" s="117" t="s">
        <v>185</v>
      </c>
      <c r="D190" s="27">
        <v>792339765.32000005</v>
      </c>
      <c r="E190" s="10">
        <f t="shared" si="162"/>
        <v>7.1633559128216409E-2</v>
      </c>
      <c r="F190" s="21">
        <v>22.54</v>
      </c>
      <c r="G190" s="21">
        <v>24.91</v>
      </c>
      <c r="H190" s="63">
        <v>184</v>
      </c>
      <c r="I190" s="28">
        <v>5.1400000000000001E-2</v>
      </c>
      <c r="J190" s="28">
        <v>5.1400000000000001E-2</v>
      </c>
      <c r="K190" s="27">
        <v>835316870.13</v>
      </c>
      <c r="L190" s="10">
        <f t="shared" si="163"/>
        <v>7.2499816028718814E-2</v>
      </c>
      <c r="M190" s="21">
        <v>23.76</v>
      </c>
      <c r="N190" s="21">
        <v>26.26</v>
      </c>
      <c r="O190" s="63">
        <v>184</v>
      </c>
      <c r="P190" s="28">
        <v>5.4199999999999998E-2</v>
      </c>
      <c r="Q190" s="28">
        <v>0.1084</v>
      </c>
      <c r="R190" s="81">
        <f t="shared" ref="R190:R201" si="169">((K190-D190)/D190)</f>
        <v>5.4240752125627442E-2</v>
      </c>
      <c r="S190" s="81">
        <f t="shared" ref="S190:S201" si="170">((N190-G190)/G190)</f>
        <v>5.4195102368526753E-2</v>
      </c>
      <c r="T190" s="81">
        <f t="shared" ref="T190:T201" si="171">((O190-H190)/H190)</f>
        <v>0</v>
      </c>
      <c r="U190" s="81">
        <f t="shared" ref="U190:U201" si="172">P190-I190</f>
        <v>2.7999999999999969E-3</v>
      </c>
      <c r="V190" s="83">
        <f t="shared" ref="V190:V201" si="173">Q190-J190</f>
        <v>5.6999999999999995E-2</v>
      </c>
    </row>
    <row r="191" spans="1:22">
      <c r="A191" s="75">
        <v>3</v>
      </c>
      <c r="B191" s="116" t="s">
        <v>207</v>
      </c>
      <c r="C191" s="117" t="s">
        <v>36</v>
      </c>
      <c r="D191" s="27">
        <v>330064480.36000001</v>
      </c>
      <c r="E191" s="10">
        <f t="shared" si="162"/>
        <v>2.9840346912846375E-2</v>
      </c>
      <c r="F191" s="21">
        <v>24.627082999999999</v>
      </c>
      <c r="G191" s="21">
        <v>25.013836999999999</v>
      </c>
      <c r="H191" s="63">
        <v>73</v>
      </c>
      <c r="I191" s="28">
        <v>4.813432960712194E-2</v>
      </c>
      <c r="J191" s="28">
        <v>4.8399474614482019E-2</v>
      </c>
      <c r="K191" s="27">
        <v>332780324.79000002</v>
      </c>
      <c r="L191" s="10">
        <f t="shared" si="163"/>
        <v>2.8883066041150943E-2</v>
      </c>
      <c r="M191" s="21">
        <v>24.829719999999998</v>
      </c>
      <c r="N191" s="21">
        <v>25.221343000000001</v>
      </c>
      <c r="O191" s="63">
        <v>73</v>
      </c>
      <c r="P191" s="28">
        <v>8.2282238520117179E-3</v>
      </c>
      <c r="Q191" s="28">
        <v>5.7025940177941603E-2</v>
      </c>
      <c r="R191" s="81">
        <f t="shared" si="169"/>
        <v>8.2282238520117231E-3</v>
      </c>
      <c r="S191" s="81">
        <f t="shared" si="170"/>
        <v>8.2956485244547722E-3</v>
      </c>
      <c r="T191" s="81">
        <f t="shared" si="171"/>
        <v>0</v>
      </c>
      <c r="U191" s="81">
        <f t="shared" si="172"/>
        <v>-3.9906105755110222E-2</v>
      </c>
      <c r="V191" s="83">
        <f t="shared" si="173"/>
        <v>8.6264655634595844E-3</v>
      </c>
    </row>
    <row r="192" spans="1:22">
      <c r="A192" s="75">
        <v>4</v>
      </c>
      <c r="B192" s="116" t="s">
        <v>208</v>
      </c>
      <c r="C192" s="117" t="s">
        <v>36</v>
      </c>
      <c r="D192" s="27">
        <v>515595930.89999998</v>
      </c>
      <c r="E192" s="10">
        <f t="shared" si="162"/>
        <v>4.6613805363506539E-2</v>
      </c>
      <c r="F192" s="21">
        <v>38.690685000000002</v>
      </c>
      <c r="G192" s="21">
        <v>39.146588000000001</v>
      </c>
      <c r="H192" s="63">
        <v>60</v>
      </c>
      <c r="I192" s="28">
        <v>2.7401104533809395E-2</v>
      </c>
      <c r="J192" s="28">
        <v>2.7559261528963264E-2</v>
      </c>
      <c r="K192" s="27">
        <v>520204536.76999998</v>
      </c>
      <c r="L192" s="10">
        <f t="shared" si="163"/>
        <v>4.5150211329097613E-2</v>
      </c>
      <c r="M192" s="21">
        <v>39.036518000000001</v>
      </c>
      <c r="N192" s="21">
        <v>39.499608000000002</v>
      </c>
      <c r="O192" s="63">
        <v>60</v>
      </c>
      <c r="P192" s="28">
        <v>8.9384062088222471E-3</v>
      </c>
      <c r="Q192" s="28">
        <v>3.674400361214647E-2</v>
      </c>
      <c r="R192" s="81">
        <f t="shared" si="169"/>
        <v>8.9384062088221673E-3</v>
      </c>
      <c r="S192" s="81">
        <f t="shared" si="170"/>
        <v>9.0178995931906192E-3</v>
      </c>
      <c r="T192" s="81">
        <f t="shared" si="171"/>
        <v>0</v>
      </c>
      <c r="U192" s="81">
        <f t="shared" si="172"/>
        <v>-1.8462698324987148E-2</v>
      </c>
      <c r="V192" s="83">
        <f t="shared" si="173"/>
        <v>9.1847420831832061E-3</v>
      </c>
    </row>
    <row r="193" spans="1:22">
      <c r="A193" s="75">
        <v>5</v>
      </c>
      <c r="B193" s="116" t="s">
        <v>209</v>
      </c>
      <c r="C193" s="117" t="s">
        <v>210</v>
      </c>
      <c r="D193" s="27">
        <v>756655080.30999994</v>
      </c>
      <c r="E193" s="10">
        <f t="shared" si="162"/>
        <v>6.8407391383621077E-2</v>
      </c>
      <c r="F193" s="21">
        <v>19900</v>
      </c>
      <c r="G193" s="21">
        <v>23300</v>
      </c>
      <c r="H193" s="63">
        <v>226</v>
      </c>
      <c r="I193" s="28">
        <v>-0.02</v>
      </c>
      <c r="J193" s="28">
        <v>1.19</v>
      </c>
      <c r="K193" s="27">
        <v>812973735.88</v>
      </c>
      <c r="L193" s="10">
        <f t="shared" si="163"/>
        <v>7.0560584126964129E-2</v>
      </c>
      <c r="M193" s="21">
        <v>20100</v>
      </c>
      <c r="N193" s="21">
        <v>23700</v>
      </c>
      <c r="O193" s="63">
        <v>226</v>
      </c>
      <c r="P193" s="28">
        <v>7.0000000000000007E-2</v>
      </c>
      <c r="Q193" s="28">
        <v>1.35</v>
      </c>
      <c r="R193" s="81">
        <f t="shared" si="169"/>
        <v>7.4431080997865523E-2</v>
      </c>
      <c r="S193" s="81">
        <f t="shared" si="170"/>
        <v>1.7167381974248927E-2</v>
      </c>
      <c r="T193" s="81">
        <f t="shared" si="171"/>
        <v>0</v>
      </c>
      <c r="U193" s="81">
        <f t="shared" si="172"/>
        <v>9.0000000000000011E-2</v>
      </c>
      <c r="V193" s="83">
        <f t="shared" si="173"/>
        <v>0.16000000000000014</v>
      </c>
    </row>
    <row r="194" spans="1:22">
      <c r="A194" s="75">
        <v>6</v>
      </c>
      <c r="B194" s="116" t="s">
        <v>211</v>
      </c>
      <c r="C194" s="117" t="s">
        <v>212</v>
      </c>
      <c r="D194" s="27">
        <v>1025200027.9299999</v>
      </c>
      <c r="E194" s="10">
        <f t="shared" si="162"/>
        <v>9.2685903236616268E-2</v>
      </c>
      <c r="F194" s="21">
        <v>500</v>
      </c>
      <c r="G194" s="21">
        <v>500</v>
      </c>
      <c r="H194" s="63">
        <v>46</v>
      </c>
      <c r="I194" s="28">
        <v>4.5699999999999998E-2</v>
      </c>
      <c r="J194" s="28">
        <v>7.4700000000000003E-2</v>
      </c>
      <c r="K194" s="27">
        <v>1052306277.71</v>
      </c>
      <c r="L194" s="10">
        <f t="shared" si="163"/>
        <v>9.1333018963172141E-2</v>
      </c>
      <c r="M194" s="21">
        <v>600</v>
      </c>
      <c r="N194" s="21">
        <v>600</v>
      </c>
      <c r="O194" s="63">
        <v>46</v>
      </c>
      <c r="P194" s="28">
        <v>4.4900000000000002E-2</v>
      </c>
      <c r="Q194" s="28">
        <v>0.12180000000000001</v>
      </c>
      <c r="R194" s="81">
        <f t="shared" si="169"/>
        <v>2.6439961999153289E-2</v>
      </c>
      <c r="S194" s="81">
        <f t="shared" si="170"/>
        <v>0.2</v>
      </c>
      <c r="T194" s="81">
        <f t="shared" si="171"/>
        <v>0</v>
      </c>
      <c r="U194" s="81">
        <f t="shared" si="172"/>
        <v>-7.9999999999999516E-4</v>
      </c>
      <c r="V194" s="83">
        <f t="shared" si="173"/>
        <v>4.7100000000000003E-2</v>
      </c>
    </row>
    <row r="195" spans="1:22">
      <c r="A195" s="75">
        <v>7</v>
      </c>
      <c r="B195" s="116" t="s">
        <v>213</v>
      </c>
      <c r="C195" s="117" t="s">
        <v>212</v>
      </c>
      <c r="D195" s="27">
        <v>690794629.92999995</v>
      </c>
      <c r="E195" s="10">
        <f t="shared" si="162"/>
        <v>6.2453104254536596E-2</v>
      </c>
      <c r="F195" s="21">
        <v>586</v>
      </c>
      <c r="G195" s="21">
        <v>586</v>
      </c>
      <c r="H195" s="63">
        <v>377</v>
      </c>
      <c r="I195" s="28">
        <v>7.4499999999999997E-2</v>
      </c>
      <c r="J195" s="28">
        <v>9.0399999999999994E-2</v>
      </c>
      <c r="K195" s="27">
        <v>719360393.25999999</v>
      </c>
      <c r="L195" s="10">
        <f t="shared" si="163"/>
        <v>6.2435583470952988E-2</v>
      </c>
      <c r="M195" s="21">
        <v>824.99</v>
      </c>
      <c r="N195" s="21">
        <v>824.99</v>
      </c>
      <c r="O195" s="63">
        <v>377</v>
      </c>
      <c r="P195" s="28">
        <v>3.9300000000000002E-2</v>
      </c>
      <c r="Q195" s="28">
        <v>0.13300000000000001</v>
      </c>
      <c r="R195" s="81">
        <f t="shared" si="169"/>
        <v>4.1352034443137876E-2</v>
      </c>
      <c r="S195" s="81">
        <f t="shared" si="170"/>
        <v>0.40783276450511946</v>
      </c>
      <c r="T195" s="81">
        <f t="shared" si="171"/>
        <v>0</v>
      </c>
      <c r="U195" s="81">
        <f t="shared" si="172"/>
        <v>-3.5199999999999995E-2</v>
      </c>
      <c r="V195" s="83">
        <f t="shared" si="173"/>
        <v>4.2600000000000013E-2</v>
      </c>
    </row>
    <row r="196" spans="1:22">
      <c r="A196" s="75">
        <v>8</v>
      </c>
      <c r="B196" s="116" t="s">
        <v>214</v>
      </c>
      <c r="C196" s="117" t="s">
        <v>215</v>
      </c>
      <c r="D196" s="27">
        <v>263475240.72999999</v>
      </c>
      <c r="E196" s="10">
        <f t="shared" si="162"/>
        <v>2.3820171676012056E-2</v>
      </c>
      <c r="F196" s="21">
        <v>11.66</v>
      </c>
      <c r="G196" s="21">
        <v>11.76</v>
      </c>
      <c r="H196" s="63">
        <v>50</v>
      </c>
      <c r="I196" s="28">
        <v>0</v>
      </c>
      <c r="J196" s="28">
        <v>0</v>
      </c>
      <c r="K196" s="27">
        <v>289432139.54000002</v>
      </c>
      <c r="L196" s="10">
        <f t="shared" si="163"/>
        <v>2.512073875172996E-2</v>
      </c>
      <c r="M196" s="21">
        <v>12.78</v>
      </c>
      <c r="N196" s="21">
        <v>12.88</v>
      </c>
      <c r="O196" s="63">
        <v>50</v>
      </c>
      <c r="P196" s="28">
        <v>7.2099999999999997E-2</v>
      </c>
      <c r="Q196" s="28">
        <v>7.2099999999999997E-2</v>
      </c>
      <c r="R196" s="81">
        <f t="shared" si="169"/>
        <v>9.8517411875523195E-2</v>
      </c>
      <c r="S196" s="81">
        <f t="shared" si="170"/>
        <v>9.523809523809533E-2</v>
      </c>
      <c r="T196" s="81">
        <f t="shared" si="171"/>
        <v>0</v>
      </c>
      <c r="U196" s="81">
        <f t="shared" si="172"/>
        <v>7.2099999999999997E-2</v>
      </c>
      <c r="V196" s="83">
        <f t="shared" si="173"/>
        <v>7.2099999999999997E-2</v>
      </c>
    </row>
    <row r="197" spans="1:22">
      <c r="A197" s="75">
        <v>9</v>
      </c>
      <c r="B197" s="116" t="s">
        <v>216</v>
      </c>
      <c r="C197" s="117" t="s">
        <v>215</v>
      </c>
      <c r="D197" s="29">
        <v>802338565.44000006</v>
      </c>
      <c r="E197" s="10">
        <f t="shared" si="162"/>
        <v>7.2537526934651028E-2</v>
      </c>
      <c r="F197" s="21">
        <v>9.85</v>
      </c>
      <c r="G197" s="21">
        <v>9.9499999999999993</v>
      </c>
      <c r="H197" s="63">
        <v>88</v>
      </c>
      <c r="I197" s="28">
        <v>7.5899999999999995E-2</v>
      </c>
      <c r="J197" s="28">
        <v>7.5899999999999995E-2</v>
      </c>
      <c r="K197" s="29">
        <v>834931739.08000004</v>
      </c>
      <c r="L197" s="10">
        <f t="shared" si="163"/>
        <v>7.2466389276224757E-2</v>
      </c>
      <c r="M197" s="21">
        <v>10.35</v>
      </c>
      <c r="N197" s="21">
        <v>10.45</v>
      </c>
      <c r="O197" s="63">
        <v>88</v>
      </c>
      <c r="P197" s="28">
        <v>7.8899999999999998E-2</v>
      </c>
      <c r="Q197" s="28">
        <v>0.1608</v>
      </c>
      <c r="R197" s="81">
        <f t="shared" si="169"/>
        <v>4.0622718443212295E-2</v>
      </c>
      <c r="S197" s="81">
        <f t="shared" si="170"/>
        <v>5.0251256281407038E-2</v>
      </c>
      <c r="T197" s="81">
        <f t="shared" si="171"/>
        <v>0</v>
      </c>
      <c r="U197" s="81">
        <f t="shared" si="172"/>
        <v>3.0000000000000027E-3</v>
      </c>
      <c r="V197" s="83">
        <f t="shared" si="173"/>
        <v>8.4900000000000003E-2</v>
      </c>
    </row>
    <row r="198" spans="1:22" ht="15" customHeight="1">
      <c r="A198" s="75">
        <v>10</v>
      </c>
      <c r="B198" s="116" t="s">
        <v>217</v>
      </c>
      <c r="C198" s="117" t="s">
        <v>215</v>
      </c>
      <c r="D198" s="27">
        <v>491031174.68000001</v>
      </c>
      <c r="E198" s="10">
        <f t="shared" si="162"/>
        <v>4.4392964009614726E-2</v>
      </c>
      <c r="F198" s="21">
        <v>138.53</v>
      </c>
      <c r="G198" s="21">
        <v>140.53</v>
      </c>
      <c r="H198" s="63">
        <v>95</v>
      </c>
      <c r="I198" s="28">
        <v>2.7162000000000002</v>
      </c>
      <c r="J198" s="28">
        <v>2.7162000000000002</v>
      </c>
      <c r="K198" s="27">
        <v>500342880.43000001</v>
      </c>
      <c r="L198" s="10">
        <f t="shared" si="163"/>
        <v>4.3426354811688203E-2</v>
      </c>
      <c r="M198" s="21">
        <v>141.13</v>
      </c>
      <c r="N198" s="21">
        <v>143.13</v>
      </c>
      <c r="O198" s="63">
        <v>95</v>
      </c>
      <c r="P198" s="28">
        <v>-0.36180000000000001</v>
      </c>
      <c r="Q198" s="28">
        <v>1.3715999999999999</v>
      </c>
      <c r="R198" s="81">
        <f t="shared" si="169"/>
        <v>1.8963573455531298E-2</v>
      </c>
      <c r="S198" s="81">
        <f t="shared" si="170"/>
        <v>1.8501387604070264E-2</v>
      </c>
      <c r="T198" s="81">
        <f t="shared" si="171"/>
        <v>0</v>
      </c>
      <c r="U198" s="81">
        <f t="shared" si="172"/>
        <v>-3.0780000000000003</v>
      </c>
      <c r="V198" s="83">
        <f t="shared" si="173"/>
        <v>-1.3446000000000002</v>
      </c>
    </row>
    <row r="199" spans="1:22">
      <c r="A199" s="75">
        <v>11</v>
      </c>
      <c r="B199" s="116" t="s">
        <v>218</v>
      </c>
      <c r="C199" s="117" t="s">
        <v>215</v>
      </c>
      <c r="D199" s="27">
        <v>4309511176.8800001</v>
      </c>
      <c r="E199" s="10">
        <f t="shared" si="162"/>
        <v>0.3896126853838604</v>
      </c>
      <c r="F199" s="21">
        <v>30.06</v>
      </c>
      <c r="G199" s="21">
        <v>30.26</v>
      </c>
      <c r="H199" s="63">
        <v>213</v>
      </c>
      <c r="I199" s="28">
        <v>3.3300000000000003E-2</v>
      </c>
      <c r="J199" s="28">
        <v>3.3300000000000003E-2</v>
      </c>
      <c r="K199" s="27">
        <v>4495620684.71</v>
      </c>
      <c r="L199" s="10">
        <f t="shared" si="163"/>
        <v>0.39018926138251381</v>
      </c>
      <c r="M199" s="21">
        <v>31.34</v>
      </c>
      <c r="N199" s="21">
        <v>31.54</v>
      </c>
      <c r="O199" s="63">
        <v>213</v>
      </c>
      <c r="P199" s="28">
        <v>7.8899999999999998E-2</v>
      </c>
      <c r="Q199" s="28">
        <v>0.1148</v>
      </c>
      <c r="R199" s="81">
        <f t="shared" si="169"/>
        <v>4.3185758242942879E-2</v>
      </c>
      <c r="S199" s="81">
        <f t="shared" si="170"/>
        <v>4.2300066093853186E-2</v>
      </c>
      <c r="T199" s="81">
        <f t="shared" si="171"/>
        <v>0</v>
      </c>
      <c r="U199" s="81">
        <f t="shared" si="172"/>
        <v>4.5599999999999995E-2</v>
      </c>
      <c r="V199" s="83">
        <f t="shared" si="173"/>
        <v>8.1499999999999989E-2</v>
      </c>
    </row>
    <row r="200" spans="1:22">
      <c r="A200" s="75">
        <v>12</v>
      </c>
      <c r="B200" s="116" t="s">
        <v>219</v>
      </c>
      <c r="C200" s="117" t="s">
        <v>215</v>
      </c>
      <c r="D200" s="29">
        <v>294402085.20999998</v>
      </c>
      <c r="E200" s="10">
        <f t="shared" si="162"/>
        <v>2.6616194341632666E-2</v>
      </c>
      <c r="F200" s="21">
        <v>27.99</v>
      </c>
      <c r="G200" s="21">
        <v>28.19</v>
      </c>
      <c r="H200" s="63">
        <v>46</v>
      </c>
      <c r="I200" s="28">
        <v>0</v>
      </c>
      <c r="J200" s="28">
        <v>0</v>
      </c>
      <c r="K200" s="29">
        <v>307750328.35000002</v>
      </c>
      <c r="L200" s="10">
        <f t="shared" si="163"/>
        <v>2.6710632798162482E-2</v>
      </c>
      <c r="M200" s="21">
        <v>29.34</v>
      </c>
      <c r="N200" s="21">
        <v>29.54</v>
      </c>
      <c r="O200" s="63">
        <v>46</v>
      </c>
      <c r="P200" s="28">
        <v>0.1057</v>
      </c>
      <c r="Q200" s="28">
        <v>0.1057</v>
      </c>
      <c r="R200" s="81">
        <f t="shared" si="169"/>
        <v>4.5340178655591409E-2</v>
      </c>
      <c r="S200" s="81">
        <f t="shared" si="170"/>
        <v>4.7889322454771115E-2</v>
      </c>
      <c r="T200" s="81">
        <f t="shared" si="171"/>
        <v>0</v>
      </c>
      <c r="U200" s="81">
        <f t="shared" si="172"/>
        <v>0.1057</v>
      </c>
      <c r="V200" s="83">
        <f t="shared" si="173"/>
        <v>0.1057</v>
      </c>
    </row>
    <row r="201" spans="1:22">
      <c r="A201" s="43"/>
      <c r="B201" s="43"/>
      <c r="C201" s="74" t="s">
        <v>220</v>
      </c>
      <c r="D201" s="73">
        <f>SUM(D189:D200)</f>
        <v>11061013510.466465</v>
      </c>
      <c r="E201" s="24"/>
      <c r="F201" s="24"/>
      <c r="G201" s="22"/>
      <c r="H201" s="73">
        <f>SUM(H189:H200)</f>
        <v>1561</v>
      </c>
      <c r="I201" s="23"/>
      <c r="J201" s="23"/>
      <c r="K201" s="73">
        <f>SUM(K189:K200)</f>
        <v>11521641238.360001</v>
      </c>
      <c r="L201" s="24"/>
      <c r="M201" s="24"/>
      <c r="N201" s="22"/>
      <c r="O201" s="73">
        <f>SUM(O189:O200)</f>
        <v>1561</v>
      </c>
      <c r="P201" s="23"/>
      <c r="Q201" s="23"/>
      <c r="R201" s="81">
        <f t="shared" si="169"/>
        <v>4.1644260488215429E-2</v>
      </c>
      <c r="S201" s="81" t="e">
        <f t="shared" si="170"/>
        <v>#DIV/0!</v>
      </c>
      <c r="T201" s="81">
        <f t="shared" si="171"/>
        <v>0</v>
      </c>
      <c r="U201" s="81">
        <f t="shared" si="172"/>
        <v>0</v>
      </c>
      <c r="V201" s="83">
        <f t="shared" si="173"/>
        <v>0</v>
      </c>
    </row>
    <row r="202" spans="1:22">
      <c r="A202" s="88"/>
      <c r="B202" s="88"/>
      <c r="C202" s="89" t="s">
        <v>221</v>
      </c>
      <c r="D202" s="90">
        <f>SUM(D181,D186,D201)</f>
        <v>2243250970385.9355</v>
      </c>
      <c r="E202" s="91"/>
      <c r="F202" s="91"/>
      <c r="G202" s="92"/>
      <c r="H202" s="90">
        <f>SUM(H181,H186,H201)</f>
        <v>772153</v>
      </c>
      <c r="I202" s="93"/>
      <c r="J202" s="93"/>
      <c r="K202" s="90">
        <f>SUM(K181,K186,K201)</f>
        <v>2324391331049.647</v>
      </c>
      <c r="L202" s="91"/>
      <c r="M202" s="91"/>
      <c r="N202" s="92"/>
      <c r="O202" s="90">
        <f>SUM(O181,O186,O201)</f>
        <v>774525</v>
      </c>
      <c r="P202" s="94"/>
      <c r="Q202" s="90"/>
      <c r="R202" s="95"/>
      <c r="S202" s="96"/>
      <c r="T202" s="96"/>
      <c r="U202" s="97"/>
      <c r="V202" s="97"/>
    </row>
    <row r="203" spans="1:22">
      <c r="A203" s="113" t="s">
        <v>250</v>
      </c>
      <c r="B203" s="114" t="s">
        <v>260</v>
      </c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</row>
    <row r="205" spans="1:22">
      <c r="C205" s="120"/>
    </row>
    <row r="206" spans="1:22">
      <c r="D206" s="118"/>
    </row>
  </sheetData>
  <sheetProtection algorithmName="SHA-512" hashValue="IF4T1NI2H1ojxt3lr4qsYiqq7yGaBWcWrCPEHtjVn1cxHTtKBfddIgozsfTS6DqeqKUo+dF1SfdO3wZqCVDc7g==" saltValue="dUHKkZ9MVf7PxpzIcH4dtg==" spinCount="100000" sheet="1" objects="1" scenarios="1"/>
  <protectedRanges>
    <protectedRange password="CADF" sqref="K10 D10" name="Fund Name_1_1_1_3_1_1_2"/>
    <protectedRange password="CADF" sqref="O53:Q53 H53:J53" name="Yield_1_1_1_1_1_2"/>
    <protectedRange password="CADF" sqref="O47:Q48 H47:J48" name="Yield_1_1_2_1_1_1_1_1_2"/>
    <protectedRange password="CADF" sqref="K81 D81" name="Yield_2_1_2_1_1_2"/>
    <protectedRange password="CADF" sqref="O81:Q81 H81:J81" name="Yield_1_1_2_1_2_1_2"/>
    <protectedRange password="CADF" sqref="M81:N81 F81:G81" name="Fund Name_2_2_1_1_2"/>
    <protectedRange password="CADF" sqref="N79 G79" name="BidOffer Prices_2_1_1_1_1_1_1_1_1_1_2"/>
    <protectedRange password="CADF" sqref="K99:K100 D99:D100" name="Yield_2_1_2_6_3_2"/>
    <protectedRange password="CADF" sqref="K144 K153:K154 D144 D153:D154" name="Fund Name_1_1_1_2_2"/>
  </protectedRanges>
  <mergeCells count="31">
    <mergeCell ref="A91:V91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  <mergeCell ref="A163:V163"/>
    <mergeCell ref="A92:V92"/>
    <mergeCell ref="A93:V93"/>
    <mergeCell ref="A106:V106"/>
    <mergeCell ref="A107:V107"/>
    <mergeCell ref="A119:V119"/>
    <mergeCell ref="A120:V120"/>
    <mergeCell ref="A127:V127"/>
    <mergeCell ref="A128:V128"/>
    <mergeCell ref="A156:V156"/>
    <mergeCell ref="A157:V157"/>
    <mergeCell ref="A162:V162"/>
    <mergeCell ref="A187:V187"/>
    <mergeCell ref="A188:V188"/>
    <mergeCell ref="A164:V164"/>
    <mergeCell ref="A167:V167"/>
    <mergeCell ref="A168:V168"/>
    <mergeCell ref="A182:U182"/>
    <mergeCell ref="A183:V183"/>
  </mergeCells>
  <pageMargins left="0.7" right="0.7" top="0.75" bottom="0.75" header="0.3" footer="0.3"/>
  <pageSetup paperSize="9" orientation="portrait" horizontalDpi="300" verticalDpi="300" r:id="rId1"/>
  <ignoredErrors>
    <ignoredError sqref="L78 E78 E62" formula="1"/>
    <ignoredError sqref="S12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workbookViewId="0">
      <selection activeCell="H1" sqref="H1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100"/>
      <c r="B1" s="100"/>
      <c r="C1" s="100"/>
    </row>
    <row r="2" spans="1:3">
      <c r="A2" s="100"/>
      <c r="B2" s="100"/>
      <c r="C2" s="100"/>
    </row>
    <row r="3" spans="1:3">
      <c r="A3" s="100"/>
      <c r="B3" s="100"/>
      <c r="C3" s="100"/>
    </row>
    <row r="4" spans="1:3" ht="33" customHeight="1">
      <c r="A4" s="123" t="s">
        <v>222</v>
      </c>
      <c r="B4" s="124" t="s">
        <v>255</v>
      </c>
      <c r="C4" s="124" t="s">
        <v>263</v>
      </c>
    </row>
    <row r="5" spans="1:3" ht="19.5" customHeight="1">
      <c r="A5" s="125" t="s">
        <v>15</v>
      </c>
      <c r="B5" s="126">
        <f>26318158433.3255/1000000000</f>
        <v>26.3181584333255</v>
      </c>
      <c r="C5" s="126">
        <f>27950770849.1968/1000000000</f>
        <v>27.9507708491968</v>
      </c>
    </row>
    <row r="6" spans="1:3" ht="16.5">
      <c r="A6" s="127" t="s">
        <v>47</v>
      </c>
      <c r="B6" s="128">
        <f>903708318785.281/1000000000</f>
        <v>903.70831878528099</v>
      </c>
      <c r="C6" s="128">
        <f>912572121651.287/1000000000</f>
        <v>912.57212165128703</v>
      </c>
    </row>
    <row r="7" spans="1:3" ht="16.5">
      <c r="A7" s="127" t="s">
        <v>223</v>
      </c>
      <c r="B7" s="126">
        <f>287055376560.052/1000000000</f>
        <v>287.05537656005203</v>
      </c>
      <c r="C7" s="126">
        <f>288835807549.413/1000000000</f>
        <v>288.835807549413</v>
      </c>
    </row>
    <row r="8" spans="1:3" ht="16.5">
      <c r="A8" s="127" t="s">
        <v>128</v>
      </c>
      <c r="B8" s="128">
        <f>726920775377.211/1000000000</f>
        <v>726.92077537721104</v>
      </c>
      <c r="C8" s="128">
        <f>790548059586.411/1000000000</f>
        <v>790.548059586411</v>
      </c>
    </row>
    <row r="9" spans="1:3" ht="16.5">
      <c r="A9" s="127" t="s">
        <v>224</v>
      </c>
      <c r="B9" s="126">
        <f>96815736652.8144/1000000000</f>
        <v>96.815736652814408</v>
      </c>
      <c r="C9" s="126">
        <f>99637490377.5195/1000000000</f>
        <v>99.637490377519498</v>
      </c>
    </row>
    <row r="10" spans="1:3" ht="16.5">
      <c r="A10" s="127" t="s">
        <v>154</v>
      </c>
      <c r="B10" s="129">
        <f>44249451355.6766/1000000000</f>
        <v>44.249451355676598</v>
      </c>
      <c r="C10" s="129">
        <f>47102830010.4205/1000000000</f>
        <v>47.102830010420504</v>
      </c>
    </row>
    <row r="11" spans="1:3" ht="16.5">
      <c r="A11" s="127" t="s">
        <v>178</v>
      </c>
      <c r="B11" s="126">
        <f>4619717314.71/1000000000</f>
        <v>4.6197173147099999</v>
      </c>
      <c r="C11" s="126">
        <f>4848445844.8/1000000000</f>
        <v>4.8484458448000005</v>
      </c>
    </row>
    <row r="12" spans="1:3" ht="16.5">
      <c r="A12" s="127" t="s">
        <v>225</v>
      </c>
      <c r="B12" s="126">
        <f>47837509740.9087/1000000000</f>
        <v>47.8375097409087</v>
      </c>
      <c r="C12" s="126">
        <f>46709251286.7492/1000000000</f>
        <v>46.7092512867492</v>
      </c>
    </row>
    <row r="13" spans="1:3">
      <c r="A13" s="100"/>
      <c r="B13" s="100"/>
      <c r="C13" s="100"/>
    </row>
    <row r="14" spans="1:3">
      <c r="A14" s="100"/>
      <c r="B14" s="100"/>
      <c r="C14" s="100"/>
    </row>
    <row r="15" spans="1:3">
      <c r="A15" s="100"/>
      <c r="B15" s="100"/>
      <c r="C15" s="100"/>
    </row>
    <row r="16" spans="1:3" ht="16.5">
      <c r="A16" s="100"/>
      <c r="B16" s="126">
        <v>27950770849.1968</v>
      </c>
      <c r="C16" s="130"/>
    </row>
    <row r="17" spans="1:3" ht="16.5">
      <c r="A17" s="100"/>
      <c r="B17" s="128">
        <v>912572121651.28699</v>
      </c>
      <c r="C17" s="126"/>
    </row>
    <row r="18" spans="1:3" ht="16.5">
      <c r="A18" s="131"/>
      <c r="B18" s="126">
        <v>288835807549.41302</v>
      </c>
      <c r="C18" s="128"/>
    </row>
    <row r="19" spans="1:3" ht="16.5">
      <c r="A19" s="132"/>
      <c r="B19" s="128">
        <v>790548059586.41101</v>
      </c>
      <c r="C19" s="126"/>
    </row>
    <row r="20" spans="1:3" ht="16.5">
      <c r="A20" s="132"/>
      <c r="B20" s="126">
        <v>99637490377.519501</v>
      </c>
      <c r="C20" s="128"/>
    </row>
    <row r="21" spans="1:3" ht="16.5">
      <c r="A21" s="132"/>
      <c r="B21" s="129">
        <v>47102830010.420502</v>
      </c>
      <c r="C21" s="133"/>
    </row>
    <row r="22" spans="1:3" ht="16.5">
      <c r="A22" s="132"/>
      <c r="B22" s="126">
        <v>4848445844.8000002</v>
      </c>
      <c r="C22" s="134"/>
    </row>
    <row r="23" spans="1:3" ht="16.5">
      <c r="A23" s="132"/>
      <c r="B23" s="126">
        <v>46709251286.749199</v>
      </c>
      <c r="C23" s="135"/>
    </row>
    <row r="24" spans="1:3" ht="16.5">
      <c r="A24" s="132"/>
      <c r="B24" s="135"/>
      <c r="C24" s="135"/>
    </row>
    <row r="25" spans="1:3" ht="16.5">
      <c r="A25" s="99"/>
      <c r="B25" s="107"/>
      <c r="C25" s="107"/>
    </row>
    <row r="26" spans="1:3" ht="16.5">
      <c r="A26" s="99"/>
      <c r="B26" s="107"/>
      <c r="C26" s="107"/>
    </row>
    <row r="27" spans="1:3">
      <c r="B27" s="102"/>
      <c r="C27" s="102"/>
    </row>
    <row r="28" spans="1:3">
      <c r="B28" s="102"/>
      <c r="C28" s="102"/>
    </row>
  </sheetData>
  <sheetProtection algorithmName="SHA-512" hashValue="u8lXM1yzf5n3IZDnvPC3DsvAs7xjOfzWSThhQfXgREmh4TcooVcvgZGe8mG4lJVG0nQBSF5EndoPpzcdekl7rw==" saltValue="ras6qJVGBGytuR1x6qMGA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K1" sqref="K1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23" t="s">
        <v>222</v>
      </c>
      <c r="B1" s="130">
        <v>45303</v>
      </c>
    </row>
    <row r="2" spans="1:2" ht="16.5">
      <c r="A2" s="127" t="s">
        <v>178</v>
      </c>
      <c r="B2" s="126">
        <v>4848445844.8000002</v>
      </c>
    </row>
    <row r="3" spans="1:2" ht="16.5">
      <c r="A3" s="127" t="s">
        <v>15</v>
      </c>
      <c r="B3" s="126">
        <v>27950770849.196804</v>
      </c>
    </row>
    <row r="4" spans="1:2" ht="16.5">
      <c r="A4" s="127" t="s">
        <v>154</v>
      </c>
      <c r="B4" s="126">
        <v>46709251286.749229</v>
      </c>
    </row>
    <row r="5" spans="1:2" ht="16.5">
      <c r="A5" s="127" t="s">
        <v>225</v>
      </c>
      <c r="B5" s="129">
        <v>47102830010.420479</v>
      </c>
    </row>
    <row r="6" spans="1:2" ht="16.5">
      <c r="A6" s="127" t="s">
        <v>224</v>
      </c>
      <c r="B6" s="126">
        <v>99637490377.51947</v>
      </c>
    </row>
    <row r="7" spans="1:2" ht="16.5">
      <c r="A7" s="127" t="s">
        <v>223</v>
      </c>
      <c r="B7" s="126">
        <v>288835807549.41266</v>
      </c>
    </row>
    <row r="8" spans="1:2" ht="16.5">
      <c r="A8" s="127" t="s">
        <v>128</v>
      </c>
      <c r="B8" s="128">
        <v>790548059586.41138</v>
      </c>
    </row>
    <row r="9" spans="1:2" ht="16.5">
      <c r="A9" s="127" t="s">
        <v>47</v>
      </c>
      <c r="B9" s="128">
        <v>912572121651.28699</v>
      </c>
    </row>
    <row r="10" spans="1:2">
      <c r="A10" s="100"/>
      <c r="B10" s="100"/>
    </row>
    <row r="11" spans="1:2">
      <c r="A11" s="100"/>
      <c r="B11" s="100"/>
    </row>
    <row r="12" spans="1:2" ht="16.5">
      <c r="A12" s="127"/>
      <c r="B12" s="100"/>
    </row>
    <row r="13" spans="1:2" ht="16.5">
      <c r="A13" s="126">
        <v>4848445844.8000002</v>
      </c>
      <c r="B13" s="126"/>
    </row>
    <row r="14" spans="1:2" ht="16.5">
      <c r="A14" s="126">
        <v>27950770849.196804</v>
      </c>
      <c r="B14" s="126"/>
    </row>
    <row r="15" spans="1:2" ht="16.5">
      <c r="A15" s="126">
        <v>46709251286.749229</v>
      </c>
      <c r="B15" s="129"/>
    </row>
    <row r="16" spans="1:2" ht="16.5">
      <c r="A16" s="129">
        <v>47102830010.420479</v>
      </c>
      <c r="B16" s="126"/>
    </row>
    <row r="17" spans="1:17" ht="16.5">
      <c r="A17" s="126">
        <v>99637490377.51947</v>
      </c>
      <c r="B17" s="126"/>
    </row>
    <row r="18" spans="1:17" ht="16.5">
      <c r="A18" s="126">
        <v>288835807549.41266</v>
      </c>
      <c r="B18" s="126"/>
    </row>
    <row r="19" spans="1:17" ht="16.5">
      <c r="A19" s="128">
        <v>790548059586.41138</v>
      </c>
      <c r="B19" s="128"/>
    </row>
    <row r="20" spans="1:17" ht="16.5">
      <c r="A20" s="128">
        <v>912572121651.28699</v>
      </c>
      <c r="B20" s="128"/>
    </row>
    <row r="21" spans="1:17" ht="16.5">
      <c r="A21" s="132"/>
      <c r="B21" s="128"/>
    </row>
    <row r="22" spans="1:17" ht="16.5">
      <c r="A22" s="100"/>
      <c r="B22" s="136"/>
    </row>
    <row r="23" spans="1:17">
      <c r="A23" s="100"/>
      <c r="B23" s="100"/>
    </row>
    <row r="24" spans="1:17">
      <c r="A24" s="100"/>
      <c r="B24" s="100"/>
    </row>
    <row r="25" spans="1:17">
      <c r="A25" s="100"/>
      <c r="B25" s="100"/>
    </row>
    <row r="32" spans="1:17" ht="16.5" customHeight="1">
      <c r="A32" s="150" t="s">
        <v>266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11"/>
    </row>
    <row r="33" spans="1:17" ht="15" customHeight="1">
      <c r="A33" s="150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11"/>
    </row>
  </sheetData>
  <sheetProtection algorithmName="SHA-512" hashValue="o45MO8mUoZT4ug2wlDfY4jk3a8HUmmsO1xrpBofqETWvN+fbeh5wUHxHuv9BAR/skucrkK28J4EGjI05gRKDjA==" saltValue="tatsU5pj5LMR0CLRM9fYEA==" spinCount="100000" sheet="1" objects="1" scenarios="1"/>
  <sortState xmlns:xlrd2="http://schemas.microsoft.com/office/spreadsheetml/2017/richdata2" ref="A13:A20">
    <sortCondition ref="A13:A20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"/>
  <sheetViews>
    <sheetView zoomScale="110" zoomScaleNormal="110" workbookViewId="0">
      <selection activeCell="A6" sqref="A6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0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0">
      <c r="A2" s="108" t="s">
        <v>233</v>
      </c>
      <c r="B2" s="109">
        <v>45254</v>
      </c>
      <c r="C2" s="109">
        <v>45261</v>
      </c>
      <c r="D2" s="109">
        <v>45268</v>
      </c>
      <c r="E2" s="109">
        <v>45275</v>
      </c>
      <c r="F2" s="109">
        <v>45282</v>
      </c>
      <c r="G2" s="109">
        <v>45289</v>
      </c>
      <c r="H2" s="109">
        <v>45296</v>
      </c>
      <c r="I2" s="109">
        <v>45303</v>
      </c>
      <c r="J2" s="102"/>
    </row>
    <row r="3" spans="1:10">
      <c r="A3" s="108" t="s">
        <v>234</v>
      </c>
      <c r="B3" s="110">
        <f>2023797867882.85/1000000000</f>
        <v>2023.7978678828501</v>
      </c>
      <c r="C3" s="110">
        <f>2120381651104.61/1000000000</f>
        <v>2120.3816511046102</v>
      </c>
      <c r="D3" s="110">
        <f>2247779681993.52/1000000000</f>
        <v>2247.7796819935202</v>
      </c>
      <c r="E3" s="110">
        <f>2080204371491.04/1000000000</f>
        <v>2080.2043714910401</v>
      </c>
      <c r="F3" s="110">
        <f>2101781808992.51/1000000000</f>
        <v>2101.7818089925099</v>
      </c>
      <c r="G3" s="110">
        <f>2134044598687.96/1000000000</f>
        <v>2134.0445986879599</v>
      </c>
      <c r="H3" s="110">
        <f>2137525044219.98/1000000000</f>
        <v>2137.5250442199799</v>
      </c>
      <c r="I3" s="110">
        <f>2218204777155.8/1000000000</f>
        <v>2218.2047771558</v>
      </c>
      <c r="J3" s="102"/>
    </row>
  </sheetData>
  <sheetProtection algorithmName="SHA-512" hashValue="lcP0eySu7jU8UkAGxDy5yGtraxokbckcoOdJSLjnclGrykj4IjkuTPVucrSzsReAzK44v+mz1AlRjYK+b61AUg==" saltValue="XuPzA8OV1Sn8TXdKhOLOu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0" ht="16.5">
      <c r="A1" s="44" t="s">
        <v>222</v>
      </c>
      <c r="B1" s="45">
        <v>45247</v>
      </c>
      <c r="C1" s="45">
        <v>45254</v>
      </c>
      <c r="D1" s="45">
        <v>45261</v>
      </c>
      <c r="E1" s="45">
        <v>45268</v>
      </c>
      <c r="F1" s="45">
        <v>45275</v>
      </c>
      <c r="G1" s="45">
        <v>45648</v>
      </c>
      <c r="H1" s="45">
        <v>45655</v>
      </c>
      <c r="I1" s="45">
        <v>45296</v>
      </c>
      <c r="J1" s="45">
        <v>45303</v>
      </c>
    </row>
    <row r="2" spans="1:10" ht="16.5">
      <c r="A2" s="46" t="s">
        <v>15</v>
      </c>
      <c r="B2" s="47">
        <v>22858868495.366501</v>
      </c>
      <c r="C2" s="47">
        <v>22917888550.564899</v>
      </c>
      <c r="D2" s="47">
        <v>23002842288.0406</v>
      </c>
      <c r="E2" s="47">
        <v>23062133182.5075</v>
      </c>
      <c r="F2" s="47">
        <v>23529063102.022598</v>
      </c>
      <c r="G2" s="47">
        <v>24230078910.4828</v>
      </c>
      <c r="H2" s="47">
        <v>24405214546.111698</v>
      </c>
      <c r="I2" s="47">
        <v>26318158433.3255</v>
      </c>
      <c r="J2" s="47">
        <v>27950770849.196804</v>
      </c>
    </row>
    <row r="3" spans="1:10" ht="16.5">
      <c r="A3" s="46" t="s">
        <v>47</v>
      </c>
      <c r="B3" s="48">
        <v>865822924113.04614</v>
      </c>
      <c r="C3" s="48">
        <v>869350685967.34192</v>
      </c>
      <c r="D3" s="48">
        <v>869196903201.49829</v>
      </c>
      <c r="E3" s="48">
        <v>866516570168.81689</v>
      </c>
      <c r="F3" s="48">
        <v>854204297161.97668</v>
      </c>
      <c r="G3" s="48">
        <v>864670150184.58435</v>
      </c>
      <c r="H3" s="48">
        <v>881602898033.37561</v>
      </c>
      <c r="I3" s="48">
        <v>903708318785.28052</v>
      </c>
      <c r="J3" s="48">
        <v>912572121651.28699</v>
      </c>
    </row>
    <row r="4" spans="1:10" ht="16.5">
      <c r="A4" s="46" t="s">
        <v>223</v>
      </c>
      <c r="B4" s="47">
        <v>298317775753.20929</v>
      </c>
      <c r="C4" s="47">
        <v>292383213255.36121</v>
      </c>
      <c r="D4" s="47">
        <v>291948133511.51477</v>
      </c>
      <c r="E4" s="47">
        <v>288458901847.26001</v>
      </c>
      <c r="F4" s="47">
        <v>285507286565.07678</v>
      </c>
      <c r="G4" s="47">
        <v>287057877236.40979</v>
      </c>
      <c r="H4" s="47">
        <v>287675389277.73108</v>
      </c>
      <c r="I4" s="47">
        <v>287055376560.05243</v>
      </c>
      <c r="J4" s="47">
        <v>288835807549.41266</v>
      </c>
    </row>
    <row r="5" spans="1:10" ht="16.5">
      <c r="A5" s="46" t="s">
        <v>128</v>
      </c>
      <c r="B5" s="48">
        <v>647350483168.5968</v>
      </c>
      <c r="C5" s="48">
        <v>652996623374.59875</v>
      </c>
      <c r="D5" s="48">
        <v>749487239675.21936</v>
      </c>
      <c r="E5" s="48">
        <v>882093775634.84949</v>
      </c>
      <c r="F5" s="48">
        <v>728772585155.99414</v>
      </c>
      <c r="G5" s="48">
        <v>736654691955.29309</v>
      </c>
      <c r="H5" s="48">
        <v>750658281364.3822</v>
      </c>
      <c r="I5" s="48">
        <v>726920775377.21094</v>
      </c>
      <c r="J5" s="48">
        <v>790548059586.41138</v>
      </c>
    </row>
    <row r="6" spans="1:10" ht="16.5">
      <c r="A6" s="46" t="s">
        <v>224</v>
      </c>
      <c r="B6" s="47">
        <v>95531336334.98999</v>
      </c>
      <c r="C6" s="47">
        <v>95820553466.403229</v>
      </c>
      <c r="D6" s="47">
        <v>96469811252.586914</v>
      </c>
      <c r="E6" s="47">
        <v>96484505230.946899</v>
      </c>
      <c r="F6" s="47">
        <v>96640447824.753601</v>
      </c>
      <c r="G6" s="47">
        <v>96678842690.618378</v>
      </c>
      <c r="H6" s="47">
        <v>96685745868.738373</v>
      </c>
      <c r="I6" s="47">
        <v>96815736652.814392</v>
      </c>
      <c r="J6" s="47">
        <v>99637490377.51947</v>
      </c>
    </row>
    <row r="7" spans="1:10" ht="16.5">
      <c r="A7" s="46" t="s">
        <v>154</v>
      </c>
      <c r="B7" s="49">
        <v>39960778727.195503</v>
      </c>
      <c r="C7" s="49">
        <v>40186047185.191147</v>
      </c>
      <c r="D7" s="49">
        <v>40757011293.125015</v>
      </c>
      <c r="E7" s="49">
        <v>41347090375.940308</v>
      </c>
      <c r="F7" s="49">
        <v>41464152077.994957</v>
      </c>
      <c r="G7" s="49">
        <v>42133843027.756485</v>
      </c>
      <c r="H7" s="49">
        <v>42555783009.607452</v>
      </c>
      <c r="I7" s="49">
        <v>44249451355.676628</v>
      </c>
      <c r="J7" s="49">
        <v>47102830010.420479</v>
      </c>
    </row>
    <row r="8" spans="1:10" ht="16.5">
      <c r="A8" s="46" t="s">
        <v>178</v>
      </c>
      <c r="B8" s="47">
        <v>3972600047.8899999</v>
      </c>
      <c r="C8" s="47">
        <v>4234494815.8499999</v>
      </c>
      <c r="D8" s="47">
        <v>4265839491.7800002</v>
      </c>
      <c r="E8" s="47">
        <v>4291989601.98</v>
      </c>
      <c r="F8" s="47">
        <v>4336895308.5699997</v>
      </c>
      <c r="G8" s="47">
        <v>4362447114.04</v>
      </c>
      <c r="H8" s="47">
        <v>4392041950.5100002</v>
      </c>
      <c r="I8" s="47">
        <v>4619717314.71</v>
      </c>
      <c r="J8" s="47">
        <v>4848445844.8000002</v>
      </c>
    </row>
    <row r="9" spans="1:10" ht="16.5">
      <c r="A9" s="46" t="s">
        <v>225</v>
      </c>
      <c r="B9" s="47">
        <v>46065186177</v>
      </c>
      <c r="C9" s="47">
        <v>45908361267.540009</v>
      </c>
      <c r="D9" s="47">
        <v>45253870390.850006</v>
      </c>
      <c r="E9" s="47">
        <v>45524715951.214706</v>
      </c>
      <c r="F9" s="47">
        <v>45749644294.654205</v>
      </c>
      <c r="G9" s="47">
        <v>45993877873.32811</v>
      </c>
      <c r="H9" s="47">
        <v>46069244637.507507</v>
      </c>
      <c r="I9" s="47">
        <v>47837509740.908691</v>
      </c>
      <c r="J9" s="47">
        <v>46709251286.749229</v>
      </c>
    </row>
    <row r="10" spans="1:10" ht="15.75">
      <c r="A10" s="50" t="s">
        <v>226</v>
      </c>
      <c r="B10" s="51">
        <f t="shared" ref="B10:F10" si="0">SUM(B2:B9)</f>
        <v>2019879952817.2942</v>
      </c>
      <c r="C10" s="51">
        <f t="shared" si="0"/>
        <v>2023797867882.8513</v>
      </c>
      <c r="D10" s="51">
        <f t="shared" si="0"/>
        <v>2120381651104.615</v>
      </c>
      <c r="E10" s="51">
        <f t="shared" si="0"/>
        <v>2247779681993.5161</v>
      </c>
      <c r="F10" s="51">
        <f t="shared" si="0"/>
        <v>2080204371491.0432</v>
      </c>
      <c r="G10" s="51">
        <f>SUM(G2:G9)</f>
        <v>2101781808992.5132</v>
      </c>
      <c r="H10" s="51">
        <f>SUM(H2:H9)</f>
        <v>2134044598687.9639</v>
      </c>
      <c r="I10" s="51">
        <f>SUM(I2:I9)</f>
        <v>2137525044219.979</v>
      </c>
      <c r="J10" s="51">
        <f>SUM(J2:J9)</f>
        <v>2218204777155.7969</v>
      </c>
    </row>
    <row r="11" spans="1:10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>
      <c r="A12" s="54" t="s">
        <v>227</v>
      </c>
      <c r="B12" s="55" t="s">
        <v>228</v>
      </c>
      <c r="C12" s="56">
        <f>(B10+C10)/2</f>
        <v>2021838910350.0728</v>
      </c>
      <c r="D12" s="57">
        <f t="shared" ref="D12:J12" si="1">(C10+D10)/2</f>
        <v>2072089759493.7332</v>
      </c>
      <c r="E12" s="57">
        <f t="shared" si="1"/>
        <v>2184080666549.0654</v>
      </c>
      <c r="F12" s="57">
        <f t="shared" si="1"/>
        <v>2163992026742.2798</v>
      </c>
      <c r="G12" s="57">
        <f>(F10+G10)/2</f>
        <v>2090993090241.7783</v>
      </c>
      <c r="H12" s="57">
        <f t="shared" si="1"/>
        <v>2117913203840.2385</v>
      </c>
      <c r="I12" s="57">
        <f t="shared" si="1"/>
        <v>2135784821453.9714</v>
      </c>
      <c r="J12" s="57">
        <f t="shared" si="1"/>
        <v>2177864910687.8879</v>
      </c>
    </row>
    <row r="15" spans="1:10">
      <c r="C15" s="110"/>
      <c r="D15" s="110"/>
      <c r="E15" s="110"/>
      <c r="F15" s="110"/>
      <c r="G15" s="110"/>
      <c r="H15" s="110"/>
      <c r="I15" s="110"/>
      <c r="J15" s="110"/>
    </row>
    <row r="16" spans="1:10">
      <c r="C16" s="110"/>
      <c r="D16" s="110"/>
      <c r="E16" s="110"/>
      <c r="F16" s="110"/>
      <c r="G16" s="110"/>
      <c r="H16" s="110"/>
      <c r="I16" s="110"/>
      <c r="J16" s="110"/>
    </row>
    <row r="18" spans="3:10">
      <c r="C18" s="70"/>
      <c r="D18" s="70"/>
      <c r="E18" s="70"/>
      <c r="F18" s="70"/>
      <c r="G18" s="70"/>
      <c r="H18" s="70"/>
      <c r="I18" s="70"/>
      <c r="J18" s="70"/>
    </row>
  </sheetData>
  <sheetProtection algorithmName="SHA-512" hashValue="f8PhDYJsYNEGzchKC3zyxvBRaUv4zfRhM9VWUDqw1b+ZenIRKEry1tMNXPYAWI20X1kCg1BivB+t62LwVmmADQ==" saltValue="8Jq9cIUMxHZFvkn4dvs0nQ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2024-03-06T09:28:07Z</dcterms:modified>
</cp:coreProperties>
</file>