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BAB9BA4E-2059-4D76-803C-50307EC3D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1" i="1" l="1"/>
  <c r="M111" i="1"/>
  <c r="K111" i="1"/>
  <c r="N113" i="1"/>
  <c r="M113" i="1"/>
  <c r="K113" i="1"/>
  <c r="N100" i="1"/>
  <c r="M100" i="1"/>
  <c r="N110" i="1" l="1"/>
  <c r="M110" i="1"/>
  <c r="K110" i="1"/>
  <c r="N103" i="1"/>
  <c r="M103" i="1"/>
  <c r="K103" i="1"/>
  <c r="N104" i="1"/>
  <c r="M104" i="1"/>
  <c r="K104" i="1"/>
  <c r="N128" i="1"/>
  <c r="M128" i="1"/>
  <c r="K128" i="1"/>
  <c r="N102" i="1"/>
  <c r="M102" i="1"/>
  <c r="K102" i="1"/>
  <c r="N101" i="1"/>
  <c r="M101" i="1"/>
  <c r="K101" i="1"/>
  <c r="N106" i="1" l="1"/>
  <c r="M106" i="1"/>
  <c r="K106" i="1"/>
  <c r="N124" i="1" l="1"/>
  <c r="M124" i="1"/>
  <c r="N112" i="1"/>
  <c r="M112" i="1"/>
  <c r="K112" i="1"/>
  <c r="N105" i="1"/>
  <c r="M105" i="1"/>
  <c r="K105" i="1"/>
  <c r="N122" i="1"/>
  <c r="M122" i="1"/>
  <c r="K122" i="1"/>
  <c r="N127" i="1"/>
  <c r="M127" i="1"/>
  <c r="N121" i="1"/>
  <c r="M121" i="1"/>
  <c r="N118" i="1" l="1"/>
  <c r="M118" i="1"/>
  <c r="K118" i="1"/>
  <c r="N123" i="1"/>
  <c r="M123" i="1"/>
  <c r="G128" i="1"/>
  <c r="F128" i="1"/>
  <c r="G127" i="1"/>
  <c r="F127" i="1"/>
  <c r="G124" i="1"/>
  <c r="F124" i="1"/>
  <c r="G123" i="1"/>
  <c r="F123" i="1"/>
  <c r="G122" i="1"/>
  <c r="F122" i="1"/>
  <c r="G121" i="1"/>
  <c r="F121" i="1"/>
  <c r="G118" i="1"/>
  <c r="F118" i="1"/>
  <c r="D128" i="1"/>
  <c r="D122" i="1"/>
  <c r="D118" i="1"/>
  <c r="G113" i="1"/>
  <c r="F113" i="1"/>
  <c r="G112" i="1"/>
  <c r="F112" i="1"/>
  <c r="G111" i="1"/>
  <c r="F111" i="1"/>
  <c r="G110" i="1"/>
  <c r="F110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D113" i="1"/>
  <c r="D112" i="1"/>
  <c r="D111" i="1"/>
  <c r="D110" i="1"/>
  <c r="D106" i="1"/>
  <c r="D105" i="1"/>
  <c r="D104" i="1"/>
  <c r="D103" i="1"/>
  <c r="D102" i="1"/>
  <c r="D101" i="1"/>
  <c r="V171" i="1" l="1"/>
  <c r="R104" i="1" l="1"/>
  <c r="S104" i="1"/>
  <c r="T104" i="1"/>
  <c r="U104" i="1"/>
  <c r="V104" i="1"/>
  <c r="R32" i="1"/>
  <c r="R67" i="1"/>
  <c r="S67" i="1"/>
  <c r="T67" i="1"/>
  <c r="U67" i="1"/>
  <c r="V67" i="1"/>
  <c r="V32" i="1"/>
  <c r="U32" i="1"/>
  <c r="T32" i="1"/>
  <c r="S32" i="1"/>
  <c r="T101" i="1" l="1"/>
  <c r="U101" i="1"/>
  <c r="V101" i="1"/>
  <c r="S101" i="1"/>
  <c r="R101" i="1"/>
  <c r="R86" i="1" l="1"/>
  <c r="O129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3" i="1"/>
  <c r="S103" i="1"/>
  <c r="T103" i="1"/>
  <c r="U103" i="1"/>
  <c r="V103" i="1"/>
  <c r="R154" i="1" l="1"/>
  <c r="S56" i="1" l="1"/>
  <c r="D137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6" i="1" l="1"/>
  <c r="S106" i="1"/>
  <c r="T106" i="1"/>
  <c r="U106" i="1"/>
  <c r="V106" i="1"/>
  <c r="R107" i="1"/>
  <c r="S107" i="1"/>
  <c r="T107" i="1"/>
  <c r="U107" i="1"/>
  <c r="V107" i="1"/>
  <c r="R202" i="1" l="1"/>
  <c r="R203" i="1"/>
  <c r="V127" i="1" l="1"/>
  <c r="U127" i="1"/>
  <c r="T127" i="1"/>
  <c r="R127" i="1"/>
  <c r="R94" i="1"/>
  <c r="S94" i="1"/>
  <c r="T94" i="1"/>
  <c r="U94" i="1"/>
  <c r="V94" i="1"/>
  <c r="R56" i="1"/>
  <c r="V56" i="1"/>
  <c r="U56" i="1"/>
  <c r="T56" i="1"/>
  <c r="R182" i="1"/>
  <c r="S127" i="1" l="1"/>
  <c r="R143" i="1" l="1"/>
  <c r="R122" i="1" l="1"/>
  <c r="S122" i="1"/>
  <c r="T122" i="1"/>
  <c r="U122" i="1"/>
  <c r="V122" i="1"/>
  <c r="R80" i="1"/>
  <c r="S80" i="1"/>
  <c r="T80" i="1"/>
  <c r="U80" i="1"/>
  <c r="V80" i="1"/>
  <c r="V196" i="1" l="1"/>
  <c r="T159" i="1"/>
  <c r="S159" i="1"/>
  <c r="R125" i="1" l="1"/>
  <c r="V155" i="1" l="1"/>
  <c r="T147" i="1" l="1"/>
  <c r="R141" i="1"/>
  <c r="S141" i="1"/>
  <c r="T141" i="1"/>
  <c r="U141" i="1"/>
  <c r="V141" i="1"/>
  <c r="R161" i="1"/>
  <c r="S161" i="1"/>
  <c r="T161" i="1"/>
  <c r="U161" i="1"/>
  <c r="V161" i="1"/>
  <c r="R121" i="1" l="1"/>
  <c r="S121" i="1"/>
  <c r="S183" i="1" l="1"/>
  <c r="V121" i="1"/>
  <c r="U121" i="1"/>
  <c r="T121" i="1"/>
  <c r="R69" i="1" l="1"/>
  <c r="V77" i="1" l="1"/>
  <c r="U77" i="1"/>
  <c r="T77" i="1"/>
  <c r="S77" i="1"/>
  <c r="R77" i="1"/>
  <c r="V83" i="1" l="1"/>
  <c r="U83" i="1"/>
  <c r="T83" i="1"/>
  <c r="S83" i="1"/>
  <c r="R83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4" i="1"/>
  <c r="U184" i="1"/>
  <c r="T184" i="1"/>
  <c r="S184" i="1"/>
  <c r="R184" i="1"/>
  <c r="T34" i="1" l="1"/>
  <c r="S22" i="1" l="1"/>
  <c r="T22" i="1"/>
  <c r="V105" i="1" l="1"/>
  <c r="R105" i="1"/>
  <c r="S105" i="1"/>
  <c r="T105" i="1"/>
  <c r="U105" i="1"/>
  <c r="R13" i="1" l="1"/>
  <c r="R50" i="1" l="1"/>
  <c r="V50" i="1"/>
  <c r="U50" i="1"/>
  <c r="T50" i="1"/>
  <c r="S50" i="1"/>
  <c r="V133" i="1" l="1"/>
  <c r="U133" i="1"/>
  <c r="T133" i="1"/>
  <c r="S133" i="1"/>
  <c r="R133" i="1"/>
  <c r="R74" i="1" l="1"/>
  <c r="V189" i="1" l="1"/>
  <c r="U189" i="1"/>
  <c r="T189" i="1"/>
  <c r="S189" i="1"/>
  <c r="R189" i="1"/>
  <c r="S177" i="1" l="1"/>
  <c r="D172" i="1" l="1"/>
  <c r="B18" i="2" s="1"/>
  <c r="B9" i="2" s="1"/>
  <c r="D129" i="1"/>
  <c r="E104" i="1" s="1"/>
  <c r="E103" i="1" l="1"/>
  <c r="E101" i="1"/>
  <c r="E127" i="1"/>
  <c r="B15" i="2"/>
  <c r="B6" i="2" s="1"/>
  <c r="E118" i="1"/>
  <c r="E122" i="1"/>
  <c r="E106" i="1"/>
  <c r="E121" i="1"/>
  <c r="R93" i="1"/>
  <c r="S93" i="1"/>
  <c r="T93" i="1"/>
  <c r="U93" i="1"/>
  <c r="V93" i="1"/>
  <c r="D212" i="1"/>
  <c r="D191" i="1"/>
  <c r="B19" i="2" s="1"/>
  <c r="B10" i="2" s="1"/>
  <c r="D58" i="1"/>
  <c r="B13" i="2" s="1"/>
  <c r="B4" i="2" s="1"/>
  <c r="E133" i="1" l="1"/>
  <c r="B16" i="2"/>
  <c r="B7" i="2" s="1"/>
  <c r="E181" i="1"/>
  <c r="E182" i="1"/>
  <c r="E183" i="1"/>
  <c r="E184" i="1"/>
  <c r="E185" i="1"/>
  <c r="E186" i="1"/>
  <c r="E187" i="1"/>
  <c r="E188" i="1"/>
  <c r="E189" i="1"/>
  <c r="E190" i="1"/>
  <c r="R170" i="1"/>
  <c r="R85" i="1" l="1"/>
  <c r="S85" i="1"/>
  <c r="T85" i="1"/>
  <c r="V85" i="1"/>
  <c r="U85" i="1"/>
  <c r="D23" i="1" l="1"/>
  <c r="B12" i="2" l="1"/>
  <c r="B3" i="2" s="1"/>
  <c r="E10" i="1"/>
  <c r="R119" i="1"/>
  <c r="R20" i="1" l="1"/>
  <c r="R201" i="1" l="1"/>
  <c r="S201" i="1"/>
  <c r="T201" i="1"/>
  <c r="U201" i="1"/>
  <c r="V201" i="1"/>
  <c r="S202" i="1"/>
  <c r="T202" i="1"/>
  <c r="U202" i="1"/>
  <c r="V202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S212" i="1"/>
  <c r="U212" i="1"/>
  <c r="V212" i="1"/>
  <c r="V200" i="1"/>
  <c r="U200" i="1"/>
  <c r="T200" i="1"/>
  <c r="S200" i="1"/>
  <c r="R200" i="1"/>
  <c r="U196" i="1"/>
  <c r="T196" i="1"/>
  <c r="S196" i="1"/>
  <c r="R196" i="1"/>
  <c r="V195" i="1"/>
  <c r="U195" i="1"/>
  <c r="T195" i="1"/>
  <c r="S195" i="1"/>
  <c r="R195" i="1"/>
  <c r="R181" i="1"/>
  <c r="S181" i="1"/>
  <c r="T181" i="1"/>
  <c r="U181" i="1"/>
  <c r="V181" i="1"/>
  <c r="S182" i="1"/>
  <c r="T182" i="1"/>
  <c r="U182" i="1"/>
  <c r="V182" i="1"/>
  <c r="R183" i="1"/>
  <c r="T183" i="1"/>
  <c r="U183" i="1"/>
  <c r="V183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90" i="1"/>
  <c r="S190" i="1"/>
  <c r="T190" i="1"/>
  <c r="U190" i="1"/>
  <c r="V190" i="1"/>
  <c r="S191" i="1"/>
  <c r="U191" i="1"/>
  <c r="V191" i="1"/>
  <c r="V180" i="1"/>
  <c r="U180" i="1"/>
  <c r="T180" i="1"/>
  <c r="S180" i="1"/>
  <c r="R180" i="1"/>
  <c r="V177" i="1"/>
  <c r="U177" i="1"/>
  <c r="T177" i="1"/>
  <c r="R177" i="1"/>
  <c r="V176" i="1"/>
  <c r="U176" i="1"/>
  <c r="T176" i="1"/>
  <c r="S176" i="1"/>
  <c r="R176" i="1"/>
  <c r="S170" i="1"/>
  <c r="T170" i="1"/>
  <c r="U170" i="1"/>
  <c r="V170" i="1"/>
  <c r="R171" i="1"/>
  <c r="S171" i="1"/>
  <c r="T171" i="1"/>
  <c r="U171" i="1"/>
  <c r="S172" i="1"/>
  <c r="U172" i="1"/>
  <c r="V172" i="1"/>
  <c r="V169" i="1"/>
  <c r="U169" i="1"/>
  <c r="T169" i="1"/>
  <c r="S169" i="1"/>
  <c r="R169" i="1"/>
  <c r="R142" i="1"/>
  <c r="S142" i="1"/>
  <c r="T142" i="1"/>
  <c r="U142" i="1"/>
  <c r="V142" i="1"/>
  <c r="S143" i="1"/>
  <c r="T143" i="1"/>
  <c r="U143" i="1"/>
  <c r="V143" i="1"/>
  <c r="R144" i="1"/>
  <c r="S144" i="1"/>
  <c r="T144" i="1"/>
  <c r="U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S154" i="1"/>
  <c r="T154" i="1"/>
  <c r="U154" i="1"/>
  <c r="V154" i="1"/>
  <c r="R155" i="1"/>
  <c r="S155" i="1"/>
  <c r="T155" i="1"/>
  <c r="U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U159" i="1"/>
  <c r="V159" i="1"/>
  <c r="R160" i="1"/>
  <c r="S160" i="1"/>
  <c r="T160" i="1"/>
  <c r="U160" i="1"/>
  <c r="V160" i="1"/>
  <c r="R162" i="1"/>
  <c r="S162" i="1"/>
  <c r="T162" i="1"/>
  <c r="U162" i="1"/>
  <c r="V162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S166" i="1"/>
  <c r="U166" i="1"/>
  <c r="V166" i="1"/>
  <c r="V140" i="1"/>
  <c r="U140" i="1"/>
  <c r="T140" i="1"/>
  <c r="S140" i="1"/>
  <c r="R140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S137" i="1"/>
  <c r="U137" i="1"/>
  <c r="V137" i="1"/>
  <c r="V132" i="1"/>
  <c r="U132" i="1"/>
  <c r="T132" i="1"/>
  <c r="S132" i="1"/>
  <c r="R132" i="1"/>
  <c r="R118" i="1"/>
  <c r="S118" i="1"/>
  <c r="T118" i="1"/>
  <c r="U118" i="1"/>
  <c r="V118" i="1"/>
  <c r="S119" i="1"/>
  <c r="T119" i="1"/>
  <c r="U119" i="1"/>
  <c r="V119" i="1"/>
  <c r="R120" i="1"/>
  <c r="S120" i="1"/>
  <c r="T120" i="1"/>
  <c r="U120" i="1"/>
  <c r="V120" i="1"/>
  <c r="R123" i="1"/>
  <c r="S123" i="1"/>
  <c r="T123" i="1"/>
  <c r="U123" i="1"/>
  <c r="V123" i="1"/>
  <c r="R124" i="1"/>
  <c r="S124" i="1"/>
  <c r="T124" i="1"/>
  <c r="U124" i="1"/>
  <c r="V124" i="1"/>
  <c r="S125" i="1"/>
  <c r="T125" i="1"/>
  <c r="U125" i="1"/>
  <c r="V125" i="1"/>
  <c r="R126" i="1"/>
  <c r="S126" i="1"/>
  <c r="T126" i="1"/>
  <c r="U126" i="1"/>
  <c r="V126" i="1"/>
  <c r="R128" i="1"/>
  <c r="S128" i="1"/>
  <c r="T128" i="1"/>
  <c r="U128" i="1"/>
  <c r="V128" i="1"/>
  <c r="S129" i="1"/>
  <c r="U129" i="1"/>
  <c r="V129" i="1"/>
  <c r="V117" i="1"/>
  <c r="U117" i="1"/>
  <c r="T117" i="1"/>
  <c r="S117" i="1"/>
  <c r="R117" i="1"/>
  <c r="R102" i="1"/>
  <c r="S102" i="1"/>
  <c r="T102" i="1"/>
  <c r="U102" i="1"/>
  <c r="V102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V100" i="1"/>
  <c r="U100" i="1"/>
  <c r="T100" i="1"/>
  <c r="S100" i="1"/>
  <c r="R100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R66" i="1"/>
  <c r="S66" i="1"/>
  <c r="T66" i="1"/>
  <c r="U66" i="1"/>
  <c r="R68" i="1"/>
  <c r="S68" i="1"/>
  <c r="T68" i="1"/>
  <c r="U68" i="1"/>
  <c r="V68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4" i="1"/>
  <c r="S84" i="1"/>
  <c r="T84" i="1"/>
  <c r="U84" i="1"/>
  <c r="V84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5" i="1"/>
  <c r="S95" i="1"/>
  <c r="T95" i="1"/>
  <c r="U95" i="1"/>
  <c r="V95" i="1"/>
  <c r="S96" i="1"/>
  <c r="U96" i="1"/>
  <c r="V96" i="1"/>
  <c r="V61" i="1"/>
  <c r="U61" i="1"/>
  <c r="T61" i="1"/>
  <c r="S61" i="1"/>
  <c r="R61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5" i="1"/>
  <c r="S55" i="1"/>
  <c r="T55" i="1"/>
  <c r="U55" i="1"/>
  <c r="V55" i="1"/>
  <c r="R57" i="1"/>
  <c r="S57" i="1"/>
  <c r="T57" i="1"/>
  <c r="U57" i="1"/>
  <c r="V57" i="1"/>
  <c r="S58" i="1"/>
  <c r="U58" i="1"/>
  <c r="V58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6" i="1" l="1"/>
  <c r="V144" i="1"/>
  <c r="O191" i="1" l="1"/>
  <c r="O212" i="1"/>
  <c r="K212" i="1"/>
  <c r="H212" i="1"/>
  <c r="K197" i="1"/>
  <c r="H197" i="1"/>
  <c r="D197" i="1"/>
  <c r="H191" i="1"/>
  <c r="K191" i="1"/>
  <c r="B5" i="3" s="1"/>
  <c r="H172" i="1"/>
  <c r="O172" i="1"/>
  <c r="K172" i="1"/>
  <c r="O166" i="1"/>
  <c r="K166" i="1"/>
  <c r="H166" i="1"/>
  <c r="D166" i="1"/>
  <c r="B17" i="2" s="1"/>
  <c r="B8" i="2" s="1"/>
  <c r="O137" i="1"/>
  <c r="K137" i="1"/>
  <c r="H137" i="1"/>
  <c r="T137" i="1" s="1"/>
  <c r="H129" i="1"/>
  <c r="K129" i="1"/>
  <c r="O96" i="1"/>
  <c r="K96" i="1"/>
  <c r="L67" i="1" s="1"/>
  <c r="H96" i="1"/>
  <c r="D96" i="1"/>
  <c r="E67" i="1" s="1"/>
  <c r="O58" i="1"/>
  <c r="K58" i="1"/>
  <c r="H58" i="1"/>
  <c r="O23" i="1"/>
  <c r="H23" i="1"/>
  <c r="L101" i="1" l="1"/>
  <c r="L104" i="1"/>
  <c r="E32" i="1"/>
  <c r="L32" i="1"/>
  <c r="L159" i="1"/>
  <c r="L160" i="1"/>
  <c r="L161" i="1"/>
  <c r="E57" i="1"/>
  <c r="E56" i="1"/>
  <c r="C17" i="2"/>
  <c r="C8" i="2" s="1"/>
  <c r="B4" i="3"/>
  <c r="C15" i="2"/>
  <c r="C6" i="2" s="1"/>
  <c r="L103" i="1"/>
  <c r="L133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4" i="1"/>
  <c r="B14" i="2"/>
  <c r="B5" i="2" s="1"/>
  <c r="L127" i="1"/>
  <c r="B9" i="3"/>
  <c r="L80" i="1"/>
  <c r="L94" i="1"/>
  <c r="L56" i="1"/>
  <c r="L181" i="1"/>
  <c r="L182" i="1"/>
  <c r="L183" i="1"/>
  <c r="L184" i="1"/>
  <c r="L185" i="1"/>
  <c r="L186" i="1"/>
  <c r="L187" i="1"/>
  <c r="L188" i="1"/>
  <c r="L189" i="1"/>
  <c r="L190" i="1"/>
  <c r="L121" i="1"/>
  <c r="L122" i="1"/>
  <c r="E77" i="1"/>
  <c r="E80" i="1"/>
  <c r="E160" i="1"/>
  <c r="E161" i="1"/>
  <c r="L87" i="1"/>
  <c r="L95" i="1"/>
  <c r="L77" i="1"/>
  <c r="L141" i="1"/>
  <c r="E141" i="1"/>
  <c r="L106" i="1"/>
  <c r="L119" i="1"/>
  <c r="L180" i="1"/>
  <c r="E83" i="1"/>
  <c r="L83" i="1"/>
  <c r="L54" i="1"/>
  <c r="L37" i="1"/>
  <c r="L210" i="1"/>
  <c r="L211" i="1"/>
  <c r="E50" i="1"/>
  <c r="L49" i="1"/>
  <c r="L51" i="1"/>
  <c r="L50" i="1"/>
  <c r="L52" i="1"/>
  <c r="L100" i="1"/>
  <c r="L117" i="1"/>
  <c r="L156" i="1"/>
  <c r="L162" i="1"/>
  <c r="L88" i="1"/>
  <c r="L64" i="1"/>
  <c r="L105" i="1"/>
  <c r="L26" i="1"/>
  <c r="L40" i="1"/>
  <c r="T191" i="1"/>
  <c r="L92" i="1"/>
  <c r="L93" i="1"/>
  <c r="E85" i="1"/>
  <c r="E93" i="1"/>
  <c r="T212" i="1"/>
  <c r="L85" i="1"/>
  <c r="T58" i="1"/>
  <c r="T172" i="1"/>
  <c r="R172" i="1"/>
  <c r="T96" i="1"/>
  <c r="T166" i="1"/>
  <c r="T23" i="1"/>
  <c r="R137" i="1"/>
  <c r="R212" i="1"/>
  <c r="T129" i="1"/>
  <c r="O192" i="1"/>
  <c r="O213" i="1" s="1"/>
  <c r="R166" i="1"/>
  <c r="L155" i="1"/>
  <c r="R129" i="1"/>
  <c r="R96" i="1"/>
  <c r="L63" i="1"/>
  <c r="L65" i="1"/>
  <c r="L68" i="1"/>
  <c r="L70" i="1"/>
  <c r="L72" i="1"/>
  <c r="L74" i="1"/>
  <c r="L76" i="1"/>
  <c r="L79" i="1"/>
  <c r="L82" i="1"/>
  <c r="L86" i="1"/>
  <c r="L90" i="1"/>
  <c r="L62" i="1"/>
  <c r="L66" i="1"/>
  <c r="L69" i="1"/>
  <c r="L71" i="1"/>
  <c r="L73" i="1"/>
  <c r="L75" i="1"/>
  <c r="L78" i="1"/>
  <c r="L81" i="1"/>
  <c r="L84" i="1"/>
  <c r="L89" i="1"/>
  <c r="L91" i="1"/>
  <c r="E28" i="1"/>
  <c r="E30" i="1"/>
  <c r="E33" i="1"/>
  <c r="E35" i="1"/>
  <c r="E37" i="1"/>
  <c r="E39" i="1"/>
  <c r="E41" i="1"/>
  <c r="E43" i="1"/>
  <c r="E45" i="1"/>
  <c r="E47" i="1"/>
  <c r="E49" i="1"/>
  <c r="E52" i="1"/>
  <c r="E54" i="1"/>
  <c r="E27" i="1"/>
  <c r="E29" i="1"/>
  <c r="E31" i="1"/>
  <c r="E34" i="1"/>
  <c r="E36" i="1"/>
  <c r="E38" i="1"/>
  <c r="E40" i="1"/>
  <c r="E42" i="1"/>
  <c r="E44" i="1"/>
  <c r="E46" i="1"/>
  <c r="E48" i="1"/>
  <c r="E51" i="1"/>
  <c r="E53" i="1"/>
  <c r="E55" i="1"/>
  <c r="E26" i="1"/>
  <c r="R191" i="1"/>
  <c r="H192" i="1"/>
  <c r="H213" i="1" s="1"/>
  <c r="J10" i="4"/>
  <c r="I12" i="4"/>
  <c r="H12" i="4"/>
  <c r="G12" i="4"/>
  <c r="F12" i="4"/>
  <c r="E12" i="4"/>
  <c r="C12" i="4"/>
  <c r="E208" i="1"/>
  <c r="L209" i="1"/>
  <c r="L208" i="1"/>
  <c r="L206" i="1"/>
  <c r="L205" i="1"/>
  <c r="L204" i="1"/>
  <c r="L202" i="1"/>
  <c r="L201" i="1"/>
  <c r="L200" i="1"/>
  <c r="L195" i="1"/>
  <c r="E195" i="1"/>
  <c r="L177" i="1"/>
  <c r="L169" i="1"/>
  <c r="E171" i="1"/>
  <c r="E165" i="1"/>
  <c r="E162" i="1"/>
  <c r="L154" i="1"/>
  <c r="L152" i="1"/>
  <c r="L149" i="1"/>
  <c r="L146" i="1"/>
  <c r="L144" i="1"/>
  <c r="L140" i="1"/>
  <c r="L135" i="1"/>
  <c r="E136" i="1"/>
  <c r="L136" i="1"/>
  <c r="E92" i="1"/>
  <c r="E91" i="1"/>
  <c r="E89" i="1"/>
  <c r="E87" i="1"/>
  <c r="E84" i="1"/>
  <c r="E81" i="1"/>
  <c r="E78" i="1"/>
  <c r="E75" i="1"/>
  <c r="E73" i="1"/>
  <c r="E71" i="1"/>
  <c r="E69" i="1"/>
  <c r="E66" i="1"/>
  <c r="E64" i="1"/>
  <c r="E62" i="1"/>
  <c r="L53" i="1"/>
  <c r="R58" i="1"/>
  <c r="L34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2" i="1"/>
  <c r="L142" i="1"/>
  <c r="L145" i="1"/>
  <c r="L148" i="1"/>
  <c r="L150" i="1"/>
  <c r="L153" i="1"/>
  <c r="L157" i="1"/>
  <c r="E19" i="1"/>
  <c r="L61" i="1"/>
  <c r="E65" i="1"/>
  <c r="E132" i="1"/>
  <c r="E140" i="1"/>
  <c r="E142" i="1"/>
  <c r="E143" i="1"/>
  <c r="E148" i="1"/>
  <c r="E149" i="1"/>
  <c r="E150" i="1"/>
  <c r="E151" i="1"/>
  <c r="E156" i="1"/>
  <c r="E159" i="1"/>
  <c r="E164" i="1"/>
  <c r="E12" i="1"/>
  <c r="E14" i="1"/>
  <c r="E17" i="1"/>
  <c r="E21" i="1"/>
  <c r="L30" i="1"/>
  <c r="L39" i="1"/>
  <c r="L45" i="1"/>
  <c r="K192" i="1"/>
  <c r="L134" i="1"/>
  <c r="E144" i="1"/>
  <c r="E145" i="1"/>
  <c r="E146" i="1"/>
  <c r="E147" i="1"/>
  <c r="E152" i="1"/>
  <c r="E153" i="1"/>
  <c r="E154" i="1"/>
  <c r="E155" i="1"/>
  <c r="E157" i="1"/>
  <c r="E158" i="1"/>
  <c r="E163" i="1"/>
  <c r="L176" i="1"/>
  <c r="L110" i="1"/>
  <c r="L109" i="1"/>
  <c r="L35" i="1"/>
  <c r="L46" i="1"/>
  <c r="L55" i="1"/>
  <c r="E135" i="1"/>
  <c r="L164" i="1"/>
  <c r="L171" i="1"/>
  <c r="E203" i="1"/>
  <c r="E207" i="1"/>
  <c r="E211" i="1"/>
  <c r="D12" i="4"/>
  <c r="E102" i="1"/>
  <c r="L38" i="1"/>
  <c r="L41" i="1"/>
  <c r="L31" i="1"/>
  <c r="L43" i="1"/>
  <c r="L143" i="1"/>
  <c r="L147" i="1"/>
  <c r="L151" i="1"/>
  <c r="E170" i="1"/>
  <c r="E180" i="1"/>
  <c r="E196" i="1"/>
  <c r="L203" i="1"/>
  <c r="L207" i="1"/>
  <c r="L29" i="1"/>
  <c r="E7" i="1"/>
  <c r="E18" i="1"/>
  <c r="E22" i="1"/>
  <c r="L28" i="1"/>
  <c r="L48" i="1"/>
  <c r="E61" i="1"/>
  <c r="E70" i="1"/>
  <c r="E74" i="1"/>
  <c r="E79" i="1"/>
  <c r="E86" i="1"/>
  <c r="E90" i="1"/>
  <c r="E95" i="1"/>
  <c r="E134" i="1"/>
  <c r="L158" i="1"/>
  <c r="L163" i="1"/>
  <c r="L170" i="1"/>
  <c r="L196" i="1"/>
  <c r="R197" i="1"/>
  <c r="E202" i="1"/>
  <c r="E206" i="1"/>
  <c r="E210" i="1"/>
  <c r="E169" i="1"/>
  <c r="E177" i="1"/>
  <c r="E201" i="1"/>
  <c r="E205" i="1"/>
  <c r="E209" i="1"/>
  <c r="L47" i="1"/>
  <c r="L57" i="1"/>
  <c r="L27" i="1"/>
  <c r="L36" i="1"/>
  <c r="E176" i="1"/>
  <c r="E13" i="1"/>
  <c r="E16" i="1"/>
  <c r="L33" i="1"/>
  <c r="L44" i="1"/>
  <c r="E63" i="1"/>
  <c r="E68" i="1"/>
  <c r="E72" i="1"/>
  <c r="E76" i="1"/>
  <c r="E82" i="1"/>
  <c r="E88" i="1"/>
  <c r="L165" i="1"/>
  <c r="E200" i="1"/>
  <c r="E204" i="1"/>
  <c r="L120" i="1" l="1"/>
  <c r="L102" i="1"/>
  <c r="L107" i="1"/>
  <c r="L113" i="1"/>
  <c r="L124" i="1"/>
  <c r="L108" i="1"/>
  <c r="K213" i="1"/>
  <c r="L23" i="1"/>
  <c r="L166" i="1"/>
  <c r="L58" i="1"/>
  <c r="L137" i="1"/>
  <c r="L96" i="1"/>
  <c r="L129" i="1"/>
  <c r="L191" i="1"/>
  <c r="L172" i="1"/>
  <c r="L112" i="1"/>
  <c r="L111" i="1"/>
  <c r="L128" i="1"/>
  <c r="L123" i="1"/>
  <c r="L125" i="1"/>
  <c r="L114" i="1"/>
  <c r="L126" i="1"/>
  <c r="L118" i="1"/>
  <c r="E126" i="1"/>
  <c r="E123" i="1"/>
  <c r="E114" i="1"/>
  <c r="E111" i="1"/>
  <c r="E108" i="1"/>
  <c r="E113" i="1"/>
  <c r="E109" i="1"/>
  <c r="E119" i="1"/>
  <c r="E110" i="1"/>
  <c r="D192" i="1"/>
  <c r="E128" i="1"/>
  <c r="E100" i="1"/>
  <c r="E112" i="1"/>
  <c r="E107" i="1"/>
  <c r="E125" i="1"/>
  <c r="E124" i="1"/>
  <c r="E120" i="1"/>
  <c r="E117" i="1"/>
  <c r="E129" i="1" l="1"/>
  <c r="R192" i="1"/>
  <c r="E58" i="1"/>
  <c r="E166" i="1"/>
  <c r="D213" i="1"/>
  <c r="E96" i="1"/>
  <c r="E23" i="1"/>
  <c r="E191" i="1"/>
  <c r="E137" i="1"/>
  <c r="E172" i="1"/>
</calcChain>
</file>

<file path=xl/sharedStrings.xml><?xml version="1.0" encoding="utf-8"?>
<sst xmlns="http://schemas.openxmlformats.org/spreadsheetml/2006/main" count="446" uniqueCount="281">
  <si>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</si>
  <si>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</si>
  <si>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</si>
  <si>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</si>
  <si>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</si>
  <si>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</si>
  <si>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</si>
  <si>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</si>
  <si>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</si>
  <si>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</si>
  <si>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</si>
  <si>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</si>
  <si>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</si>
  <si>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</si>
  <si>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</si>
  <si>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</si>
  <si>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</si>
  <si>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</si>
  <si>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</si>
  <si>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</si>
  <si>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</si>
  <si>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</si>
  <si>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</si>
  <si>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</si>
  <si>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</si>
  <si>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</si>
  <si>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</si>
  <si>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</si>
  <si>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</si>
  <si>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</si>
  <si>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</si>
  <si>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</si>
  <si>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</si>
  <si>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</si>
  <si>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</si>
  <si>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</si>
  <si>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</si>
  <si>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</si>
  <si>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</si>
  <si>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</si>
  <si>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</si>
  <si>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</si>
  <si>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</si>
  <si>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</si>
  <si>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</si>
  <si>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</si>
  <si>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</si>
  <si>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</si>
  <si>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</si>
  <si>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</si>
  <si>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</si>
  <si>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</si>
  <si>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</si>
  <si>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</si>
  <si>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</si>
  <si>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</si>
  <si>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</si>
  <si>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</si>
  <si>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</si>
  <si>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</si>
  <si>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</si>
  <si>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</si>
  <si>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</si>
  <si>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</si>
  <si>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</si>
  <si>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</si>
  <si>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</si>
  <si>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</si>
  <si>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</si>
  <si>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</si>
  <si>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</si>
  <si>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</si>
  <si>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</si>
  <si>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</si>
  <si>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</si>
  <si>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</si>
  <si>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</si>
  <si>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</si>
  <si>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</si>
  <si>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</si>
  <si>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</si>
  <si>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</si>
  <si>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</si>
  <si>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</si>
  <si>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</si>
  <si>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</si>
  <si>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</si>
  <si>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</si>
  <si>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</si>
  <si>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</si>
  <si>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</si>
  <si>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</si>
  <si>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</si>
  <si>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</si>
  <si>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</si>
  <si>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</si>
  <si>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</si>
  <si>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</si>
  <si>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</si>
  <si>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</si>
  <si>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</si>
  <si>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</si>
  <si>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</si>
  <si>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</si>
  <si>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</si>
  <si>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</si>
  <si>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</si>
  <si>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</si>
  <si>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</si>
  <si>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</si>
  <si>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</si>
  <si>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</si>
  <si>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</si>
  <si>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</si>
  <si>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</si>
  <si>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</si>
  <si>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</si>
  <si>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</si>
  <si>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</si>
  <si>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</si>
  <si>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</si>
  <si>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</si>
  <si>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</si>
  <si>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</si>
  <si>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</si>
  <si>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</si>
  <si>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</si>
  <si>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</si>
  <si>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</si>
  <si>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</si>
  <si>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</si>
  <si>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</si>
  <si>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</si>
  <si>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</si>
  <si>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</si>
  <si>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</si>
  <si>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</si>
  <si>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</si>
  <si>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</si>
  <si>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</si>
  <si>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</si>
  <si>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</si>
  <si>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</si>
  <si>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</si>
  <si>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</si>
  <si>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</si>
  <si>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</si>
  <si>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</si>
  <si>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</si>
  <si>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</si>
  <si>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</si>
  <si>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</si>
  <si>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</si>
  <si>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</si>
  <si>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</si>
  <si>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</si>
  <si>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</si>
  <si>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</si>
  <si>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</si>
  <si>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</si>
  <si>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</si>
  <si>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</si>
  <si>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</si>
  <si>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</si>
  <si>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</si>
  <si>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</si>
  <si>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</si>
  <si>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</si>
  <si>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</si>
  <si>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</si>
  <si>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</si>
  <si>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</si>
  <si>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</si>
  <si>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</si>
  <si>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</si>
  <si>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</si>
  <si>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</si>
  <si>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</si>
  <si>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</si>
  <si>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</si>
  <si>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</si>
  <si>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</si>
  <si>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</si>
  <si>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</si>
  <si>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</si>
  <si>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</si>
  <si>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</si>
  <si>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</si>
  <si>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</si>
  <si>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</si>
  <si>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</si>
  <si>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</si>
  <si>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</si>
  <si>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</si>
  <si>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</si>
  <si>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</si>
  <si>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</si>
  <si>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</si>
  <si>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</si>
  <si>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</si>
  <si>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</si>
  <si>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</si>
  <si>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</si>
  <si>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</si>
  <si>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</si>
  <si>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</si>
  <si>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</si>
  <si>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</si>
  <si>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</si>
  <si>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</si>
  <si>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</si>
  <si>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</si>
  <si>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</si>
  <si>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</si>
  <si>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</si>
  <si>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</si>
  <si>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</si>
  <si>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</si>
  <si>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</si>
  <si>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</si>
  <si>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</si>
  <si>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</si>
  <si>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</si>
  <si>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</si>
  <si>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</si>
  <si>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</si>
  <si>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</si>
  <si>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</si>
  <si>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</si>
  <si>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</si>
  <si>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</si>
  <si>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</si>
  <si>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</si>
  <si>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</si>
  <si>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</si>
  <si>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</si>
  <si>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</si>
  <si>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</si>
  <si>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</si>
  <si>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</si>
  <si>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</si>
  <si>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</si>
  <si>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</si>
  <si>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</si>
  <si>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</si>
  <si>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</si>
  <si>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</si>
  <si>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</si>
  <si>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</si>
  <si>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</si>
  <si>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</si>
  <si>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</si>
  <si>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</si>
  <si>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</si>
  <si>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</si>
  <si>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</si>
  <si>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</si>
  <si>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</si>
  <si>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</si>
  <si>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</si>
  <si>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</si>
  <si>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</si>
  <si>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</si>
  <si>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</si>
  <si>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</si>
  <si>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</si>
  <si>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</si>
  <si>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</si>
  <si>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</si>
  <si>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s</t>
  </si>
  <si>
    <t>NAV, Unit Price and Yield as at Week Ended May 17, 2024</t>
  </si>
  <si>
    <t>Comercio Partners Asset Management Limited</t>
  </si>
  <si>
    <t>Comercio Partners Money Market Fund</t>
  </si>
  <si>
    <t>Comercio Partners Fixed Income Fund</t>
  </si>
  <si>
    <t>Comercio Partners Dollar Fund</t>
  </si>
  <si>
    <t>Week Ended May 17, 2024</t>
  </si>
  <si>
    <t>WEEKLY VALUATION REPORT OF COLLECTIVE INVESTMENT SCHEMES AS AT WEEK ENDED FRIDAY, MAY 24, 2024</t>
  </si>
  <si>
    <t>NAV, Unit Price and Yield as at Week Ended May 24,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</si>
  <si>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24th May, 2024 = N1,481.119</t>
    </r>
  </si>
  <si>
    <t>The chart above shows that the Dollar Fund category (Eurobonds and Fixed Income) has the highest share of the Aggregate Net Asset Value (NAV) at 49.15%, followed by Money Market Fund with 34.46%, Bond/Fixed Income Fund at 8.39%, Real Estate Investment Trust at 3.45%.  Next is Shari'ah Compliant Fund at 1.78%, Balanced Fund at 1.66%, Equity Fund at 0.94% and Ethical Fund at 0.17%.</t>
  </si>
  <si>
    <t>Week Ended May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</si>
</sst>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4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" fontId="49" fillId="3" borderId="5" xfId="0" applyNumberFormat="1" applyFont="1" applyFill="1" applyBorder="1" applyAlignment="1">
      <alignment horizontal="center" wrapText="1"/>
    </xf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4" fontId="50" fillId="3" borderId="0" xfId="0" applyNumberFormat="1" applyFont="1" applyFill="1"/>
    <xf numFmtId="0" fontId="6" fillId="4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horizontal="left"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17,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27.187812730463602</c:v>
                </c:pt>
                <c:pt idx="1">
                  <c:v>974.78864850033574</c:v>
                </c:pt>
                <c:pt idx="2">
                  <c:v>244.01717118790228</c:v>
                </c:pt>
                <c:pt idx="3">
                  <c:v>1433.1002934685864</c:v>
                </c:pt>
                <c:pt idx="4">
                  <c:v>99.095338201223825</c:v>
                </c:pt>
                <c:pt idx="5" formatCode="_-* #,##0.00_-;\-* #,##0.00_-;_-* &quot;-&quot;??_-;_-@_-">
                  <c:v>48.528341927034383</c:v>
                </c:pt>
                <c:pt idx="6">
                  <c:v>4.7917528381499999</c:v>
                </c:pt>
                <c:pt idx="7">
                  <c:v>51.188420633276351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24,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26.745861363273004</c:v>
                </c:pt>
                <c:pt idx="1">
                  <c:v>984.56612172851305</c:v>
                </c:pt>
                <c:pt idx="2">
                  <c:v>239.7472082621791</c:v>
                </c:pt>
                <c:pt idx="3">
                  <c:v>1403.9426416315687</c:v>
                </c:pt>
                <c:pt idx="4">
                  <c:v>98.590301385434415</c:v>
                </c:pt>
                <c:pt idx="5" formatCode="_-* #,##0.00_-;\-* #,##0.00_-;_-* &quot;-&quot;??_-;_-@_-">
                  <c:v>47.384871316741325</c:v>
                </c:pt>
                <c:pt idx="6">
                  <c:v>4.7632378417700005</c:v>
                </c:pt>
                <c:pt idx="7">
                  <c:v>50.977525627555075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24TH MAY,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24-May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4763237841.7700005</c:v>
                </c:pt>
                <c:pt idx="1">
                  <c:v>26745861363.273003</c:v>
                </c:pt>
                <c:pt idx="2" formatCode="_-* #,##0.00_-;\-* #,##0.00_-;_-* &quot;-&quot;??_-;_-@_-">
                  <c:v>47384871316.741325</c:v>
                </c:pt>
                <c:pt idx="3">
                  <c:v>50977525627.555077</c:v>
                </c:pt>
                <c:pt idx="4">
                  <c:v>98590301385.434418</c:v>
                </c:pt>
                <c:pt idx="5">
                  <c:v>239747208262.17911</c:v>
                </c:pt>
                <c:pt idx="6">
                  <c:v>984566121728.51306</c:v>
                </c:pt>
                <c:pt idx="7">
                  <c:v>1403942641631.5686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45387</c:v>
                </c:pt>
                <c:pt idx="1">
                  <c:v>45394</c:v>
                </c:pt>
                <c:pt idx="2">
                  <c:v>45401</c:v>
                </c:pt>
                <c:pt idx="3">
                  <c:v>45408</c:v>
                </c:pt>
                <c:pt idx="4">
                  <c:v>45415</c:v>
                </c:pt>
                <c:pt idx="5">
                  <c:v>45422</c:v>
                </c:pt>
                <c:pt idx="6">
                  <c:v>45429</c:v>
                </c:pt>
                <c:pt idx="7">
                  <c:v>45436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2589.6638814860466</c:v>
                </c:pt>
                <c:pt idx="1">
                  <c:v>2515.3217074592571</c:v>
                </c:pt>
                <c:pt idx="2">
                  <c:v>2510.7979153396032</c:v>
                </c:pt>
                <c:pt idx="3">
                  <c:v>2662.1939749035823</c:v>
                </c:pt>
                <c:pt idx="4">
                  <c:v>2732.0956989192559</c:v>
                </c:pt>
                <c:pt idx="5">
                  <c:v>2805.3798287181139</c:v>
                </c:pt>
                <c:pt idx="6">
                  <c:v>2882.6977794869722</c:v>
                </c:pt>
                <c:pt idx="7">
                  <c:v>2856.7177691570346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45387</c:v>
                </c:pt>
                <c:pt idx="1">
                  <c:v>45394</c:v>
                </c:pt>
                <c:pt idx="2">
                  <c:v>45401</c:v>
                </c:pt>
                <c:pt idx="3">
                  <c:v>45408</c:v>
                </c:pt>
                <c:pt idx="4">
                  <c:v>45415</c:v>
                </c:pt>
                <c:pt idx="5">
                  <c:v>45422</c:v>
                </c:pt>
                <c:pt idx="6">
                  <c:v>45429</c:v>
                </c:pt>
                <c:pt idx="7">
                  <c:v>45436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13.392488443196084</c:v>
                </c:pt>
                <c:pt idx="1">
                  <c:v>13.204581677229028</c:v>
                </c:pt>
                <c:pt idx="2">
                  <c:v>12.730402807627465</c:v>
                </c:pt>
                <c:pt idx="3">
                  <c:v>12.735357486958618</c:v>
                </c:pt>
                <c:pt idx="4">
                  <c:v>13.067918239830002</c:v>
                </c:pt>
                <c:pt idx="5">
                  <c:v>13.03449671834</c:v>
                </c:pt>
                <c:pt idx="6">
                  <c:v>13.029745632197505</c:v>
                </c:pt>
                <c:pt idx="7">
                  <c:v>12.86344406107283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7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6" t="s">
        <v>276</v>
      </c>
      <c r="B1" s="157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</row>
    <row r="2" spans="1:25" ht="15" customHeight="1">
      <c r="A2" s="1"/>
      <c r="B2" s="1"/>
      <c r="C2" s="1"/>
      <c r="D2" s="163" t="s">
        <v>270</v>
      </c>
      <c r="E2" s="164"/>
      <c r="F2" s="164"/>
      <c r="G2" s="164"/>
      <c r="H2" s="164"/>
      <c r="I2" s="164"/>
      <c r="J2" s="165"/>
      <c r="K2" s="163" t="s">
        <v>277</v>
      </c>
      <c r="L2" s="164"/>
      <c r="M2" s="164"/>
      <c r="N2" s="164"/>
      <c r="O2" s="164"/>
      <c r="P2" s="164"/>
      <c r="Q2" s="165"/>
      <c r="R2" s="163" t="s">
        <v>0</v>
      </c>
      <c r="S2" s="164"/>
      <c r="T2" s="165"/>
      <c r="U2" s="160" t="s">
        <v>1</v>
      </c>
      <c r="V2" s="160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5" ht="15" customHeight="1">
      <c r="A5" s="162" t="s">
        <v>15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5">
      <c r="A6" s="75">
        <v>1</v>
      </c>
      <c r="B6" s="143" t="s">
        <v>16</v>
      </c>
      <c r="C6" s="144" t="s">
        <v>17</v>
      </c>
      <c r="D6" s="2">
        <v>1071617508.35</v>
      </c>
      <c r="E6" s="3">
        <f t="shared" ref="E6:E22" si="0">(D6/$D$23)</f>
        <v>3.9415363014813846E-2</v>
      </c>
      <c r="F6" s="8">
        <v>317.11939999999998</v>
      </c>
      <c r="G6" s="8">
        <v>317.11939999999998</v>
      </c>
      <c r="H6" s="60">
        <v>1739</v>
      </c>
      <c r="I6" s="5">
        <v>-3.0800000000000001E-2</v>
      </c>
      <c r="J6" s="5">
        <v>5.9200000000000003E-2</v>
      </c>
      <c r="K6" s="2">
        <v>1036608409.29</v>
      </c>
      <c r="L6" s="3">
        <f>(K6/$K$23)</f>
        <v>3.8757712649832785E-2</v>
      </c>
      <c r="M6" s="8">
        <v>313.23419999999999</v>
      </c>
      <c r="N6" s="8">
        <v>313.23419999999999</v>
      </c>
      <c r="O6" s="60">
        <v>1739</v>
      </c>
      <c r="P6" s="5">
        <v>-1.23E-2</v>
      </c>
      <c r="Q6" s="5">
        <v>4.6699999999999998E-2</v>
      </c>
      <c r="R6" s="80">
        <f>((K6-D6)/D6)</f>
        <v>-3.266939816418693E-2</v>
      </c>
      <c r="S6" s="80">
        <f>((N6-G6)/G6)</f>
        <v>-1.2251536802857213E-2</v>
      </c>
      <c r="T6" s="80">
        <f>((O6-H6)/H6)</f>
        <v>0</v>
      </c>
      <c r="U6" s="81">
        <f>P6-I6</f>
        <v>1.8500000000000003E-2</v>
      </c>
      <c r="V6" s="83">
        <f>Q6-J6</f>
        <v>-1.2500000000000004E-2</v>
      </c>
    </row>
    <row r="7" spans="1:25">
      <c r="A7" s="75">
        <v>2</v>
      </c>
      <c r="B7" s="143" t="s">
        <v>18</v>
      </c>
      <c r="C7" s="144" t="s">
        <v>19</v>
      </c>
      <c r="D7" s="4">
        <v>584308406</v>
      </c>
      <c r="E7" s="3">
        <f t="shared" si="0"/>
        <v>2.1491556227518437E-2</v>
      </c>
      <c r="F7" s="4">
        <v>215.83420000000001</v>
      </c>
      <c r="G7" s="4">
        <v>218.3741</v>
      </c>
      <c r="H7" s="60">
        <v>393</v>
      </c>
      <c r="I7" s="5">
        <v>2.1970000000000002E-3</v>
      </c>
      <c r="J7" s="5">
        <v>0.1157</v>
      </c>
      <c r="K7" s="4">
        <v>579603911.42999995</v>
      </c>
      <c r="L7" s="3">
        <f t="shared" ref="L7:L22" si="1">(K7/$K$23)</f>
        <v>2.1670788745876884E-2</v>
      </c>
      <c r="M7" s="4">
        <v>214.09899999999999</v>
      </c>
      <c r="N7" s="4">
        <v>216.6112</v>
      </c>
      <c r="O7" s="60">
        <v>394</v>
      </c>
      <c r="P7" s="5">
        <v>-2.8040000000000001E-3</v>
      </c>
      <c r="Q7" s="5">
        <v>0.1067</v>
      </c>
      <c r="R7" s="80">
        <f t="shared" ref="R7:R23" si="2">((K7-D7)/D7)</f>
        <v>-8.0513895088479229E-3</v>
      </c>
      <c r="S7" s="80">
        <f t="shared" ref="S7:S23" si="3">((N7-G7)/G7)</f>
        <v>-8.0728438033631361E-3</v>
      </c>
      <c r="T7" s="80">
        <f t="shared" ref="T7:T23" si="4">((O7-H7)/H7)</f>
        <v>2.5445292620865142E-3</v>
      </c>
      <c r="U7" s="81">
        <f t="shared" ref="U7:U23" si="5">P7-I7</f>
        <v>-5.0010000000000002E-3</v>
      </c>
      <c r="V7" s="83">
        <f t="shared" ref="V7:V23" si="6">Q7-J7</f>
        <v>-8.9999999999999941E-3</v>
      </c>
    </row>
    <row r="8" spans="1:25">
      <c r="A8" s="75">
        <v>3</v>
      </c>
      <c r="B8" s="143" t="s">
        <v>20</v>
      </c>
      <c r="C8" s="144" t="s">
        <v>21</v>
      </c>
      <c r="D8" s="4">
        <v>3865907374.5799999</v>
      </c>
      <c r="E8" s="3">
        <f t="shared" si="0"/>
        <v>0.14219265863370831</v>
      </c>
      <c r="F8" s="4">
        <v>35.862900000000003</v>
      </c>
      <c r="G8" s="4">
        <v>36.944200000000002</v>
      </c>
      <c r="H8" s="62">
        <v>6462</v>
      </c>
      <c r="I8" s="6">
        <v>-0.252</v>
      </c>
      <c r="J8" s="6">
        <v>0.46129999999999999</v>
      </c>
      <c r="K8" s="4">
        <v>3827308550.1900001</v>
      </c>
      <c r="L8" s="3">
        <f t="shared" si="1"/>
        <v>0.14309909477978527</v>
      </c>
      <c r="M8" s="4">
        <v>35.498100000000001</v>
      </c>
      <c r="N8" s="4">
        <v>36.568399999999997</v>
      </c>
      <c r="O8" s="62">
        <v>6466</v>
      </c>
      <c r="P8" s="6">
        <v>-0.53190000000000004</v>
      </c>
      <c r="Q8" s="6">
        <v>0.40889999999999999</v>
      </c>
      <c r="R8" s="80">
        <f t="shared" si="2"/>
        <v>-9.9844152096875624E-3</v>
      </c>
      <c r="S8" s="80">
        <f t="shared" si="3"/>
        <v>-1.0172097379291072E-2</v>
      </c>
      <c r="T8" s="80">
        <f t="shared" si="4"/>
        <v>6.1900340451872485E-4</v>
      </c>
      <c r="U8" s="81">
        <f t="shared" si="5"/>
        <v>-0.27990000000000004</v>
      </c>
      <c r="V8" s="83">
        <f t="shared" si="6"/>
        <v>-5.2400000000000002E-2</v>
      </c>
      <c r="X8" s="102"/>
      <c r="Y8" s="102"/>
    </row>
    <row r="9" spans="1:25">
      <c r="A9" s="75">
        <v>4</v>
      </c>
      <c r="B9" s="143" t="s">
        <v>22</v>
      </c>
      <c r="C9" s="144" t="s">
        <v>23</v>
      </c>
      <c r="D9" s="4">
        <v>699285468.88999999</v>
      </c>
      <c r="E9" s="3">
        <f t="shared" si="0"/>
        <v>2.5720548976213134E-2</v>
      </c>
      <c r="F9" s="4">
        <v>225.32</v>
      </c>
      <c r="G9" s="4">
        <v>225.32</v>
      </c>
      <c r="H9" s="60">
        <v>1788</v>
      </c>
      <c r="I9" s="5">
        <v>1.15E-2</v>
      </c>
      <c r="J9" s="5">
        <v>0.10589999999999999</v>
      </c>
      <c r="K9" s="4">
        <v>600517924.10000002</v>
      </c>
      <c r="L9" s="3">
        <f t="shared" si="1"/>
        <v>2.2452741975422852E-2</v>
      </c>
      <c r="M9" s="4">
        <v>195.36</v>
      </c>
      <c r="N9" s="4">
        <v>195.36</v>
      </c>
      <c r="O9" s="60">
        <v>1773</v>
      </c>
      <c r="P9" s="5">
        <v>-1.3599999999999999E-2</v>
      </c>
      <c r="Q9" s="5">
        <v>0.13730000000000001</v>
      </c>
      <c r="R9" s="80">
        <f t="shared" si="2"/>
        <v>-0.14124066519897388</v>
      </c>
      <c r="S9" s="80">
        <f t="shared" si="3"/>
        <v>-0.13296644771879984</v>
      </c>
      <c r="T9" s="80">
        <f t="shared" si="4"/>
        <v>-8.389261744966443E-3</v>
      </c>
      <c r="U9" s="81">
        <f t="shared" si="5"/>
        <v>-2.5099999999999997E-2</v>
      </c>
      <c r="V9" s="83">
        <f t="shared" si="6"/>
        <v>3.1400000000000011E-2</v>
      </c>
    </row>
    <row r="10" spans="1:25">
      <c r="A10" s="75">
        <v>5</v>
      </c>
      <c r="B10" s="143" t="s">
        <v>266</v>
      </c>
      <c r="C10" s="144" t="s">
        <v>99</v>
      </c>
      <c r="D10" s="4">
        <v>572741755.49000001</v>
      </c>
      <c r="E10" s="3">
        <f t="shared" si="0"/>
        <v>2.1066121102425062E-2</v>
      </c>
      <c r="F10" s="4">
        <v>0.83879999999999999</v>
      </c>
      <c r="G10" s="4">
        <v>0.85489999999999999</v>
      </c>
      <c r="H10" s="60">
        <v>548</v>
      </c>
      <c r="I10" s="5">
        <v>-4.82E-2</v>
      </c>
      <c r="J10" s="5">
        <v>-0.15690000000000001</v>
      </c>
      <c r="K10" s="4">
        <v>552752358.13999999</v>
      </c>
      <c r="L10" s="3">
        <f t="shared" si="1"/>
        <v>2.066683703442174E-2</v>
      </c>
      <c r="M10" s="4">
        <v>0.81479999999999997</v>
      </c>
      <c r="N10" s="4">
        <v>0.82110000000000005</v>
      </c>
      <c r="O10" s="60">
        <v>544</v>
      </c>
      <c r="P10" s="5">
        <v>-3.49E-2</v>
      </c>
      <c r="Q10" s="5">
        <v>-0.18140000000000001</v>
      </c>
      <c r="R10" s="80">
        <f t="shared" ref="R10" si="7">((K10-D10)/D10)</f>
        <v>-3.490123979680583E-2</v>
      </c>
      <c r="S10" s="80">
        <f t="shared" ref="S10" si="8">((N10-G10)/G10)</f>
        <v>-3.9536787928412614E-2</v>
      </c>
      <c r="T10" s="80">
        <f t="shared" ref="T10" si="9">((O10-H10)/H10)</f>
        <v>-7.2992700729927005E-3</v>
      </c>
      <c r="U10" s="81">
        <f t="shared" ref="U10" si="10">P10-I10</f>
        <v>1.3299999999999999E-2</v>
      </c>
      <c r="V10" s="83">
        <f t="shared" ref="V10" si="11">Q10-J10</f>
        <v>-2.4499999999999994E-2</v>
      </c>
    </row>
    <row r="11" spans="1:25">
      <c r="A11" s="75">
        <v>6</v>
      </c>
      <c r="B11" s="143" t="s">
        <v>24</v>
      </c>
      <c r="C11" s="144" t="s">
        <v>25</v>
      </c>
      <c r="D11" s="7">
        <v>85283676.109999999</v>
      </c>
      <c r="E11" s="3">
        <f t="shared" si="0"/>
        <v>3.1368347632629058E-3</v>
      </c>
      <c r="F11" s="4">
        <v>151.887</v>
      </c>
      <c r="G11" s="4">
        <v>152.38910000000001</v>
      </c>
      <c r="H11" s="62">
        <v>90</v>
      </c>
      <c r="I11" s="6">
        <v>1.299E-3</v>
      </c>
      <c r="J11" s="6">
        <v>0.3145</v>
      </c>
      <c r="K11" s="7">
        <v>85288502.049999997</v>
      </c>
      <c r="L11" s="3">
        <f t="shared" si="1"/>
        <v>3.1888485807795605E-3</v>
      </c>
      <c r="M11" s="4">
        <v>151.62049999999999</v>
      </c>
      <c r="N11" s="4">
        <v>152.11940000000001</v>
      </c>
      <c r="O11" s="62">
        <v>90</v>
      </c>
      <c r="P11" s="6">
        <v>-1.835E-3</v>
      </c>
      <c r="Q11" s="6">
        <v>0.31280000000000002</v>
      </c>
      <c r="R11" s="80">
        <f t="shared" si="2"/>
        <v>5.6586913464811899E-5</v>
      </c>
      <c r="S11" s="80">
        <f t="shared" si="3"/>
        <v>-1.7698116203849242E-3</v>
      </c>
      <c r="T11" s="80">
        <f t="shared" si="4"/>
        <v>0</v>
      </c>
      <c r="U11" s="81">
        <f t="shared" si="5"/>
        <v>-3.1340000000000001E-3</v>
      </c>
      <c r="V11" s="83">
        <f t="shared" si="6"/>
        <v>-1.6999999999999793E-3</v>
      </c>
    </row>
    <row r="12" spans="1:25">
      <c r="A12" s="75">
        <v>7</v>
      </c>
      <c r="B12" s="143" t="s">
        <v>26</v>
      </c>
      <c r="C12" s="144" t="s">
        <v>27</v>
      </c>
      <c r="D12" s="4">
        <v>1020515620.8200001</v>
      </c>
      <c r="E12" s="3">
        <f t="shared" si="0"/>
        <v>3.7535774978931104E-2</v>
      </c>
      <c r="F12" s="4">
        <v>273.02</v>
      </c>
      <c r="G12" s="4">
        <v>276.74</v>
      </c>
      <c r="H12" s="62">
        <v>1617</v>
      </c>
      <c r="I12" s="6">
        <v>8.0000000000000004E-4</v>
      </c>
      <c r="J12" s="6">
        <v>9.7900000000000001E-2</v>
      </c>
      <c r="K12" s="4">
        <v>1011998153.74</v>
      </c>
      <c r="L12" s="3">
        <f t="shared" si="1"/>
        <v>3.783756073489785E-2</v>
      </c>
      <c r="M12" s="4">
        <v>271.02999999999997</v>
      </c>
      <c r="N12" s="4">
        <v>274.72000000000003</v>
      </c>
      <c r="O12" s="62">
        <v>1616</v>
      </c>
      <c r="P12" s="6">
        <v>-7.3000000000000001E-3</v>
      </c>
      <c r="Q12" s="6">
        <v>8.9899999999999994E-2</v>
      </c>
      <c r="R12" s="80">
        <f t="shared" si="2"/>
        <v>-8.3462388093149681E-3</v>
      </c>
      <c r="S12" s="80">
        <f t="shared" si="3"/>
        <v>-7.2992700729926346E-3</v>
      </c>
      <c r="T12" s="80">
        <f t="shared" si="4"/>
        <v>-6.1842918985776133E-4</v>
      </c>
      <c r="U12" s="81">
        <f t="shared" si="5"/>
        <v>-8.0999999999999996E-3</v>
      </c>
      <c r="V12" s="83">
        <f t="shared" si="6"/>
        <v>-8.0000000000000071E-3</v>
      </c>
    </row>
    <row r="13" spans="1:25">
      <c r="A13" s="75">
        <v>8</v>
      </c>
      <c r="B13" s="143" t="s">
        <v>28</v>
      </c>
      <c r="C13" s="144" t="s">
        <v>29</v>
      </c>
      <c r="D13" s="2">
        <v>317927798.81</v>
      </c>
      <c r="E13" s="3">
        <f t="shared" si="0"/>
        <v>1.169376153800581E-2</v>
      </c>
      <c r="F13" s="4">
        <v>159.71</v>
      </c>
      <c r="G13" s="4">
        <v>162.16999999999999</v>
      </c>
      <c r="H13" s="60">
        <v>2466</v>
      </c>
      <c r="I13" s="5">
        <v>-2.9329999999999998E-2</v>
      </c>
      <c r="J13" s="5">
        <v>-5.1369999999999999E-2</v>
      </c>
      <c r="K13" s="2">
        <v>313116037.74000001</v>
      </c>
      <c r="L13" s="3">
        <f t="shared" si="1"/>
        <v>1.1707083704919149E-2</v>
      </c>
      <c r="M13" s="4">
        <v>157.29</v>
      </c>
      <c r="N13" s="4">
        <v>159.63999999999999</v>
      </c>
      <c r="O13" s="60">
        <v>2466</v>
      </c>
      <c r="P13" s="5">
        <v>-1.18E-2</v>
      </c>
      <c r="Q13" s="5">
        <v>-6.2600000000000003E-2</v>
      </c>
      <c r="R13" s="80">
        <f t="shared" si="2"/>
        <v>-1.5134760433061714E-2</v>
      </c>
      <c r="S13" s="80">
        <f t="shared" si="3"/>
        <v>-1.5600912622556584E-2</v>
      </c>
      <c r="T13" s="80">
        <f t="shared" si="4"/>
        <v>0</v>
      </c>
      <c r="U13" s="81">
        <f t="shared" si="5"/>
        <v>1.7529999999999997E-2</v>
      </c>
      <c r="V13" s="83">
        <f t="shared" si="6"/>
        <v>-1.1230000000000004E-2</v>
      </c>
    </row>
    <row r="14" spans="1:25">
      <c r="A14" s="75" t="s">
        <v>269</v>
      </c>
      <c r="B14" s="143" t="s">
        <v>30</v>
      </c>
      <c r="C14" s="144" t="s">
        <v>31</v>
      </c>
      <c r="D14" s="7">
        <v>48441464.060000002</v>
      </c>
      <c r="E14" s="3">
        <f t="shared" si="0"/>
        <v>1.7817345050976446E-3</v>
      </c>
      <c r="F14" s="4">
        <v>173.73</v>
      </c>
      <c r="G14" s="4">
        <v>178.47</v>
      </c>
      <c r="H14" s="60">
        <v>13</v>
      </c>
      <c r="I14" s="5">
        <v>-1.0200000000000001E-2</v>
      </c>
      <c r="J14" s="5">
        <v>-3.78E-2</v>
      </c>
      <c r="K14" s="7">
        <v>48390122.299999997</v>
      </c>
      <c r="L14" s="3">
        <f t="shared" si="1"/>
        <v>1.8092564544004014E-3</v>
      </c>
      <c r="M14" s="4">
        <v>173.55</v>
      </c>
      <c r="N14" s="4">
        <v>178.28</v>
      </c>
      <c r="O14" s="60">
        <v>13</v>
      </c>
      <c r="P14" s="5">
        <v>-1.1000000000000001E-3</v>
      </c>
      <c r="Q14" s="5">
        <v>-3.8800000000000001E-2</v>
      </c>
      <c r="R14" s="80">
        <f t="shared" si="2"/>
        <v>-1.0598721776124073E-3</v>
      </c>
      <c r="S14" s="80">
        <f t="shared" si="3"/>
        <v>-1.0646046954670126E-3</v>
      </c>
      <c r="T14" s="80">
        <f t="shared" si="4"/>
        <v>0</v>
      </c>
      <c r="U14" s="81">
        <f t="shared" si="5"/>
        <v>9.1000000000000004E-3</v>
      </c>
      <c r="V14" s="83">
        <f t="shared" si="6"/>
        <v>-1.0000000000000009E-3</v>
      </c>
    </row>
    <row r="15" spans="1:25" ht="14.25" customHeight="1">
      <c r="A15" s="75">
        <v>10</v>
      </c>
      <c r="B15" s="143" t="s">
        <v>238</v>
      </c>
      <c r="C15" s="144" t="s">
        <v>32</v>
      </c>
      <c r="D15" s="2">
        <v>472871610.84359998</v>
      </c>
      <c r="E15" s="3">
        <f t="shared" si="0"/>
        <v>1.7392778725217321E-2</v>
      </c>
      <c r="F15" s="4">
        <v>1.5427999999999999</v>
      </c>
      <c r="G15" s="4">
        <v>1.5920000000000001</v>
      </c>
      <c r="H15" s="60">
        <v>442</v>
      </c>
      <c r="I15" s="5">
        <v>-1.8200330915107532E-2</v>
      </c>
      <c r="J15" s="5">
        <v>-8.9632383312680752E-2</v>
      </c>
      <c r="K15" s="2">
        <v>478016642.93300003</v>
      </c>
      <c r="L15" s="3">
        <f t="shared" si="1"/>
        <v>1.7872546202209998E-2</v>
      </c>
      <c r="M15" s="4">
        <v>1.5586</v>
      </c>
      <c r="N15" s="4">
        <v>1.6080000000000001</v>
      </c>
      <c r="O15" s="60">
        <v>443</v>
      </c>
      <c r="P15" s="5">
        <v>1.0241120041483143E-2</v>
      </c>
      <c r="Q15" s="5">
        <v>-8.0309199268307152E-2</v>
      </c>
      <c r="R15" s="80">
        <f t="shared" si="2"/>
        <v>1.0880399608302449E-2</v>
      </c>
      <c r="S15" s="80">
        <f t="shared" si="3"/>
        <v>1.0050251256281416E-2</v>
      </c>
      <c r="T15" s="80">
        <f t="shared" si="4"/>
        <v>2.2624434389140274E-3</v>
      </c>
      <c r="U15" s="81">
        <f t="shared" si="5"/>
        <v>2.8441450956590675E-2</v>
      </c>
      <c r="V15" s="83">
        <f t="shared" si="6"/>
        <v>9.3231840443736003E-3</v>
      </c>
    </row>
    <row r="16" spans="1:25">
      <c r="A16" s="75">
        <v>11</v>
      </c>
      <c r="B16" s="143" t="s">
        <v>33</v>
      </c>
      <c r="C16" s="144" t="s">
        <v>34</v>
      </c>
      <c r="D16" s="2">
        <v>1563230836.4400001</v>
      </c>
      <c r="E16" s="3">
        <f t="shared" si="0"/>
        <v>5.7497484330117504E-2</v>
      </c>
      <c r="F16" s="4">
        <v>3.17</v>
      </c>
      <c r="G16" s="4">
        <v>3.23</v>
      </c>
      <c r="H16" s="60">
        <v>3670</v>
      </c>
      <c r="I16" s="5">
        <v>-9.7999999999999997E-3</v>
      </c>
      <c r="J16" s="5">
        <v>0.1424</v>
      </c>
      <c r="K16" s="2">
        <v>1564231722.3900001</v>
      </c>
      <c r="L16" s="3">
        <f t="shared" si="1"/>
        <v>5.8485000768678873E-2</v>
      </c>
      <c r="M16" s="4">
        <v>3.17</v>
      </c>
      <c r="N16" s="4">
        <v>3.23</v>
      </c>
      <c r="O16" s="60">
        <v>3670</v>
      </c>
      <c r="P16" s="5">
        <v>-8.3000000000000001E-3</v>
      </c>
      <c r="Q16" s="5">
        <v>0.1431</v>
      </c>
      <c r="R16" s="80">
        <f t="shared" si="2"/>
        <v>6.4026753225991889E-4</v>
      </c>
      <c r="S16" s="80">
        <f t="shared" si="3"/>
        <v>0</v>
      </c>
      <c r="T16" s="80">
        <f t="shared" si="4"/>
        <v>0</v>
      </c>
      <c r="U16" s="81">
        <f t="shared" si="5"/>
        <v>1.4999999999999996E-3</v>
      </c>
      <c r="V16" s="83">
        <f t="shared" si="6"/>
        <v>7.0000000000000617E-4</v>
      </c>
    </row>
    <row r="17" spans="1:22">
      <c r="A17" s="75">
        <v>12</v>
      </c>
      <c r="B17" s="143" t="s">
        <v>35</v>
      </c>
      <c r="C17" s="144" t="s">
        <v>36</v>
      </c>
      <c r="D17" s="4">
        <v>569087400.62</v>
      </c>
      <c r="E17" s="3">
        <f t="shared" si="0"/>
        <v>2.0931709595834635E-2</v>
      </c>
      <c r="F17" s="4">
        <v>18.940000000000001</v>
      </c>
      <c r="G17" s="4">
        <v>19.11</v>
      </c>
      <c r="H17" s="60">
        <v>329</v>
      </c>
      <c r="I17" s="5">
        <v>5.7579970039338679E-3</v>
      </c>
      <c r="J17" s="5">
        <v>3.1600000000000003E-2</v>
      </c>
      <c r="K17" s="4">
        <v>564020360.12</v>
      </c>
      <c r="L17" s="3">
        <f t="shared" si="1"/>
        <v>2.1088135934724611E-2</v>
      </c>
      <c r="M17" s="4">
        <v>18.694576999999999</v>
      </c>
      <c r="N17" s="4">
        <v>18.849537000000002</v>
      </c>
      <c r="O17" s="60">
        <v>327</v>
      </c>
      <c r="P17" s="5">
        <v>5.7579970039338679E-3</v>
      </c>
      <c r="Q17" s="5">
        <v>1.7814160722138483E-2</v>
      </c>
      <c r="R17" s="80">
        <f t="shared" si="2"/>
        <v>-8.9038001798662971E-3</v>
      </c>
      <c r="S17" s="80">
        <f t="shared" si="3"/>
        <v>-1.362967032967022E-2</v>
      </c>
      <c r="T17" s="80">
        <f t="shared" si="4"/>
        <v>-6.0790273556231003E-3</v>
      </c>
      <c r="U17" s="81">
        <f t="shared" si="5"/>
        <v>0</v>
      </c>
      <c r="V17" s="83">
        <f t="shared" si="6"/>
        <v>-1.378583927786152E-2</v>
      </c>
    </row>
    <row r="18" spans="1:22">
      <c r="A18" s="75">
        <v>13</v>
      </c>
      <c r="B18" s="143" t="s">
        <v>37</v>
      </c>
      <c r="C18" s="144" t="s">
        <v>38</v>
      </c>
      <c r="D18" s="4">
        <v>337536264.55000001</v>
      </c>
      <c r="E18" s="3">
        <f t="shared" si="0"/>
        <v>1.2414984165746989E-2</v>
      </c>
      <c r="F18" s="4">
        <v>2.4271699999999998</v>
      </c>
      <c r="G18" s="4">
        <v>2.456709</v>
      </c>
      <c r="H18" s="60">
        <v>22</v>
      </c>
      <c r="I18" s="5">
        <v>0.67500000000000004</v>
      </c>
      <c r="J18" s="5">
        <v>0.1249</v>
      </c>
      <c r="K18" s="4">
        <v>332817437.16000003</v>
      </c>
      <c r="L18" s="3">
        <f t="shared" si="1"/>
        <v>1.2443698583475786E-2</v>
      </c>
      <c r="M18" s="4">
        <v>2.3932370000000001</v>
      </c>
      <c r="N18" s="4">
        <v>2.4236170000000001</v>
      </c>
      <c r="O18" s="60">
        <v>22</v>
      </c>
      <c r="P18" s="5">
        <v>-8.8000000000000092E-3</v>
      </c>
      <c r="Q18" s="5">
        <v>0.1095</v>
      </c>
      <c r="R18" s="80">
        <f t="shared" si="2"/>
        <v>-1.398020860452159E-2</v>
      </c>
      <c r="S18" s="80">
        <f t="shared" si="3"/>
        <v>-1.3470052822698943E-2</v>
      </c>
      <c r="T18" s="80">
        <f t="shared" si="4"/>
        <v>0</v>
      </c>
      <c r="U18" s="81">
        <f t="shared" si="5"/>
        <v>-0.68380000000000007</v>
      </c>
      <c r="V18" s="83">
        <f t="shared" si="6"/>
        <v>-1.5399999999999997E-2</v>
      </c>
    </row>
    <row r="19" spans="1:22">
      <c r="A19" s="75">
        <v>14</v>
      </c>
      <c r="B19" s="143" t="s">
        <v>39</v>
      </c>
      <c r="C19" s="144" t="s">
        <v>40</v>
      </c>
      <c r="D19" s="2">
        <v>1355514694.4000001</v>
      </c>
      <c r="E19" s="3">
        <f t="shared" si="0"/>
        <v>4.9857438251410459E-2</v>
      </c>
      <c r="F19" s="4">
        <v>24.76</v>
      </c>
      <c r="G19" s="4">
        <v>25.29</v>
      </c>
      <c r="H19" s="60">
        <v>8834</v>
      </c>
      <c r="I19" s="5">
        <v>-4.0899999999999999E-2</v>
      </c>
      <c r="J19" s="5">
        <v>-1.55E-2</v>
      </c>
      <c r="K19" s="2">
        <v>1367321544.54</v>
      </c>
      <c r="L19" s="3">
        <f t="shared" si="1"/>
        <v>5.1122733568700257E-2</v>
      </c>
      <c r="M19" s="4">
        <v>25.01</v>
      </c>
      <c r="N19" s="4">
        <v>25.49</v>
      </c>
      <c r="O19" s="60">
        <v>8834</v>
      </c>
      <c r="P19" s="5">
        <v>-8.5000000000000006E-3</v>
      </c>
      <c r="Q19" s="5">
        <v>-6.8999999999999999E-3</v>
      </c>
      <c r="R19" s="80">
        <f t="shared" si="2"/>
        <v>8.7102339714775316E-3</v>
      </c>
      <c r="S19" s="80">
        <f t="shared" si="3"/>
        <v>7.9082641360221154E-3</v>
      </c>
      <c r="T19" s="80">
        <f t="shared" si="4"/>
        <v>0</v>
      </c>
      <c r="U19" s="81">
        <f t="shared" si="5"/>
        <v>3.2399999999999998E-2</v>
      </c>
      <c r="V19" s="83">
        <f t="shared" si="6"/>
        <v>8.6E-3</v>
      </c>
    </row>
    <row r="20" spans="1:22" ht="12.75" customHeight="1">
      <c r="A20" s="75">
        <v>15</v>
      </c>
      <c r="B20" s="143" t="s">
        <v>41</v>
      </c>
      <c r="C20" s="144" t="s">
        <v>42</v>
      </c>
      <c r="D20" s="2">
        <v>595132656.63999999</v>
      </c>
      <c r="E20" s="3">
        <f t="shared" si="0"/>
        <v>2.1889685004824289E-2</v>
      </c>
      <c r="F20" s="4">
        <v>5799.56</v>
      </c>
      <c r="G20" s="4">
        <v>5869.37</v>
      </c>
      <c r="H20" s="60">
        <v>21</v>
      </c>
      <c r="I20" s="5">
        <v>-1.03E-2</v>
      </c>
      <c r="J20" s="5">
        <v>7.7399999999999997E-2</v>
      </c>
      <c r="K20" s="2">
        <v>592735097.42999995</v>
      </c>
      <c r="L20" s="3">
        <f t="shared" si="1"/>
        <v>2.2161750163108767E-2</v>
      </c>
      <c r="M20" s="4">
        <v>5776.55</v>
      </c>
      <c r="N20" s="4">
        <v>5845.48</v>
      </c>
      <c r="O20" s="60">
        <v>21</v>
      </c>
      <c r="P20" s="5">
        <v>-4.1000000000000003E-3</v>
      </c>
      <c r="Q20" s="5">
        <v>7.2999999999999995E-2</v>
      </c>
      <c r="R20" s="80">
        <f t="shared" si="2"/>
        <v>-4.0286130886115004E-3</v>
      </c>
      <c r="S20" s="80">
        <f t="shared" si="3"/>
        <v>-4.0702835227631462E-3</v>
      </c>
      <c r="T20" s="80">
        <f t="shared" si="4"/>
        <v>0</v>
      </c>
      <c r="U20" s="81">
        <f t="shared" si="5"/>
        <v>6.1999999999999998E-3</v>
      </c>
      <c r="V20" s="83">
        <f t="shared" si="6"/>
        <v>-4.4000000000000011E-3</v>
      </c>
    </row>
    <row r="21" spans="1:22">
      <c r="A21" s="75">
        <v>16</v>
      </c>
      <c r="B21" s="143" t="s">
        <v>43</v>
      </c>
      <c r="C21" s="144" t="s">
        <v>42</v>
      </c>
      <c r="D21" s="4">
        <v>11013261888.85</v>
      </c>
      <c r="E21" s="3">
        <f t="shared" si="0"/>
        <v>0.40508083522694638</v>
      </c>
      <c r="F21" s="4">
        <v>18547.41</v>
      </c>
      <c r="G21" s="4">
        <v>18791.04</v>
      </c>
      <c r="H21" s="60">
        <v>17379</v>
      </c>
      <c r="I21" s="5">
        <v>-1.77E-2</v>
      </c>
      <c r="J21" s="5">
        <v>2.3300000000000001E-2</v>
      </c>
      <c r="K21" s="4">
        <v>10818719993.440001</v>
      </c>
      <c r="L21" s="3">
        <f t="shared" si="1"/>
        <v>0.40450071308214053</v>
      </c>
      <c r="M21" s="4">
        <v>18261.04</v>
      </c>
      <c r="N21" s="4">
        <v>18499.12</v>
      </c>
      <c r="O21" s="60">
        <v>17376</v>
      </c>
      <c r="P21" s="5">
        <v>-1.55E-2</v>
      </c>
      <c r="Q21" s="5">
        <v>7.4000000000000003E-3</v>
      </c>
      <c r="R21" s="80">
        <f t="shared" si="2"/>
        <v>-1.7664330275025706E-2</v>
      </c>
      <c r="S21" s="80">
        <f t="shared" si="3"/>
        <v>-1.553506351963499E-2</v>
      </c>
      <c r="T21" s="80">
        <f t="shared" si="4"/>
        <v>-1.7262213015708613E-4</v>
      </c>
      <c r="U21" s="81">
        <f t="shared" si="5"/>
        <v>2.2000000000000006E-3</v>
      </c>
      <c r="V21" s="83">
        <f t="shared" si="6"/>
        <v>-1.5900000000000001E-2</v>
      </c>
    </row>
    <row r="22" spans="1:22">
      <c r="A22" s="75">
        <v>17</v>
      </c>
      <c r="B22" s="144" t="s">
        <v>44</v>
      </c>
      <c r="C22" s="144" t="s">
        <v>45</v>
      </c>
      <c r="D22" s="4">
        <v>3015148305.0100002</v>
      </c>
      <c r="E22" s="3">
        <f t="shared" si="0"/>
        <v>0.1109007309599262</v>
      </c>
      <c r="F22" s="4">
        <v>1.4851000000000001</v>
      </c>
      <c r="G22" s="8">
        <v>1.4995000000000001</v>
      </c>
      <c r="H22" s="60">
        <v>3791</v>
      </c>
      <c r="I22" s="5">
        <v>-2.6200000000000001E-2</v>
      </c>
      <c r="J22" s="5">
        <v>9.2799999999999994E-2</v>
      </c>
      <c r="K22" s="4">
        <v>2972414596.2800002</v>
      </c>
      <c r="L22" s="3">
        <f t="shared" si="1"/>
        <v>0.11113549703662463</v>
      </c>
      <c r="M22" s="4">
        <v>1.4641</v>
      </c>
      <c r="N22" s="8">
        <v>1.4782</v>
      </c>
      <c r="O22" s="60">
        <v>3793</v>
      </c>
      <c r="P22" s="5">
        <v>-1.41E-2</v>
      </c>
      <c r="Q22" s="5">
        <v>7.7200000000000005E-2</v>
      </c>
      <c r="R22" s="80">
        <f t="shared" si="2"/>
        <v>-1.4173003914597922E-2</v>
      </c>
      <c r="S22" s="80">
        <f t="shared" si="3"/>
        <v>-1.4204734911637276E-2</v>
      </c>
      <c r="T22" s="80">
        <f t="shared" si="4"/>
        <v>5.2756528620416781E-4</v>
      </c>
      <c r="U22" s="81">
        <f t="shared" si="5"/>
        <v>1.2100000000000001E-2</v>
      </c>
      <c r="V22" s="83">
        <f t="shared" si="6"/>
        <v>-1.5599999999999989E-2</v>
      </c>
    </row>
    <row r="23" spans="1:22">
      <c r="A23" s="75"/>
      <c r="B23" s="19"/>
      <c r="C23" s="71" t="s">
        <v>46</v>
      </c>
      <c r="D23" s="58">
        <f>SUM(D6:D22)</f>
        <v>27187812730.4636</v>
      </c>
      <c r="E23" s="100">
        <f>(D23/$D$192)</f>
        <v>9.4313781083572908E-3</v>
      </c>
      <c r="F23" s="30"/>
      <c r="G23" s="31"/>
      <c r="H23" s="65">
        <f>SUM(H6:H22)</f>
        <v>49604</v>
      </c>
      <c r="I23" s="28"/>
      <c r="J23" s="60">
        <v>0</v>
      </c>
      <c r="K23" s="58">
        <f>SUM(K6:K22)</f>
        <v>26745861363.273003</v>
      </c>
      <c r="L23" s="100">
        <f>(K23/$K$192)</f>
        <v>9.3624444290712067E-3</v>
      </c>
      <c r="M23" s="30"/>
      <c r="N23" s="31"/>
      <c r="O23" s="65">
        <f>SUM(O6:O22)</f>
        <v>49587</v>
      </c>
      <c r="P23" s="28"/>
      <c r="Q23" s="65"/>
      <c r="R23" s="80">
        <f t="shared" si="2"/>
        <v>-1.6255495488807625E-2</v>
      </c>
      <c r="S23" s="80" t="e">
        <f t="shared" si="3"/>
        <v>#DIV/0!</v>
      </c>
      <c r="T23" s="80">
        <f t="shared" si="4"/>
        <v>-3.4271429723409404E-4</v>
      </c>
      <c r="U23" s="81">
        <f t="shared" si="5"/>
        <v>0</v>
      </c>
      <c r="V23" s="83">
        <f t="shared" si="6"/>
        <v>0</v>
      </c>
    </row>
    <row r="24" spans="1:22" ht="9" customHeigh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</row>
    <row r="25" spans="1:22" ht="15" customHeight="1">
      <c r="A25" s="162" t="s">
        <v>47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</row>
    <row r="26" spans="1:22">
      <c r="A26" s="75">
        <v>18</v>
      </c>
      <c r="B26" s="143" t="s">
        <v>48</v>
      </c>
      <c r="C26" s="144" t="s">
        <v>17</v>
      </c>
      <c r="D26" s="9">
        <v>929893571.89999998</v>
      </c>
      <c r="E26" s="3">
        <f>(D26/$K$58)</f>
        <v>9.4447041328973467E-4</v>
      </c>
      <c r="F26" s="8">
        <v>100</v>
      </c>
      <c r="G26" s="8">
        <v>100</v>
      </c>
      <c r="H26" s="60">
        <v>773</v>
      </c>
      <c r="I26" s="5">
        <v>0.16800000000000001</v>
      </c>
      <c r="J26" s="5">
        <v>0.16800000000000001</v>
      </c>
      <c r="K26" s="9">
        <v>962145242.23000002</v>
      </c>
      <c r="L26" s="3">
        <f t="shared" ref="L26:L57" si="12">(K26/$K$58)</f>
        <v>9.7722765489924573E-4</v>
      </c>
      <c r="M26" s="8">
        <v>100</v>
      </c>
      <c r="N26" s="8">
        <v>100</v>
      </c>
      <c r="O26" s="60">
        <v>773</v>
      </c>
      <c r="P26" s="5">
        <v>0.1401</v>
      </c>
      <c r="Q26" s="5">
        <v>0.1401</v>
      </c>
      <c r="R26" s="80">
        <f>((K26-D26)/D26)</f>
        <v>3.4683184511214542E-2</v>
      </c>
      <c r="S26" s="80">
        <f>((N26-G26)/G26)</f>
        <v>0</v>
      </c>
      <c r="T26" s="80">
        <f>((O26-H26)/H26)</f>
        <v>0</v>
      </c>
      <c r="U26" s="81">
        <f>P26-I26</f>
        <v>-2.7900000000000008E-2</v>
      </c>
      <c r="V26" s="83">
        <f>Q26-J26</f>
        <v>-2.7900000000000008E-2</v>
      </c>
    </row>
    <row r="27" spans="1:22">
      <c r="A27" s="75">
        <v>19</v>
      </c>
      <c r="B27" s="143" t="s">
        <v>49</v>
      </c>
      <c r="C27" s="144" t="s">
        <v>50</v>
      </c>
      <c r="D27" s="9">
        <v>5446136791.8999996</v>
      </c>
      <c r="E27" s="3">
        <f t="shared" ref="E27:E57" si="13">(D27/$K$58)</f>
        <v>5.5315094351801519E-3</v>
      </c>
      <c r="F27" s="8">
        <v>100</v>
      </c>
      <c r="G27" s="8">
        <v>100</v>
      </c>
      <c r="H27" s="60">
        <v>1425</v>
      </c>
      <c r="I27" s="5">
        <v>0.161361</v>
      </c>
      <c r="J27" s="5">
        <v>0.161361</v>
      </c>
      <c r="K27" s="9">
        <v>5387142889.1700001</v>
      </c>
      <c r="L27" s="3">
        <f t="shared" si="12"/>
        <v>5.4715907548314622E-3</v>
      </c>
      <c r="M27" s="8">
        <v>100</v>
      </c>
      <c r="N27" s="8">
        <v>100</v>
      </c>
      <c r="O27" s="60">
        <v>1425</v>
      </c>
      <c r="P27" s="5">
        <v>0.18056900000000001</v>
      </c>
      <c r="Q27" s="5">
        <v>0.18056900000000001</v>
      </c>
      <c r="R27" s="80">
        <f t="shared" ref="R27:R58" si="14">((K27-D27)/D27)</f>
        <v>-1.083224769854124E-2</v>
      </c>
      <c r="S27" s="80">
        <f t="shared" ref="S27:S58" si="15">((N27-G27)/G27)</f>
        <v>0</v>
      </c>
      <c r="T27" s="80">
        <f t="shared" ref="T27:T58" si="16">((O27-H27)/H27)</f>
        <v>0</v>
      </c>
      <c r="U27" s="81">
        <f t="shared" ref="U27:U58" si="17">P27-I27</f>
        <v>1.9208000000000003E-2</v>
      </c>
      <c r="V27" s="83">
        <f t="shared" ref="V27:V58" si="18">Q27-J27</f>
        <v>1.9208000000000003E-2</v>
      </c>
    </row>
    <row r="28" spans="1:22">
      <c r="A28" s="75">
        <v>20</v>
      </c>
      <c r="B28" s="143" t="s">
        <v>51</v>
      </c>
      <c r="C28" s="144" t="s">
        <v>19</v>
      </c>
      <c r="D28" s="9">
        <v>383373787.18000001</v>
      </c>
      <c r="E28" s="3">
        <f t="shared" si="13"/>
        <v>3.8938348448039789E-4</v>
      </c>
      <c r="F28" s="8">
        <v>100</v>
      </c>
      <c r="G28" s="8">
        <v>100</v>
      </c>
      <c r="H28" s="60">
        <v>1421</v>
      </c>
      <c r="I28" s="5">
        <v>0.1537</v>
      </c>
      <c r="J28" s="5">
        <v>0.1537</v>
      </c>
      <c r="K28" s="9">
        <v>424038152.92000002</v>
      </c>
      <c r="L28" s="3">
        <f t="shared" si="12"/>
        <v>4.3068529737297367E-4</v>
      </c>
      <c r="M28" s="8">
        <v>100</v>
      </c>
      <c r="N28" s="8">
        <v>100</v>
      </c>
      <c r="O28" s="60">
        <v>1445</v>
      </c>
      <c r="P28" s="5">
        <v>0.15709999999999999</v>
      </c>
      <c r="Q28" s="5">
        <v>0.15709999999999999</v>
      </c>
      <c r="R28" s="80">
        <f t="shared" si="14"/>
        <v>0.10606976037437701</v>
      </c>
      <c r="S28" s="80">
        <f t="shared" si="15"/>
        <v>0</v>
      </c>
      <c r="T28" s="80">
        <f t="shared" si="16"/>
        <v>1.688951442646024E-2</v>
      </c>
      <c r="U28" s="81">
        <f t="shared" si="17"/>
        <v>3.3999999999999864E-3</v>
      </c>
      <c r="V28" s="83">
        <f t="shared" si="18"/>
        <v>3.3999999999999864E-3</v>
      </c>
    </row>
    <row r="29" spans="1:22">
      <c r="A29" s="75">
        <v>21</v>
      </c>
      <c r="B29" s="143" t="s">
        <v>52</v>
      </c>
      <c r="C29" s="144" t="s">
        <v>21</v>
      </c>
      <c r="D29" s="9">
        <v>86586829726.389999</v>
      </c>
      <c r="E29" s="3">
        <f t="shared" si="13"/>
        <v>8.7944149017008005E-2</v>
      </c>
      <c r="F29" s="8">
        <v>1</v>
      </c>
      <c r="G29" s="8">
        <v>1</v>
      </c>
      <c r="H29" s="60">
        <v>57780</v>
      </c>
      <c r="I29" s="5">
        <v>0.15959999999999999</v>
      </c>
      <c r="J29" s="5">
        <v>0.15959999999999999</v>
      </c>
      <c r="K29" s="9">
        <v>86821062222.979996</v>
      </c>
      <c r="L29" s="3">
        <f t="shared" si="12"/>
        <v>8.8182053299331653E-2</v>
      </c>
      <c r="M29" s="8">
        <v>1</v>
      </c>
      <c r="N29" s="8">
        <v>1</v>
      </c>
      <c r="O29" s="60">
        <v>57878</v>
      </c>
      <c r="P29" s="5">
        <v>0.1668</v>
      </c>
      <c r="Q29" s="5">
        <v>0.1668</v>
      </c>
      <c r="R29" s="80">
        <f t="shared" si="14"/>
        <v>2.7051746475781498E-3</v>
      </c>
      <c r="S29" s="80">
        <f t="shared" si="15"/>
        <v>0</v>
      </c>
      <c r="T29" s="80">
        <f t="shared" si="16"/>
        <v>1.6960886119764625E-3</v>
      </c>
      <c r="U29" s="81">
        <f t="shared" si="17"/>
        <v>7.2000000000000119E-3</v>
      </c>
      <c r="V29" s="83">
        <f t="shared" si="18"/>
        <v>7.2000000000000119E-3</v>
      </c>
    </row>
    <row r="30" spans="1:22">
      <c r="A30" s="75">
        <v>22</v>
      </c>
      <c r="B30" s="143" t="s">
        <v>53</v>
      </c>
      <c r="C30" s="144" t="s">
        <v>23</v>
      </c>
      <c r="D30" s="9">
        <v>52200921191.709999</v>
      </c>
      <c r="E30" s="3">
        <f t="shared" si="13"/>
        <v>5.301921327545335E-2</v>
      </c>
      <c r="F30" s="8">
        <v>1</v>
      </c>
      <c r="G30" s="8">
        <v>1</v>
      </c>
      <c r="H30" s="60">
        <v>27512</v>
      </c>
      <c r="I30" s="5">
        <v>0.18</v>
      </c>
      <c r="J30" s="5">
        <v>0.13569999999999999</v>
      </c>
      <c r="K30" s="9">
        <v>53263325138.440002</v>
      </c>
      <c r="L30" s="3">
        <f t="shared" si="12"/>
        <v>5.4098271271949147E-2</v>
      </c>
      <c r="M30" s="8">
        <v>1</v>
      </c>
      <c r="N30" s="8">
        <v>1</v>
      </c>
      <c r="O30" s="60">
        <v>27582</v>
      </c>
      <c r="P30" s="5">
        <v>0.1893</v>
      </c>
      <c r="Q30" s="5">
        <v>0.1893</v>
      </c>
      <c r="R30" s="80">
        <f t="shared" si="14"/>
        <v>2.0352206866776964E-2</v>
      </c>
      <c r="S30" s="80">
        <f t="shared" si="15"/>
        <v>0</v>
      </c>
      <c r="T30" s="80">
        <f t="shared" si="16"/>
        <v>2.544344286129689E-3</v>
      </c>
      <c r="U30" s="81">
        <f t="shared" si="17"/>
        <v>9.3000000000000027E-3</v>
      </c>
      <c r="V30" s="83">
        <f t="shared" si="18"/>
        <v>5.3600000000000009E-2</v>
      </c>
    </row>
    <row r="31" spans="1:22" ht="15" customHeight="1">
      <c r="A31" s="75">
        <v>23</v>
      </c>
      <c r="B31" s="143" t="s">
        <v>54</v>
      </c>
      <c r="C31" s="144" t="s">
        <v>40</v>
      </c>
      <c r="D31" s="9">
        <v>9507393690.5799999</v>
      </c>
      <c r="E31" s="3">
        <f t="shared" si="13"/>
        <v>9.6564298534756957E-3</v>
      </c>
      <c r="F31" s="8">
        <v>100</v>
      </c>
      <c r="G31" s="8">
        <v>100</v>
      </c>
      <c r="H31" s="60">
        <v>2891</v>
      </c>
      <c r="I31" s="5">
        <v>0.1769</v>
      </c>
      <c r="J31" s="5">
        <v>0.14810000000000001</v>
      </c>
      <c r="K31" s="9">
        <v>9135565105.1499996</v>
      </c>
      <c r="L31" s="3">
        <f t="shared" si="12"/>
        <v>9.2787725512142542E-3</v>
      </c>
      <c r="M31" s="8">
        <v>100</v>
      </c>
      <c r="N31" s="8">
        <v>100</v>
      </c>
      <c r="O31" s="60">
        <v>2891</v>
      </c>
      <c r="P31" s="5">
        <v>0.182</v>
      </c>
      <c r="Q31" s="5">
        <v>0.182</v>
      </c>
      <c r="R31" s="80">
        <f t="shared" si="14"/>
        <v>-3.9109412898133265E-2</v>
      </c>
      <c r="S31" s="80">
        <f t="shared" si="15"/>
        <v>0</v>
      </c>
      <c r="T31" s="80">
        <f t="shared" si="16"/>
        <v>0</v>
      </c>
      <c r="U31" s="81">
        <f t="shared" si="17"/>
        <v>5.0999999999999934E-3</v>
      </c>
      <c r="V31" s="83">
        <f t="shared" si="18"/>
        <v>3.3899999999999986E-2</v>
      </c>
    </row>
    <row r="32" spans="1:22" ht="15" customHeight="1">
      <c r="A32" s="75">
        <v>24</v>
      </c>
      <c r="B32" s="143" t="s">
        <v>272</v>
      </c>
      <c r="C32" s="144" t="s">
        <v>271</v>
      </c>
      <c r="D32" s="9">
        <v>216110484.30000001</v>
      </c>
      <c r="E32" s="3">
        <f t="shared" si="13"/>
        <v>2.1949819268673852E-4</v>
      </c>
      <c r="F32" s="8">
        <v>1</v>
      </c>
      <c r="G32" s="8">
        <v>1</v>
      </c>
      <c r="H32" s="60">
        <v>57</v>
      </c>
      <c r="I32" s="5">
        <v>0.16500000000000001</v>
      </c>
      <c r="J32" s="5">
        <v>0.16500000000000001</v>
      </c>
      <c r="K32" s="9">
        <v>226108326.09999999</v>
      </c>
      <c r="L32" s="3">
        <f t="shared" si="12"/>
        <v>2.2965275882440704E-4</v>
      </c>
      <c r="M32" s="8">
        <v>1</v>
      </c>
      <c r="N32" s="8">
        <v>1</v>
      </c>
      <c r="O32" s="60">
        <v>62</v>
      </c>
      <c r="P32" s="5">
        <v>0.16500000000000001</v>
      </c>
      <c r="Q32" s="5">
        <v>0.16500000000000001</v>
      </c>
      <c r="R32" s="80">
        <f t="shared" si="14"/>
        <v>4.6262641224389597E-2</v>
      </c>
      <c r="S32" s="80">
        <f t="shared" si="15"/>
        <v>0</v>
      </c>
      <c r="T32" s="80">
        <f t="shared" si="16"/>
        <v>8.771929824561403E-2</v>
      </c>
      <c r="U32" s="81">
        <f t="shared" si="17"/>
        <v>0</v>
      </c>
      <c r="V32" s="83">
        <f t="shared" si="18"/>
        <v>0</v>
      </c>
    </row>
    <row r="33" spans="1:22">
      <c r="A33" s="75">
        <v>25</v>
      </c>
      <c r="B33" s="143" t="s">
        <v>55</v>
      </c>
      <c r="C33" s="144" t="s">
        <v>56</v>
      </c>
      <c r="D33" s="9">
        <v>18686299446.689999</v>
      </c>
      <c r="E33" s="3">
        <f t="shared" si="13"/>
        <v>1.8979222455759663E-2</v>
      </c>
      <c r="F33" s="8">
        <v>100</v>
      </c>
      <c r="G33" s="8">
        <v>100</v>
      </c>
      <c r="H33" s="60">
        <v>2268</v>
      </c>
      <c r="I33" s="5">
        <v>0.195141629124711</v>
      </c>
      <c r="J33" s="5">
        <v>0.195141629124711</v>
      </c>
      <c r="K33" s="9">
        <v>19676229397.32</v>
      </c>
      <c r="L33" s="3">
        <f t="shared" si="12"/>
        <v>1.9984670367061013E-2</v>
      </c>
      <c r="M33" s="8">
        <v>100</v>
      </c>
      <c r="N33" s="8">
        <v>100</v>
      </c>
      <c r="O33" s="60">
        <v>2314</v>
      </c>
      <c r="P33" s="5">
        <v>0.19896732376710999</v>
      </c>
      <c r="Q33" s="5">
        <v>0.19896732376710999</v>
      </c>
      <c r="R33" s="80">
        <f t="shared" si="14"/>
        <v>5.2976243555026219E-2</v>
      </c>
      <c r="S33" s="80">
        <f t="shared" si="15"/>
        <v>0</v>
      </c>
      <c r="T33" s="80">
        <f t="shared" si="16"/>
        <v>2.0282186948853614E-2</v>
      </c>
      <c r="U33" s="81">
        <f t="shared" si="17"/>
        <v>3.8256946423989857E-3</v>
      </c>
      <c r="V33" s="83">
        <f t="shared" si="18"/>
        <v>3.8256946423989857E-3</v>
      </c>
    </row>
    <row r="34" spans="1:22">
      <c r="A34" s="75">
        <v>26</v>
      </c>
      <c r="B34" s="143" t="s">
        <v>57</v>
      </c>
      <c r="C34" s="144" t="s">
        <v>58</v>
      </c>
      <c r="D34" s="9">
        <v>6867889533.79</v>
      </c>
      <c r="E34" s="3">
        <f t="shared" si="13"/>
        <v>6.9755493127598902E-3</v>
      </c>
      <c r="F34" s="8">
        <v>100</v>
      </c>
      <c r="G34" s="8">
        <v>100</v>
      </c>
      <c r="H34" s="60">
        <v>5955</v>
      </c>
      <c r="I34" s="5">
        <v>0.1744</v>
      </c>
      <c r="J34" s="5">
        <v>0.1744</v>
      </c>
      <c r="K34" s="9">
        <v>6781341203.0900002</v>
      </c>
      <c r="L34" s="3">
        <f t="shared" si="12"/>
        <v>6.8876442662729621E-3</v>
      </c>
      <c r="M34" s="8">
        <v>100</v>
      </c>
      <c r="N34" s="8">
        <v>100</v>
      </c>
      <c r="O34" s="60">
        <v>5973</v>
      </c>
      <c r="P34" s="5">
        <v>0.18310000000000001</v>
      </c>
      <c r="Q34" s="5">
        <v>0.18310000000000001</v>
      </c>
      <c r="R34" s="80">
        <f t="shared" si="14"/>
        <v>-1.2601881593200099E-2</v>
      </c>
      <c r="S34" s="80">
        <f t="shared" si="15"/>
        <v>0</v>
      </c>
      <c r="T34" s="80">
        <f t="shared" si="16"/>
        <v>3.0226700251889168E-3</v>
      </c>
      <c r="U34" s="81">
        <f t="shared" si="17"/>
        <v>8.7000000000000133E-3</v>
      </c>
      <c r="V34" s="83">
        <f t="shared" si="18"/>
        <v>8.7000000000000133E-3</v>
      </c>
    </row>
    <row r="35" spans="1:22">
      <c r="A35" s="75">
        <v>27</v>
      </c>
      <c r="B35" s="143" t="s">
        <v>59</v>
      </c>
      <c r="C35" s="144" t="s">
        <v>60</v>
      </c>
      <c r="D35" s="9">
        <v>44514190.369999997</v>
      </c>
      <c r="E35" s="3">
        <f t="shared" si="13"/>
        <v>4.5211986668656125E-5</v>
      </c>
      <c r="F35" s="8">
        <v>100</v>
      </c>
      <c r="G35" s="8">
        <v>100</v>
      </c>
      <c r="H35" s="60">
        <v>0</v>
      </c>
      <c r="I35" s="5">
        <v>0</v>
      </c>
      <c r="J35" s="5">
        <v>0</v>
      </c>
      <c r="K35" s="9">
        <v>44514190.369999997</v>
      </c>
      <c r="L35" s="3">
        <f t="shared" si="12"/>
        <v>4.5211986668656125E-5</v>
      </c>
      <c r="M35" s="8">
        <v>100</v>
      </c>
      <c r="N35" s="8">
        <v>100</v>
      </c>
      <c r="O35" s="60">
        <v>0</v>
      </c>
      <c r="P35" s="5">
        <v>0</v>
      </c>
      <c r="Q35" s="5">
        <v>0</v>
      </c>
      <c r="R35" s="80">
        <f t="shared" si="14"/>
        <v>0</v>
      </c>
      <c r="S35" s="80">
        <f t="shared" si="15"/>
        <v>0</v>
      </c>
      <c r="T35" s="80" t="e">
        <f t="shared" si="16"/>
        <v>#DIV/0!</v>
      </c>
      <c r="U35" s="81">
        <f t="shared" si="17"/>
        <v>0</v>
      </c>
      <c r="V35" s="83">
        <f t="shared" si="18"/>
        <v>0</v>
      </c>
    </row>
    <row r="36" spans="1:22">
      <c r="A36" s="75">
        <v>28</v>
      </c>
      <c r="B36" s="143" t="s">
        <v>61</v>
      </c>
      <c r="C36" s="144" t="s">
        <v>62</v>
      </c>
      <c r="D36" s="9">
        <v>5494243432.9700003</v>
      </c>
      <c r="E36" s="3">
        <f t="shared" si="13"/>
        <v>5.5803701871482815E-3</v>
      </c>
      <c r="F36" s="8">
        <v>1</v>
      </c>
      <c r="G36" s="8">
        <v>1</v>
      </c>
      <c r="H36" s="60">
        <v>2280</v>
      </c>
      <c r="I36" s="5">
        <v>0.17599999999999999</v>
      </c>
      <c r="J36" s="5">
        <v>0.17599999999999999</v>
      </c>
      <c r="K36" s="9">
        <v>5442809283.8500004</v>
      </c>
      <c r="L36" s="3">
        <f t="shared" si="12"/>
        <v>5.5281297657231556E-3</v>
      </c>
      <c r="M36" s="8">
        <v>1</v>
      </c>
      <c r="N36" s="8">
        <v>1</v>
      </c>
      <c r="O36" s="60">
        <v>2281</v>
      </c>
      <c r="P36" s="5">
        <v>0.17519999999999999</v>
      </c>
      <c r="Q36" s="5">
        <v>0.17519999999999999</v>
      </c>
      <c r="R36" s="80">
        <f t="shared" si="14"/>
        <v>-9.3614616366199752E-3</v>
      </c>
      <c r="S36" s="80">
        <f t="shared" si="15"/>
        <v>0</v>
      </c>
      <c r="T36" s="80">
        <f t="shared" si="16"/>
        <v>4.3859649122807018E-4</v>
      </c>
      <c r="U36" s="81">
        <f t="shared" si="17"/>
        <v>-7.9999999999999516E-4</v>
      </c>
      <c r="V36" s="83">
        <f t="shared" si="18"/>
        <v>-7.9999999999999516E-4</v>
      </c>
    </row>
    <row r="37" spans="1:22">
      <c r="A37" s="75">
        <v>29</v>
      </c>
      <c r="B37" s="143" t="s">
        <v>63</v>
      </c>
      <c r="C37" s="144" t="s">
        <v>64</v>
      </c>
      <c r="D37" s="9">
        <v>13229867295.01</v>
      </c>
      <c r="E37" s="3">
        <f t="shared" si="13"/>
        <v>1.3437256272624461E-2</v>
      </c>
      <c r="F37" s="11">
        <v>100</v>
      </c>
      <c r="G37" s="11">
        <v>100</v>
      </c>
      <c r="H37" s="60">
        <v>2675</v>
      </c>
      <c r="I37" s="5">
        <v>0.1532</v>
      </c>
      <c r="J37" s="5">
        <v>0.1532</v>
      </c>
      <c r="K37" s="9">
        <v>13628993055.940001</v>
      </c>
      <c r="L37" s="3">
        <f t="shared" si="12"/>
        <v>1.3842638655911519E-2</v>
      </c>
      <c r="M37" s="11">
        <v>100</v>
      </c>
      <c r="N37" s="11">
        <v>100</v>
      </c>
      <c r="O37" s="60">
        <v>2693</v>
      </c>
      <c r="P37" s="5">
        <v>0.15790000000000001</v>
      </c>
      <c r="Q37" s="5">
        <v>0.15790000000000001</v>
      </c>
      <c r="R37" s="80">
        <f t="shared" si="14"/>
        <v>3.0168538506848159E-2</v>
      </c>
      <c r="S37" s="80">
        <f t="shared" si="15"/>
        <v>0</v>
      </c>
      <c r="T37" s="80">
        <f t="shared" si="16"/>
        <v>6.7289719626168224E-3</v>
      </c>
      <c r="U37" s="81">
        <f t="shared" si="17"/>
        <v>4.7000000000000097E-3</v>
      </c>
      <c r="V37" s="83">
        <f t="shared" si="18"/>
        <v>4.7000000000000097E-3</v>
      </c>
    </row>
    <row r="38" spans="1:22">
      <c r="A38" s="75">
        <v>30</v>
      </c>
      <c r="B38" s="143" t="s">
        <v>65</v>
      </c>
      <c r="C38" s="144" t="s">
        <v>64</v>
      </c>
      <c r="D38" s="9">
        <v>616321732.38</v>
      </c>
      <c r="E38" s="3">
        <f t="shared" si="13"/>
        <v>6.2598307902163048E-4</v>
      </c>
      <c r="F38" s="11">
        <v>1000000</v>
      </c>
      <c r="G38" s="11">
        <v>1000000</v>
      </c>
      <c r="H38" s="60">
        <v>5</v>
      </c>
      <c r="I38" s="5">
        <v>0.14580000000000001</v>
      </c>
      <c r="J38" s="5">
        <v>0.14580000000000001</v>
      </c>
      <c r="K38" s="9">
        <v>529157263.76999998</v>
      </c>
      <c r="L38" s="3">
        <f t="shared" si="12"/>
        <v>5.3745223615962615E-4</v>
      </c>
      <c r="M38" s="11">
        <v>1000000</v>
      </c>
      <c r="N38" s="11">
        <v>1000000</v>
      </c>
      <c r="O38" s="60">
        <v>3</v>
      </c>
      <c r="P38" s="5">
        <v>0.14799999999999999</v>
      </c>
      <c r="Q38" s="5">
        <v>0.14799999999999999</v>
      </c>
      <c r="R38" s="80">
        <f t="shared" si="14"/>
        <v>-0.14142689447831736</v>
      </c>
      <c r="S38" s="80">
        <f t="shared" si="15"/>
        <v>0</v>
      </c>
      <c r="T38" s="80">
        <f t="shared" si="16"/>
        <v>-0.4</v>
      </c>
      <c r="U38" s="81">
        <f t="shared" si="17"/>
        <v>2.1999999999999797E-3</v>
      </c>
      <c r="V38" s="83">
        <f t="shared" si="18"/>
        <v>2.1999999999999797E-3</v>
      </c>
    </row>
    <row r="39" spans="1:22">
      <c r="A39" s="75">
        <v>31</v>
      </c>
      <c r="B39" s="143" t="s">
        <v>66</v>
      </c>
      <c r="C39" s="144" t="s">
        <v>67</v>
      </c>
      <c r="D39" s="9">
        <v>3410557864.48</v>
      </c>
      <c r="E39" s="3">
        <f t="shared" si="13"/>
        <v>3.4640211451643231E-3</v>
      </c>
      <c r="F39" s="8">
        <v>1</v>
      </c>
      <c r="G39" s="8">
        <v>1</v>
      </c>
      <c r="H39" s="60">
        <v>511</v>
      </c>
      <c r="I39" s="5">
        <v>0.1825</v>
      </c>
      <c r="J39" s="5">
        <v>0.1825</v>
      </c>
      <c r="K39" s="9">
        <v>3223742107.27</v>
      </c>
      <c r="L39" s="3">
        <f t="shared" si="12"/>
        <v>3.2742768983462173E-3</v>
      </c>
      <c r="M39" s="8">
        <v>1</v>
      </c>
      <c r="N39" s="8">
        <v>1</v>
      </c>
      <c r="O39" s="60">
        <v>516</v>
      </c>
      <c r="P39" s="5">
        <v>0.1847</v>
      </c>
      <c r="Q39" s="5">
        <v>0.1847</v>
      </c>
      <c r="R39" s="80">
        <f t="shared" si="14"/>
        <v>-5.4775718411241035E-2</v>
      </c>
      <c r="S39" s="80">
        <f t="shared" si="15"/>
        <v>0</v>
      </c>
      <c r="T39" s="80">
        <f t="shared" si="16"/>
        <v>9.7847358121330719E-3</v>
      </c>
      <c r="U39" s="81">
        <f t="shared" si="17"/>
        <v>2.2000000000000075E-3</v>
      </c>
      <c r="V39" s="83">
        <f t="shared" si="18"/>
        <v>2.2000000000000075E-3</v>
      </c>
    </row>
    <row r="40" spans="1:22">
      <c r="A40" s="75">
        <v>32</v>
      </c>
      <c r="B40" s="143" t="s">
        <v>68</v>
      </c>
      <c r="C40" s="144" t="s">
        <v>27</v>
      </c>
      <c r="D40" s="9">
        <v>217103021091.42999</v>
      </c>
      <c r="E40" s="3">
        <f t="shared" si="13"/>
        <v>0.22050628830319896</v>
      </c>
      <c r="F40" s="8">
        <v>100</v>
      </c>
      <c r="G40" s="8">
        <v>100</v>
      </c>
      <c r="H40" s="60">
        <v>15037</v>
      </c>
      <c r="I40" s="5">
        <v>0.19070000000000001</v>
      </c>
      <c r="J40" s="5">
        <v>0.19070000000000001</v>
      </c>
      <c r="K40" s="9">
        <v>216962122712.04001</v>
      </c>
      <c r="L40" s="3">
        <f t="shared" si="12"/>
        <v>0.22036318122660911</v>
      </c>
      <c r="M40" s="8">
        <v>100</v>
      </c>
      <c r="N40" s="8">
        <v>100</v>
      </c>
      <c r="O40" s="60">
        <v>15120</v>
      </c>
      <c r="P40" s="5">
        <v>0.1973</v>
      </c>
      <c r="Q40" s="5">
        <v>0.1973</v>
      </c>
      <c r="R40" s="80">
        <f t="shared" si="14"/>
        <v>-6.4899317697954414E-4</v>
      </c>
      <c r="S40" s="80">
        <f t="shared" si="15"/>
        <v>0</v>
      </c>
      <c r="T40" s="80">
        <f t="shared" si="16"/>
        <v>5.51971802886214E-3</v>
      </c>
      <c r="U40" s="81">
        <f t="shared" si="17"/>
        <v>6.5999999999999948E-3</v>
      </c>
      <c r="V40" s="83">
        <f t="shared" si="18"/>
        <v>6.5999999999999948E-3</v>
      </c>
    </row>
    <row r="41" spans="1:22">
      <c r="A41" s="75">
        <v>33</v>
      </c>
      <c r="B41" s="143" t="s">
        <v>69</v>
      </c>
      <c r="C41" s="144" t="s">
        <v>70</v>
      </c>
      <c r="D41" s="9">
        <v>563982164.52999997</v>
      </c>
      <c r="E41" s="3">
        <f t="shared" si="13"/>
        <v>5.7282304568825491E-4</v>
      </c>
      <c r="F41" s="8">
        <v>1</v>
      </c>
      <c r="G41" s="8">
        <v>1</v>
      </c>
      <c r="H41" s="61">
        <v>528</v>
      </c>
      <c r="I41" s="12">
        <v>-0.46189999999999998</v>
      </c>
      <c r="J41" s="12">
        <v>0.46050000000000002</v>
      </c>
      <c r="K41" s="9">
        <v>574072199.42999995</v>
      </c>
      <c r="L41" s="3">
        <f t="shared" si="12"/>
        <v>5.8307125012808047E-4</v>
      </c>
      <c r="M41" s="8">
        <v>1</v>
      </c>
      <c r="N41" s="8">
        <v>1</v>
      </c>
      <c r="O41" s="61">
        <v>531</v>
      </c>
      <c r="P41" s="12">
        <v>0.14760000000000001</v>
      </c>
      <c r="Q41" s="12">
        <v>0.14760000000000001</v>
      </c>
      <c r="R41" s="80">
        <f t="shared" si="14"/>
        <v>1.7890698562087696E-2</v>
      </c>
      <c r="S41" s="80">
        <f t="shared" si="15"/>
        <v>0</v>
      </c>
      <c r="T41" s="80">
        <f t="shared" si="16"/>
        <v>5.681818181818182E-3</v>
      </c>
      <c r="U41" s="81">
        <f t="shared" si="17"/>
        <v>0.60949999999999993</v>
      </c>
      <c r="V41" s="83">
        <f t="shared" si="18"/>
        <v>-0.31290000000000001</v>
      </c>
    </row>
    <row r="42" spans="1:22">
      <c r="A42" s="75">
        <v>34</v>
      </c>
      <c r="B42" s="143" t="s">
        <v>71</v>
      </c>
      <c r="C42" s="144" t="s">
        <v>72</v>
      </c>
      <c r="D42" s="9">
        <v>630870896.23000002</v>
      </c>
      <c r="E42" s="3">
        <f t="shared" si="13"/>
        <v>6.4076031290050627E-4</v>
      </c>
      <c r="F42" s="8">
        <v>10</v>
      </c>
      <c r="G42" s="8">
        <v>10</v>
      </c>
      <c r="H42" s="60">
        <v>357</v>
      </c>
      <c r="I42" s="5">
        <v>0.11310000000000001</v>
      </c>
      <c r="J42" s="5">
        <v>0.11310000000000001</v>
      </c>
      <c r="K42" s="9">
        <v>628492778.44000006</v>
      </c>
      <c r="L42" s="3">
        <f t="shared" si="12"/>
        <v>6.3834491617141217E-4</v>
      </c>
      <c r="M42" s="8">
        <v>10</v>
      </c>
      <c r="N42" s="8">
        <v>10</v>
      </c>
      <c r="O42" s="60">
        <v>357</v>
      </c>
      <c r="P42" s="5">
        <v>0.1144</v>
      </c>
      <c r="Q42" s="5">
        <v>0.1144</v>
      </c>
      <c r="R42" s="80">
        <f t="shared" si="14"/>
        <v>-3.7695791709702812E-3</v>
      </c>
      <c r="S42" s="80">
        <f t="shared" si="15"/>
        <v>0</v>
      </c>
      <c r="T42" s="80">
        <f t="shared" si="16"/>
        <v>0</v>
      </c>
      <c r="U42" s="81">
        <f t="shared" si="17"/>
        <v>1.2999999999999956E-3</v>
      </c>
      <c r="V42" s="83">
        <f t="shared" si="18"/>
        <v>1.2999999999999956E-3</v>
      </c>
    </row>
    <row r="43" spans="1:22">
      <c r="A43" s="75">
        <v>35</v>
      </c>
      <c r="B43" s="143" t="s">
        <v>73</v>
      </c>
      <c r="C43" s="144" t="s">
        <v>74</v>
      </c>
      <c r="D43" s="9">
        <v>3135296094.6999998</v>
      </c>
      <c r="E43" s="3">
        <f t="shared" si="13"/>
        <v>3.184444422275719E-3</v>
      </c>
      <c r="F43" s="8">
        <v>100</v>
      </c>
      <c r="G43" s="8">
        <v>100</v>
      </c>
      <c r="H43" s="60">
        <v>674</v>
      </c>
      <c r="I43" s="5">
        <v>0.158</v>
      </c>
      <c r="J43" s="5">
        <v>0.158</v>
      </c>
      <c r="K43" s="9">
        <v>3122835954.4000001</v>
      </c>
      <c r="L43" s="3">
        <f t="shared" si="12"/>
        <v>3.1717889590975579E-3</v>
      </c>
      <c r="M43" s="8">
        <v>100</v>
      </c>
      <c r="N43" s="8">
        <v>100</v>
      </c>
      <c r="O43" s="60">
        <v>674</v>
      </c>
      <c r="P43" s="5">
        <v>0.17249999999999999</v>
      </c>
      <c r="Q43" s="5">
        <v>0.17249999999999999</v>
      </c>
      <c r="R43" s="80">
        <f t="shared" si="14"/>
        <v>-3.9741510605849047E-3</v>
      </c>
      <c r="S43" s="80">
        <f t="shared" si="15"/>
        <v>0</v>
      </c>
      <c r="T43" s="80">
        <f t="shared" si="16"/>
        <v>0</v>
      </c>
      <c r="U43" s="81">
        <f t="shared" si="17"/>
        <v>1.4499999999999985E-2</v>
      </c>
      <c r="V43" s="83">
        <f t="shared" si="18"/>
        <v>1.4499999999999985E-2</v>
      </c>
    </row>
    <row r="44" spans="1:22" ht="15.75" customHeight="1">
      <c r="A44" s="75">
        <v>36</v>
      </c>
      <c r="B44" s="143" t="s">
        <v>239</v>
      </c>
      <c r="C44" s="144" t="s">
        <v>32</v>
      </c>
      <c r="D44" s="9">
        <v>22509796431.345699</v>
      </c>
      <c r="E44" s="3">
        <f t="shared" si="13"/>
        <v>2.2862655879147355E-2</v>
      </c>
      <c r="F44" s="8">
        <v>1</v>
      </c>
      <c r="G44" s="8">
        <v>1</v>
      </c>
      <c r="H44" s="60">
        <v>11978</v>
      </c>
      <c r="I44" s="5">
        <v>0.17766182129199226</v>
      </c>
      <c r="J44" s="5">
        <v>0.17766182129199226</v>
      </c>
      <c r="K44" s="9">
        <v>23212182434.813099</v>
      </c>
      <c r="L44" s="3">
        <f t="shared" si="12"/>
        <v>2.3576052357013447E-2</v>
      </c>
      <c r="M44" s="8">
        <v>1</v>
      </c>
      <c r="N44" s="8">
        <v>1</v>
      </c>
      <c r="O44" s="60">
        <v>12037</v>
      </c>
      <c r="P44" s="5">
        <v>0.18113328820062752</v>
      </c>
      <c r="Q44" s="5">
        <v>0.18113328820062752</v>
      </c>
      <c r="R44" s="80">
        <f t="shared" si="14"/>
        <v>3.1203569770595609E-2</v>
      </c>
      <c r="S44" s="80">
        <f t="shared" si="15"/>
        <v>0</v>
      </c>
      <c r="T44" s="80">
        <f t="shared" si="16"/>
        <v>4.9256971113708463E-3</v>
      </c>
      <c r="U44" s="81">
        <f t="shared" si="17"/>
        <v>3.4714669086352568E-3</v>
      </c>
      <c r="V44" s="83">
        <f t="shared" si="18"/>
        <v>3.4714669086352568E-3</v>
      </c>
    </row>
    <row r="45" spans="1:22">
      <c r="A45" s="75">
        <v>37</v>
      </c>
      <c r="B45" s="143" t="s">
        <v>75</v>
      </c>
      <c r="C45" s="144" t="s">
        <v>34</v>
      </c>
      <c r="D45" s="9">
        <v>3571670305.23</v>
      </c>
      <c r="E45" s="3">
        <f t="shared" si="13"/>
        <v>3.6276591550393222E-3</v>
      </c>
      <c r="F45" s="8">
        <v>1</v>
      </c>
      <c r="G45" s="8">
        <v>1</v>
      </c>
      <c r="H45" s="60">
        <v>905</v>
      </c>
      <c r="I45" s="5">
        <v>0.13700000000000001</v>
      </c>
      <c r="J45" s="5">
        <v>0.13700000000000001</v>
      </c>
      <c r="K45" s="9">
        <v>3499839215.4299998</v>
      </c>
      <c r="L45" s="3">
        <f t="shared" si="12"/>
        <v>3.5547020542263338E-3</v>
      </c>
      <c r="M45" s="8">
        <v>1</v>
      </c>
      <c r="N45" s="8">
        <v>1</v>
      </c>
      <c r="O45" s="60">
        <v>910</v>
      </c>
      <c r="P45" s="5">
        <v>0.1421</v>
      </c>
      <c r="Q45" s="5">
        <v>0.1421</v>
      </c>
      <c r="R45" s="80">
        <f t="shared" si="14"/>
        <v>-2.0111343898348587E-2</v>
      </c>
      <c r="S45" s="80">
        <f t="shared" si="15"/>
        <v>0</v>
      </c>
      <c r="T45" s="80">
        <f t="shared" si="16"/>
        <v>5.5248618784530384E-3</v>
      </c>
      <c r="U45" s="81">
        <f t="shared" si="17"/>
        <v>5.0999999999999934E-3</v>
      </c>
      <c r="V45" s="83">
        <f t="shared" si="18"/>
        <v>5.0999999999999934E-3</v>
      </c>
    </row>
    <row r="46" spans="1:22">
      <c r="A46" s="75">
        <v>38</v>
      </c>
      <c r="B46" s="143" t="s">
        <v>76</v>
      </c>
      <c r="C46" s="144" t="s">
        <v>36</v>
      </c>
      <c r="D46" s="13">
        <v>5507270213.2299995</v>
      </c>
      <c r="E46" s="3">
        <f t="shared" si="13"/>
        <v>5.5936011728307151E-3</v>
      </c>
      <c r="F46" s="8">
        <v>10</v>
      </c>
      <c r="G46" s="8">
        <v>10</v>
      </c>
      <c r="H46" s="60">
        <v>2059</v>
      </c>
      <c r="I46" s="5">
        <v>0.1691</v>
      </c>
      <c r="J46" s="5">
        <v>0.193</v>
      </c>
      <c r="K46" s="13">
        <v>4474901581.6199999</v>
      </c>
      <c r="L46" s="3">
        <f t="shared" si="12"/>
        <v>4.545049319555931E-3</v>
      </c>
      <c r="M46" s="8">
        <v>10</v>
      </c>
      <c r="N46" s="8">
        <v>10</v>
      </c>
      <c r="O46" s="60">
        <v>2068</v>
      </c>
      <c r="P46" s="5">
        <v>0.20250000000000001</v>
      </c>
      <c r="Q46" s="5">
        <v>0.20250000000000001</v>
      </c>
      <c r="R46" s="80">
        <f t="shared" si="14"/>
        <v>-0.18745559808014545</v>
      </c>
      <c r="S46" s="80">
        <f t="shared" si="15"/>
        <v>0</v>
      </c>
      <c r="T46" s="80">
        <f t="shared" si="16"/>
        <v>4.3710539096648857E-3</v>
      </c>
      <c r="U46" s="81">
        <f t="shared" si="17"/>
        <v>3.3400000000000013E-2</v>
      </c>
      <c r="V46" s="83">
        <f t="shared" si="18"/>
        <v>9.5000000000000084E-3</v>
      </c>
    </row>
    <row r="47" spans="1:22">
      <c r="A47" s="75">
        <v>39</v>
      </c>
      <c r="B47" s="143" t="s">
        <v>77</v>
      </c>
      <c r="C47" s="144" t="s">
        <v>78</v>
      </c>
      <c r="D47" s="9">
        <v>4478088748.0500002</v>
      </c>
      <c r="E47" s="3">
        <f t="shared" si="13"/>
        <v>4.5482864474233869E-3</v>
      </c>
      <c r="F47" s="8">
        <v>100</v>
      </c>
      <c r="G47" s="8">
        <v>100</v>
      </c>
      <c r="H47" s="60">
        <v>2230</v>
      </c>
      <c r="I47" s="5">
        <v>0.18640000000000001</v>
      </c>
      <c r="J47" s="5">
        <v>0.18640000000000001</v>
      </c>
      <c r="K47" s="9">
        <v>4674507763.7600002</v>
      </c>
      <c r="L47" s="3">
        <f t="shared" si="12"/>
        <v>4.7477844916635897E-3</v>
      </c>
      <c r="M47" s="8">
        <v>100</v>
      </c>
      <c r="N47" s="8">
        <v>100</v>
      </c>
      <c r="O47" s="60">
        <v>2264</v>
      </c>
      <c r="P47" s="5">
        <v>0.19570000000000001</v>
      </c>
      <c r="Q47" s="5">
        <v>0.19570000000000001</v>
      </c>
      <c r="R47" s="80">
        <f t="shared" si="14"/>
        <v>4.3862242747094146E-2</v>
      </c>
      <c r="S47" s="80">
        <f t="shared" si="15"/>
        <v>0</v>
      </c>
      <c r="T47" s="80">
        <f t="shared" si="16"/>
        <v>1.5246636771300448E-2</v>
      </c>
      <c r="U47" s="81">
        <f t="shared" si="17"/>
        <v>9.3000000000000027E-3</v>
      </c>
      <c r="V47" s="83">
        <f t="shared" si="18"/>
        <v>9.3000000000000027E-3</v>
      </c>
    </row>
    <row r="48" spans="1:22">
      <c r="A48" s="75">
        <v>40</v>
      </c>
      <c r="B48" s="143" t="s">
        <v>79</v>
      </c>
      <c r="C48" s="144" t="s">
        <v>80</v>
      </c>
      <c r="D48" s="9">
        <v>155192683.52000001</v>
      </c>
      <c r="E48" s="3">
        <f t="shared" si="13"/>
        <v>1.5762545561444095E-4</v>
      </c>
      <c r="F48" s="8">
        <v>1</v>
      </c>
      <c r="G48" s="8">
        <v>1</v>
      </c>
      <c r="H48" s="60">
        <v>72</v>
      </c>
      <c r="I48" s="5">
        <v>0.1676</v>
      </c>
      <c r="J48" s="5">
        <v>0.1676</v>
      </c>
      <c r="K48" s="9">
        <v>155024683.59999999</v>
      </c>
      <c r="L48" s="3">
        <f t="shared" si="12"/>
        <v>1.5745482215845217E-4</v>
      </c>
      <c r="M48" s="8">
        <v>1</v>
      </c>
      <c r="N48" s="8">
        <v>1</v>
      </c>
      <c r="O48" s="60">
        <v>72</v>
      </c>
      <c r="P48" s="5">
        <v>0.223</v>
      </c>
      <c r="Q48" s="5">
        <v>0.223</v>
      </c>
      <c r="R48" s="80">
        <f t="shared" si="14"/>
        <v>-1.0825247440119572E-3</v>
      </c>
      <c r="S48" s="80">
        <f t="shared" si="15"/>
        <v>0</v>
      </c>
      <c r="T48" s="80">
        <f t="shared" si="16"/>
        <v>0</v>
      </c>
      <c r="U48" s="81">
        <f t="shared" si="17"/>
        <v>5.5400000000000005E-2</v>
      </c>
      <c r="V48" s="83">
        <f t="shared" si="18"/>
        <v>5.5400000000000005E-2</v>
      </c>
    </row>
    <row r="49" spans="1:22">
      <c r="A49" s="75">
        <v>41</v>
      </c>
      <c r="B49" s="143" t="s">
        <v>81</v>
      </c>
      <c r="C49" s="144" t="s">
        <v>38</v>
      </c>
      <c r="D49" s="13">
        <v>766593066.38999999</v>
      </c>
      <c r="E49" s="3">
        <f t="shared" si="13"/>
        <v>7.7861003895214511E-4</v>
      </c>
      <c r="F49" s="8">
        <v>10</v>
      </c>
      <c r="G49" s="8">
        <v>10</v>
      </c>
      <c r="H49" s="60">
        <v>684</v>
      </c>
      <c r="I49" s="5">
        <v>0.1721</v>
      </c>
      <c r="J49" s="5">
        <v>0.1721</v>
      </c>
      <c r="K49" s="13">
        <v>762647416.62</v>
      </c>
      <c r="L49" s="3">
        <f t="shared" si="12"/>
        <v>7.7460253789871363E-4</v>
      </c>
      <c r="M49" s="8">
        <v>10</v>
      </c>
      <c r="N49" s="8">
        <v>10</v>
      </c>
      <c r="O49" s="60">
        <v>686</v>
      </c>
      <c r="P49" s="5">
        <v>0.17245456410000001</v>
      </c>
      <c r="Q49" s="5">
        <v>0.17245456410000001</v>
      </c>
      <c r="R49" s="80">
        <f t="shared" si="14"/>
        <v>-5.1469938132634417E-3</v>
      </c>
      <c r="S49" s="80">
        <f t="shared" si="15"/>
        <v>0</v>
      </c>
      <c r="T49" s="80">
        <f t="shared" si="16"/>
        <v>2.9239766081871343E-3</v>
      </c>
      <c r="U49" s="81">
        <f t="shared" si="17"/>
        <v>3.5456410000000993E-4</v>
      </c>
      <c r="V49" s="83">
        <f t="shared" si="18"/>
        <v>3.5456410000000993E-4</v>
      </c>
    </row>
    <row r="50" spans="1:22">
      <c r="A50" s="75">
        <v>42</v>
      </c>
      <c r="B50" s="143" t="s">
        <v>247</v>
      </c>
      <c r="C50" s="144" t="s">
        <v>248</v>
      </c>
      <c r="D50" s="13">
        <v>588857403.58000004</v>
      </c>
      <c r="E50" s="3">
        <f t="shared" si="13"/>
        <v>5.9808822443148532E-4</v>
      </c>
      <c r="F50" s="8">
        <v>1</v>
      </c>
      <c r="G50" s="8">
        <v>1</v>
      </c>
      <c r="H50" s="60">
        <v>41</v>
      </c>
      <c r="I50" s="5">
        <v>0.19220000000000001</v>
      </c>
      <c r="J50" s="5">
        <v>0.19220000000000001</v>
      </c>
      <c r="K50" s="13">
        <v>590867304.70000005</v>
      </c>
      <c r="L50" s="3">
        <f t="shared" si="12"/>
        <v>6.0012963239347312E-4</v>
      </c>
      <c r="M50" s="8">
        <v>1</v>
      </c>
      <c r="N50" s="8">
        <v>1</v>
      </c>
      <c r="O50" s="60">
        <v>42</v>
      </c>
      <c r="P50" s="5">
        <v>0.19220000000000001</v>
      </c>
      <c r="Q50" s="5">
        <v>0.19220000000000001</v>
      </c>
      <c r="R50" s="80">
        <f t="shared" si="14"/>
        <v>3.4132221277692518E-3</v>
      </c>
      <c r="S50" s="80">
        <f t="shared" si="15"/>
        <v>0</v>
      </c>
      <c r="T50" s="80">
        <f t="shared" si="16"/>
        <v>2.4390243902439025E-2</v>
      </c>
      <c r="U50" s="81">
        <f t="shared" si="17"/>
        <v>0</v>
      </c>
      <c r="V50" s="83">
        <f t="shared" si="18"/>
        <v>0</v>
      </c>
    </row>
    <row r="51" spans="1:22">
      <c r="A51" s="75">
        <v>43</v>
      </c>
      <c r="B51" s="143" t="s">
        <v>82</v>
      </c>
      <c r="C51" s="144" t="s">
        <v>42</v>
      </c>
      <c r="D51" s="9">
        <v>444239109536.37</v>
      </c>
      <c r="E51" s="3">
        <f t="shared" si="13"/>
        <v>0.4512029204869043</v>
      </c>
      <c r="F51" s="8">
        <v>100</v>
      </c>
      <c r="G51" s="8">
        <v>100</v>
      </c>
      <c r="H51" s="60">
        <v>120727</v>
      </c>
      <c r="I51" s="5">
        <v>0.18140000000000001</v>
      </c>
      <c r="J51" s="5">
        <v>0.18140000000000001</v>
      </c>
      <c r="K51" s="9">
        <v>452263819301.71997</v>
      </c>
      <c r="L51" s="3">
        <f t="shared" si="12"/>
        <v>0.45935342413338537</v>
      </c>
      <c r="M51" s="8">
        <v>100</v>
      </c>
      <c r="N51" s="8">
        <v>100</v>
      </c>
      <c r="O51" s="60">
        <v>121476</v>
      </c>
      <c r="P51" s="5">
        <v>0.1852</v>
      </c>
      <c r="Q51" s="5">
        <v>0.1852</v>
      </c>
      <c r="R51" s="80">
        <f t="shared" si="14"/>
        <v>1.806394257751183E-2</v>
      </c>
      <c r="S51" s="80">
        <f t="shared" si="15"/>
        <v>0</v>
      </c>
      <c r="T51" s="80">
        <f t="shared" si="16"/>
        <v>6.204080280301838E-3</v>
      </c>
      <c r="U51" s="81">
        <f t="shared" si="17"/>
        <v>3.7999999999999978E-3</v>
      </c>
      <c r="V51" s="83">
        <f t="shared" si="18"/>
        <v>3.7999999999999978E-3</v>
      </c>
    </row>
    <row r="52" spans="1:22">
      <c r="A52" s="75">
        <v>44</v>
      </c>
      <c r="B52" s="143" t="s">
        <v>83</v>
      </c>
      <c r="C52" s="144" t="s">
        <v>84</v>
      </c>
      <c r="D52" s="9">
        <v>3081270117.9099998</v>
      </c>
      <c r="E52" s="3">
        <f t="shared" si="13"/>
        <v>3.1295715441645449E-3</v>
      </c>
      <c r="F52" s="8">
        <v>1</v>
      </c>
      <c r="G52" s="8">
        <v>1</v>
      </c>
      <c r="H52" s="60">
        <v>336</v>
      </c>
      <c r="I52" s="5">
        <v>0.181778</v>
      </c>
      <c r="J52" s="5">
        <v>0.181778</v>
      </c>
      <c r="K52" s="9">
        <v>3124755953.5799999</v>
      </c>
      <c r="L52" s="3">
        <f t="shared" si="12"/>
        <v>3.1737390558331932E-3</v>
      </c>
      <c r="M52" s="8">
        <v>1</v>
      </c>
      <c r="N52" s="8">
        <v>1</v>
      </c>
      <c r="O52" s="60">
        <v>339</v>
      </c>
      <c r="P52" s="5">
        <v>0.1893911848</v>
      </c>
      <c r="Q52" s="5">
        <v>0.1893911848</v>
      </c>
      <c r="R52" s="80">
        <f t="shared" si="14"/>
        <v>1.4112957970557985E-2</v>
      </c>
      <c r="S52" s="80">
        <f t="shared" si="15"/>
        <v>0</v>
      </c>
      <c r="T52" s="80">
        <f t="shared" si="16"/>
        <v>8.9285714285714281E-3</v>
      </c>
      <c r="U52" s="81">
        <f t="shared" si="17"/>
        <v>7.6131848000000057E-3</v>
      </c>
      <c r="V52" s="83">
        <f t="shared" si="18"/>
        <v>7.6131848000000057E-3</v>
      </c>
    </row>
    <row r="53" spans="1:22">
      <c r="A53" s="75">
        <v>45</v>
      </c>
      <c r="B53" s="143" t="s">
        <v>85</v>
      </c>
      <c r="C53" s="144" t="s">
        <v>45</v>
      </c>
      <c r="D53" s="9">
        <v>32811941926.91</v>
      </c>
      <c r="E53" s="3">
        <f t="shared" si="13"/>
        <v>3.3326295921400448E-2</v>
      </c>
      <c r="F53" s="8">
        <v>1</v>
      </c>
      <c r="G53" s="8">
        <v>1</v>
      </c>
      <c r="H53" s="60">
        <v>22571</v>
      </c>
      <c r="I53" s="5">
        <v>0.1729</v>
      </c>
      <c r="J53" s="5">
        <v>0.1729</v>
      </c>
      <c r="K53" s="9">
        <v>33099618732.400002</v>
      </c>
      <c r="L53" s="3">
        <f t="shared" si="12"/>
        <v>3.3618482295825917E-2</v>
      </c>
      <c r="M53" s="8">
        <v>1</v>
      </c>
      <c r="N53" s="8">
        <v>1</v>
      </c>
      <c r="O53" s="60">
        <v>22562</v>
      </c>
      <c r="P53" s="5">
        <v>0.1666</v>
      </c>
      <c r="Q53" s="5">
        <v>0.1666</v>
      </c>
      <c r="R53" s="80">
        <f t="shared" si="14"/>
        <v>8.7674422358424882E-3</v>
      </c>
      <c r="S53" s="80">
        <f t="shared" si="15"/>
        <v>0</v>
      </c>
      <c r="T53" s="80">
        <f t="shared" si="16"/>
        <v>-3.9874174826104295E-4</v>
      </c>
      <c r="U53" s="81">
        <f t="shared" si="17"/>
        <v>-6.3E-3</v>
      </c>
      <c r="V53" s="83">
        <f t="shared" si="18"/>
        <v>-6.3E-3</v>
      </c>
    </row>
    <row r="54" spans="1:22">
      <c r="A54" s="75">
        <v>46</v>
      </c>
      <c r="B54" s="143" t="s">
        <v>86</v>
      </c>
      <c r="C54" s="144" t="s">
        <v>87</v>
      </c>
      <c r="D54" s="9">
        <v>1313549559.1000001</v>
      </c>
      <c r="E54" s="3">
        <f t="shared" si="13"/>
        <v>1.3341405215059816E-3</v>
      </c>
      <c r="F54" s="8">
        <v>1</v>
      </c>
      <c r="G54" s="8">
        <v>1</v>
      </c>
      <c r="H54" s="60">
        <v>83</v>
      </c>
      <c r="I54" s="5">
        <v>0.1434</v>
      </c>
      <c r="J54" s="5">
        <v>0.1434</v>
      </c>
      <c r="K54" s="9">
        <v>1318102522.01</v>
      </c>
      <c r="L54" s="3">
        <f t="shared" si="12"/>
        <v>1.3387648558290098E-3</v>
      </c>
      <c r="M54" s="8">
        <v>1</v>
      </c>
      <c r="N54" s="8">
        <v>1</v>
      </c>
      <c r="O54" s="60">
        <v>87</v>
      </c>
      <c r="P54" s="5">
        <v>0.1409</v>
      </c>
      <c r="Q54" s="5">
        <v>0.1409</v>
      </c>
      <c r="R54" s="80">
        <f t="shared" si="14"/>
        <v>3.4661523643762511E-3</v>
      </c>
      <c r="S54" s="80">
        <f t="shared" si="15"/>
        <v>0</v>
      </c>
      <c r="T54" s="80">
        <f t="shared" si="16"/>
        <v>4.8192771084337352E-2</v>
      </c>
      <c r="U54" s="81">
        <f t="shared" si="17"/>
        <v>-2.5000000000000022E-3</v>
      </c>
      <c r="V54" s="83">
        <f t="shared" si="18"/>
        <v>-2.5000000000000022E-3</v>
      </c>
    </row>
    <row r="55" spans="1:22">
      <c r="A55" s="75">
        <v>47</v>
      </c>
      <c r="B55" s="143" t="s">
        <v>88</v>
      </c>
      <c r="C55" s="144" t="s">
        <v>89</v>
      </c>
      <c r="D55" s="9">
        <v>1546505677.5899999</v>
      </c>
      <c r="E55" s="3">
        <f t="shared" si="13"/>
        <v>1.5707484174602116E-3</v>
      </c>
      <c r="F55" s="8">
        <v>1</v>
      </c>
      <c r="G55" s="8">
        <v>1</v>
      </c>
      <c r="H55" s="60">
        <v>212</v>
      </c>
      <c r="I55" s="5">
        <v>0.18440000000000001</v>
      </c>
      <c r="J55" s="5">
        <v>0.18440000000000001</v>
      </c>
      <c r="K55" s="9">
        <v>1555051248.1900001</v>
      </c>
      <c r="L55" s="3">
        <f t="shared" si="12"/>
        <v>1.5794279468604284E-3</v>
      </c>
      <c r="M55" s="8">
        <v>1</v>
      </c>
      <c r="N55" s="8">
        <v>1</v>
      </c>
      <c r="O55" s="60">
        <v>239</v>
      </c>
      <c r="P55" s="5">
        <v>0.18240000000000001</v>
      </c>
      <c r="Q55" s="5">
        <v>0.18240000000000001</v>
      </c>
      <c r="R55" s="80">
        <f t="shared" si="14"/>
        <v>5.525728565909405E-3</v>
      </c>
      <c r="S55" s="80">
        <f t="shared" si="15"/>
        <v>0</v>
      </c>
      <c r="T55" s="80">
        <f t="shared" si="16"/>
        <v>0.12735849056603774</v>
      </c>
      <c r="U55" s="81">
        <f t="shared" si="17"/>
        <v>-2.0000000000000018E-3</v>
      </c>
      <c r="V55" s="83">
        <f t="shared" si="18"/>
        <v>-2.0000000000000018E-3</v>
      </c>
    </row>
    <row r="56" spans="1:22">
      <c r="A56" s="75">
        <v>48</v>
      </c>
      <c r="B56" s="143" t="s">
        <v>260</v>
      </c>
      <c r="C56" s="144" t="s">
        <v>261</v>
      </c>
      <c r="D56" s="9">
        <v>649387595.00999999</v>
      </c>
      <c r="E56" s="3">
        <f t="shared" si="13"/>
        <v>6.5956727606057512E-4</v>
      </c>
      <c r="F56" s="8">
        <v>1</v>
      </c>
      <c r="G56" s="8">
        <v>1</v>
      </c>
      <c r="H56" s="60">
        <v>678</v>
      </c>
      <c r="I56" s="5">
        <v>0.1721</v>
      </c>
      <c r="J56" s="5">
        <v>0.1721</v>
      </c>
      <c r="K56" s="9">
        <v>630988368.66999996</v>
      </c>
      <c r="L56" s="3">
        <f t="shared" si="12"/>
        <v>6.40879626816969E-4</v>
      </c>
      <c r="M56" s="8">
        <v>1</v>
      </c>
      <c r="N56" s="8">
        <v>1</v>
      </c>
      <c r="O56" s="60">
        <v>720</v>
      </c>
      <c r="P56" s="5">
        <v>0.17929999999999999</v>
      </c>
      <c r="Q56" s="5">
        <v>0.17929999999999999</v>
      </c>
      <c r="R56" s="80">
        <f t="shared" si="14"/>
        <v>-2.8333196509115179E-2</v>
      </c>
      <c r="S56" s="80">
        <f t="shared" si="15"/>
        <v>0</v>
      </c>
      <c r="T56" s="80">
        <f t="shared" si="16"/>
        <v>6.1946902654867256E-2</v>
      </c>
      <c r="U56" s="81">
        <f t="shared" si="17"/>
        <v>7.1999999999999842E-3</v>
      </c>
      <c r="V56" s="83">
        <f t="shared" si="18"/>
        <v>7.1999999999999842E-3</v>
      </c>
    </row>
    <row r="57" spans="1:22">
      <c r="A57" s="75">
        <v>49</v>
      </c>
      <c r="B57" s="143" t="s">
        <v>90</v>
      </c>
      <c r="C57" s="144" t="s">
        <v>91</v>
      </c>
      <c r="D57" s="9">
        <v>28515892249.560001</v>
      </c>
      <c r="E57" s="3">
        <f t="shared" si="13"/>
        <v>2.8962902155821944E-2</v>
      </c>
      <c r="F57" s="8">
        <v>1</v>
      </c>
      <c r="G57" s="8">
        <v>1</v>
      </c>
      <c r="H57" s="60">
        <v>3453</v>
      </c>
      <c r="I57" s="5">
        <v>0.17760000000000001</v>
      </c>
      <c r="J57" s="5">
        <v>0.17760000000000001</v>
      </c>
      <c r="K57" s="9">
        <v>28370117978.490002</v>
      </c>
      <c r="L57" s="3">
        <f t="shared" si="12"/>
        <v>2.8814842753966761E-2</v>
      </c>
      <c r="M57" s="8">
        <v>1</v>
      </c>
      <c r="N57" s="8">
        <v>1</v>
      </c>
      <c r="O57" s="60">
        <v>3459</v>
      </c>
      <c r="P57" s="5">
        <v>0.18099999999999999</v>
      </c>
      <c r="Q57" s="5">
        <v>0.18099999999999999</v>
      </c>
      <c r="R57" s="80">
        <f t="shared" si="14"/>
        <v>-5.1120361163606576E-3</v>
      </c>
      <c r="S57" s="80">
        <f t="shared" si="15"/>
        <v>0</v>
      </c>
      <c r="T57" s="80">
        <f t="shared" si="16"/>
        <v>1.7376194613379669E-3</v>
      </c>
      <c r="U57" s="81">
        <f t="shared" si="17"/>
        <v>3.3999999999999864E-3</v>
      </c>
      <c r="V57" s="83">
        <f t="shared" si="18"/>
        <v>3.3999999999999864E-3</v>
      </c>
    </row>
    <row r="58" spans="1:22">
      <c r="A58" s="75"/>
      <c r="B58" s="19"/>
      <c r="C58" s="71" t="s">
        <v>46</v>
      </c>
      <c r="D58" s="59">
        <f>SUM(D26:D57)</f>
        <v>974788648500.33569</v>
      </c>
      <c r="E58" s="100">
        <f>(D58/$D$192)</f>
        <v>0.3381515243938672</v>
      </c>
      <c r="F58" s="30"/>
      <c r="G58" s="11"/>
      <c r="H58" s="65">
        <f>SUM(H26:H57)</f>
        <v>288178</v>
      </c>
      <c r="I58" s="32"/>
      <c r="J58" s="32"/>
      <c r="K58" s="59">
        <f>SUM(K26:K57)</f>
        <v>984566121728.51306</v>
      </c>
      <c r="L58" s="100">
        <f>(K58/$K$192)</f>
        <v>0.34464941981966968</v>
      </c>
      <c r="M58" s="30"/>
      <c r="N58" s="11"/>
      <c r="O58" s="65">
        <f>SUM(O26:O57)</f>
        <v>289479</v>
      </c>
      <c r="P58" s="32"/>
      <c r="Q58" s="32"/>
      <c r="R58" s="80">
        <f t="shared" si="14"/>
        <v>1.0030351957031433E-2</v>
      </c>
      <c r="S58" s="80" t="e">
        <f t="shared" si="15"/>
        <v>#DIV/0!</v>
      </c>
      <c r="T58" s="80">
        <f t="shared" si="16"/>
        <v>4.5145708555129121E-3</v>
      </c>
      <c r="U58" s="81">
        <f t="shared" si="17"/>
        <v>0</v>
      </c>
      <c r="V58" s="83">
        <f t="shared" si="18"/>
        <v>0</v>
      </c>
    </row>
    <row r="59" spans="1:22" ht="9" customHeight="1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1:22" ht="15" customHeight="1">
      <c r="A60" s="162" t="s">
        <v>92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</row>
    <row r="61" spans="1:22">
      <c r="A61" s="75">
        <v>50</v>
      </c>
      <c r="B61" s="143" t="s">
        <v>93</v>
      </c>
      <c r="C61" s="144" t="s">
        <v>19</v>
      </c>
      <c r="D61" s="2">
        <v>460303377.07999998</v>
      </c>
      <c r="E61" s="3">
        <f>(D61/$D$96)</f>
        <v>1.8863565004019708E-3</v>
      </c>
      <c r="F61" s="14">
        <v>1.2373000000000001</v>
      </c>
      <c r="G61" s="14">
        <v>1.2373000000000001</v>
      </c>
      <c r="H61" s="60">
        <v>404</v>
      </c>
      <c r="I61" s="5">
        <v>4.0400000000000001E-4</v>
      </c>
      <c r="J61" s="5">
        <v>-3.3399999999999999E-2</v>
      </c>
      <c r="K61" s="2">
        <v>461635788.77999997</v>
      </c>
      <c r="L61" s="3">
        <f t="shared" ref="L61:L82" si="19">(K61/$K$96)</f>
        <v>1.9255105914525242E-3</v>
      </c>
      <c r="M61" s="14">
        <v>1.2406999999999999</v>
      </c>
      <c r="N61" s="14">
        <v>1.2406999999999999</v>
      </c>
      <c r="O61" s="60">
        <v>407</v>
      </c>
      <c r="P61" s="5">
        <v>3.2299999999999999E-4</v>
      </c>
      <c r="Q61" s="5">
        <v>-3.0800000000000001E-2</v>
      </c>
      <c r="R61" s="80">
        <f>((K61-D61)/D61)</f>
        <v>2.8946381155235735E-3</v>
      </c>
      <c r="S61" s="80">
        <f>((N61-G61)/G61)</f>
        <v>2.7479188555724946E-3</v>
      </c>
      <c r="T61" s="80">
        <f>((O61-H61)/H61)</f>
        <v>7.4257425742574254E-3</v>
      </c>
      <c r="U61" s="81">
        <f>P61-I61</f>
        <v>-8.1000000000000017E-5</v>
      </c>
      <c r="V61" s="83">
        <f>Q61-J61</f>
        <v>2.5999999999999981E-3</v>
      </c>
    </row>
    <row r="62" spans="1:22">
      <c r="A62" s="75">
        <v>51</v>
      </c>
      <c r="B62" s="143" t="s">
        <v>94</v>
      </c>
      <c r="C62" s="144" t="s">
        <v>21</v>
      </c>
      <c r="D62" s="2">
        <v>1413507096.6600001</v>
      </c>
      <c r="E62" s="3">
        <f>(D62/$D$96)</f>
        <v>5.7926542209259003E-3</v>
      </c>
      <c r="F62" s="14">
        <v>1.1339999999999999</v>
      </c>
      <c r="G62" s="14">
        <v>1.1339999999999999</v>
      </c>
      <c r="H62" s="60">
        <v>639</v>
      </c>
      <c r="I62" s="5">
        <v>0.17580000000000001</v>
      </c>
      <c r="J62" s="5">
        <v>-5.9900000000000002E-2</v>
      </c>
      <c r="K62" s="2">
        <v>1409590797.3599999</v>
      </c>
      <c r="L62" s="3">
        <f t="shared" si="19"/>
        <v>5.8794878471265495E-3</v>
      </c>
      <c r="M62" s="14">
        <v>1.1376999999999999</v>
      </c>
      <c r="N62" s="14">
        <v>1.1376999999999999</v>
      </c>
      <c r="O62" s="60">
        <v>640</v>
      </c>
      <c r="P62" s="5">
        <v>0.1706</v>
      </c>
      <c r="Q62" s="5">
        <v>-4.9000000000000002E-2</v>
      </c>
      <c r="R62" s="80">
        <f t="shared" ref="R62:R96" si="20">((K62-D62)/D62)</f>
        <v>-2.7706258491761952E-3</v>
      </c>
      <c r="S62" s="80">
        <f t="shared" ref="S62:S96" si="21">((N62-G62)/G62)</f>
        <v>3.2627865961199621E-3</v>
      </c>
      <c r="T62" s="80">
        <f t="shared" ref="T62:T96" si="22">((O62-H62)/H62)</f>
        <v>1.5649452269170579E-3</v>
      </c>
      <c r="U62" s="81">
        <f t="shared" ref="U62:U96" si="23">P62-I62</f>
        <v>-5.2000000000000102E-3</v>
      </c>
      <c r="V62" s="83">
        <f t="shared" ref="V62:V96" si="24">Q62-J62</f>
        <v>1.09E-2</v>
      </c>
    </row>
    <row r="63" spans="1:22">
      <c r="A63" s="75">
        <v>52</v>
      </c>
      <c r="B63" s="143" t="s">
        <v>95</v>
      </c>
      <c r="C63" s="144" t="s">
        <v>21</v>
      </c>
      <c r="D63" s="2">
        <v>862192243.29999995</v>
      </c>
      <c r="E63" s="3">
        <f>(D63/$D$96)</f>
        <v>3.5333261143170942E-3</v>
      </c>
      <c r="F63" s="14">
        <v>1.0410999999999999</v>
      </c>
      <c r="G63" s="14">
        <v>1.0410999999999999</v>
      </c>
      <c r="H63" s="60">
        <v>167</v>
      </c>
      <c r="I63" s="5">
        <v>0.1208</v>
      </c>
      <c r="J63" s="5">
        <v>-7.2099999999999997E-2</v>
      </c>
      <c r="K63" s="2">
        <v>861532336.20000005</v>
      </c>
      <c r="L63" s="3">
        <f t="shared" si="19"/>
        <v>3.5935031003900518E-3</v>
      </c>
      <c r="M63" s="14">
        <v>1.0435000000000001</v>
      </c>
      <c r="N63" s="14">
        <v>1.0435000000000001</v>
      </c>
      <c r="O63" s="60">
        <v>167</v>
      </c>
      <c r="P63" s="5">
        <v>0.1205</v>
      </c>
      <c r="Q63" s="5">
        <v>-6.3E-2</v>
      </c>
      <c r="R63" s="80">
        <f t="shared" si="20"/>
        <v>-7.6538278455642503E-4</v>
      </c>
      <c r="S63" s="80">
        <f t="shared" si="21"/>
        <v>2.3052540582078379E-3</v>
      </c>
      <c r="T63" s="80">
        <f t="shared" si="22"/>
        <v>0</v>
      </c>
      <c r="U63" s="81">
        <f t="shared" si="23"/>
        <v>-3.0000000000000859E-4</v>
      </c>
      <c r="V63" s="83">
        <f t="shared" si="24"/>
        <v>9.099999999999997E-3</v>
      </c>
    </row>
    <row r="64" spans="1:22">
      <c r="A64" s="75">
        <v>53</v>
      </c>
      <c r="B64" s="143" t="s">
        <v>96</v>
      </c>
      <c r="C64" s="144" t="s">
        <v>97</v>
      </c>
      <c r="D64" s="2">
        <v>257489212.05000001</v>
      </c>
      <c r="E64" s="3">
        <f>(D64/$D$96)</f>
        <v>1.0552093969310207E-3</v>
      </c>
      <c r="F64" s="7">
        <v>1033.8399999999999</v>
      </c>
      <c r="G64" s="7">
        <v>1033.8399999999999</v>
      </c>
      <c r="H64" s="60">
        <v>112</v>
      </c>
      <c r="I64" s="5">
        <v>-1.465E-2</v>
      </c>
      <c r="J64" s="5">
        <v>2.8999999999999998E-3</v>
      </c>
      <c r="K64" s="2">
        <v>257660684.53</v>
      </c>
      <c r="L64" s="3">
        <f t="shared" si="19"/>
        <v>1.0747181850319248E-3</v>
      </c>
      <c r="M64" s="7">
        <v>1034.57</v>
      </c>
      <c r="N64" s="7">
        <v>1034.57</v>
      </c>
      <c r="O64" s="60">
        <v>112</v>
      </c>
      <c r="P64" s="5">
        <v>3.1E-4</v>
      </c>
      <c r="Q64" s="5">
        <v>3.5000000000000001E-3</v>
      </c>
      <c r="R64" s="80">
        <f t="shared" si="20"/>
        <v>6.6594044323182067E-4</v>
      </c>
      <c r="S64" s="80">
        <f t="shared" si="21"/>
        <v>7.0610539348450263E-4</v>
      </c>
      <c r="T64" s="80">
        <f t="shared" si="22"/>
        <v>0</v>
      </c>
      <c r="U64" s="81">
        <f t="shared" si="23"/>
        <v>1.4959999999999999E-2</v>
      </c>
      <c r="V64" s="83">
        <f t="shared" si="24"/>
        <v>6.0000000000000027E-4</v>
      </c>
    </row>
    <row r="65" spans="1:22" ht="15" customHeight="1">
      <c r="A65" s="75">
        <v>54</v>
      </c>
      <c r="B65" s="143" t="s">
        <v>98</v>
      </c>
      <c r="C65" s="144" t="s">
        <v>99</v>
      </c>
      <c r="D65" s="2">
        <v>1735675739.03</v>
      </c>
      <c r="E65" s="3">
        <f>(D65/$K$96)</f>
        <v>7.2396077168578581E-3</v>
      </c>
      <c r="F65" s="7">
        <v>1.0551999999999999</v>
      </c>
      <c r="G65" s="7">
        <v>1.0551999999999999</v>
      </c>
      <c r="H65" s="60">
        <v>847</v>
      </c>
      <c r="I65" s="5">
        <v>4.4999999999999997E-3</v>
      </c>
      <c r="J65" s="5">
        <v>3.6999999999999998E-2</v>
      </c>
      <c r="K65" s="2">
        <v>1693213565.97</v>
      </c>
      <c r="L65" s="3">
        <f t="shared" si="19"/>
        <v>7.0624954436105938E-3</v>
      </c>
      <c r="M65" s="7">
        <v>1.0576000000000001</v>
      </c>
      <c r="N65" s="7">
        <v>1.0576000000000001</v>
      </c>
      <c r="O65" s="60">
        <v>851</v>
      </c>
      <c r="P65" s="5">
        <v>2.3E-3</v>
      </c>
      <c r="Q65" s="5">
        <v>3.9199999999999999E-2</v>
      </c>
      <c r="R65" s="80">
        <f t="shared" si="20"/>
        <v>-2.4464346712439709E-2</v>
      </c>
      <c r="S65" s="80">
        <f t="shared" si="21"/>
        <v>2.2744503411677216E-3</v>
      </c>
      <c r="T65" s="80">
        <f t="shared" si="22"/>
        <v>4.7225501770956314E-3</v>
      </c>
      <c r="U65" s="81">
        <f t="shared" si="23"/>
        <v>-2.1999999999999997E-3</v>
      </c>
      <c r="V65" s="83">
        <v>7.87</v>
      </c>
    </row>
    <row r="66" spans="1:22">
      <c r="A66" s="75">
        <v>55</v>
      </c>
      <c r="B66" s="143" t="s">
        <v>100</v>
      </c>
      <c r="C66" s="144" t="s">
        <v>101</v>
      </c>
      <c r="D66" s="2">
        <v>406227370.75800693</v>
      </c>
      <c r="E66" s="3">
        <f t="shared" ref="E66:E82" si="25">(D66/$D$96)</f>
        <v>1.6647491190085011E-3</v>
      </c>
      <c r="F66" s="7">
        <v>2.3109999999999999</v>
      </c>
      <c r="G66" s="7">
        <v>2.3109999999999999</v>
      </c>
      <c r="H66" s="60">
        <v>1395</v>
      </c>
      <c r="I66" s="5">
        <v>0.1293</v>
      </c>
      <c r="J66" s="5">
        <v>0.1033</v>
      </c>
      <c r="K66" s="2">
        <v>410110636.87716752</v>
      </c>
      <c r="L66" s="3">
        <f t="shared" si="19"/>
        <v>1.7105960893137283E-3</v>
      </c>
      <c r="M66" s="7">
        <v>2.3331</v>
      </c>
      <c r="N66" s="7">
        <v>2.3331</v>
      </c>
      <c r="O66" s="60">
        <v>1395</v>
      </c>
      <c r="P66" s="5">
        <v>0.1348</v>
      </c>
      <c r="Q66" s="5">
        <v>0.10829999999999999</v>
      </c>
      <c r="R66" s="80">
        <f t="shared" si="20"/>
        <v>9.5593413903020501E-3</v>
      </c>
      <c r="S66" s="80">
        <f t="shared" si="21"/>
        <v>9.5629597576806624E-3</v>
      </c>
      <c r="T66" s="80">
        <f t="shared" si="22"/>
        <v>0</v>
      </c>
      <c r="U66" s="81">
        <f t="shared" si="23"/>
        <v>5.5000000000000049E-3</v>
      </c>
      <c r="V66" s="83">
        <f t="shared" si="24"/>
        <v>4.9999999999999906E-3</v>
      </c>
    </row>
    <row r="67" spans="1:22">
      <c r="A67" s="75">
        <v>56</v>
      </c>
      <c r="B67" s="143" t="s">
        <v>273</v>
      </c>
      <c r="C67" s="144" t="s">
        <v>271</v>
      </c>
      <c r="D67" s="2">
        <v>216110484.30000001</v>
      </c>
      <c r="E67" s="3">
        <f t="shared" si="25"/>
        <v>8.8563638062006268E-4</v>
      </c>
      <c r="F67" s="7">
        <v>10.64</v>
      </c>
      <c r="G67" s="7">
        <v>10.67</v>
      </c>
      <c r="H67" s="60">
        <v>29</v>
      </c>
      <c r="I67" s="5">
        <v>0.147455</v>
      </c>
      <c r="J67" s="5">
        <v>2.8051E-2</v>
      </c>
      <c r="K67" s="2">
        <v>131867756.95</v>
      </c>
      <c r="L67" s="3">
        <f t="shared" si="19"/>
        <v>5.500283315324117E-4</v>
      </c>
      <c r="M67" s="7">
        <v>10.647600000000001</v>
      </c>
      <c r="N67" s="7">
        <v>10.6722</v>
      </c>
      <c r="O67" s="60">
        <v>29</v>
      </c>
      <c r="P67" s="5">
        <v>0.147836</v>
      </c>
      <c r="Q67" s="5">
        <v>2.7570999999999998E-2</v>
      </c>
      <c r="R67" s="80">
        <f t="shared" ref="R67" si="26">((K67-D67)/D67)</f>
        <v>-0.38981323660843792</v>
      </c>
      <c r="S67" s="80">
        <f t="shared" ref="S67" si="27">((N67-G67)/G67)</f>
        <v>2.0618556701032818E-4</v>
      </c>
      <c r="T67" s="80">
        <f t="shared" ref="T67" si="28">((O67-H67)/H67)</f>
        <v>0</v>
      </c>
      <c r="U67" s="81">
        <f t="shared" ref="U67" si="29">P67-I67</f>
        <v>3.8099999999999246E-4</v>
      </c>
      <c r="V67" s="83">
        <f t="shared" ref="V67" si="30">Q67-J67</f>
        <v>-4.8000000000000126E-4</v>
      </c>
    </row>
    <row r="68" spans="1:22">
      <c r="A68" s="75">
        <v>57</v>
      </c>
      <c r="B68" s="143" t="s">
        <v>102</v>
      </c>
      <c r="C68" s="144" t="s">
        <v>56</v>
      </c>
      <c r="D68" s="2">
        <v>2661754370.8562598</v>
      </c>
      <c r="E68" s="3">
        <f t="shared" si="25"/>
        <v>1.090806174786204E-2</v>
      </c>
      <c r="F68" s="2">
        <v>4133.8737128571302</v>
      </c>
      <c r="G68" s="2">
        <v>4133.8737128571302</v>
      </c>
      <c r="H68" s="60">
        <v>1041</v>
      </c>
      <c r="I68" s="5">
        <v>0.10286791203655335</v>
      </c>
      <c r="J68" s="5">
        <v>8.9666228073981349E-2</v>
      </c>
      <c r="K68" s="2">
        <v>2667317483.6140599</v>
      </c>
      <c r="L68" s="3">
        <f t="shared" si="19"/>
        <v>1.1125541368962159E-2</v>
      </c>
      <c r="M68" s="2">
        <v>4141.9857810078402</v>
      </c>
      <c r="N68" s="2">
        <v>4141.9857810078402</v>
      </c>
      <c r="O68" s="60">
        <v>1041</v>
      </c>
      <c r="P68" s="5">
        <v>0.10260237904101754</v>
      </c>
      <c r="Q68" s="5">
        <v>9.0458193179967603E-2</v>
      </c>
      <c r="R68" s="80">
        <f t="shared" si="20"/>
        <v>2.0900173279364258E-3</v>
      </c>
      <c r="S68" s="80">
        <f t="shared" si="21"/>
        <v>1.9623405827517018E-3</v>
      </c>
      <c r="T68" s="80">
        <f t="shared" si="22"/>
        <v>0</v>
      </c>
      <c r="U68" s="81">
        <f t="shared" si="23"/>
        <v>-2.6553299553580545E-4</v>
      </c>
      <c r="V68" s="83">
        <f t="shared" si="24"/>
        <v>7.9196510598625314E-4</v>
      </c>
    </row>
    <row r="69" spans="1:22">
      <c r="A69" s="75">
        <v>58</v>
      </c>
      <c r="B69" s="143" t="s">
        <v>103</v>
      </c>
      <c r="C69" s="144" t="s">
        <v>58</v>
      </c>
      <c r="D69" s="2">
        <v>341322106.82999998</v>
      </c>
      <c r="E69" s="3">
        <f t="shared" si="25"/>
        <v>1.3987626574326988E-3</v>
      </c>
      <c r="F69" s="14">
        <v>107.07</v>
      </c>
      <c r="G69" s="14">
        <v>107.07</v>
      </c>
      <c r="H69" s="60">
        <v>128</v>
      </c>
      <c r="I69" s="5">
        <v>1.8E-3</v>
      </c>
      <c r="J69" s="5">
        <v>0.1094</v>
      </c>
      <c r="K69" s="2">
        <v>341759582.23000002</v>
      </c>
      <c r="L69" s="3">
        <f t="shared" si="19"/>
        <v>1.4254997366070004E-3</v>
      </c>
      <c r="M69" s="14">
        <v>107.29</v>
      </c>
      <c r="N69" s="14">
        <v>107.29</v>
      </c>
      <c r="O69" s="60">
        <v>128</v>
      </c>
      <c r="P69" s="5">
        <v>2.0999999999999999E-3</v>
      </c>
      <c r="Q69" s="5">
        <v>0.1096</v>
      </c>
      <c r="R69" s="80">
        <f t="shared" si="20"/>
        <v>1.2817083665135297E-3</v>
      </c>
      <c r="S69" s="80">
        <f t="shared" si="21"/>
        <v>2.0547305501075288E-3</v>
      </c>
      <c r="T69" s="80">
        <f t="shared" si="22"/>
        <v>0</v>
      </c>
      <c r="U69" s="81">
        <f t="shared" si="23"/>
        <v>2.9999999999999992E-4</v>
      </c>
      <c r="V69" s="83">
        <f t="shared" si="24"/>
        <v>2.0000000000000573E-4</v>
      </c>
    </row>
    <row r="70" spans="1:22" ht="13.5" customHeight="1">
      <c r="A70" s="75">
        <v>59</v>
      </c>
      <c r="B70" s="143" t="s">
        <v>104</v>
      </c>
      <c r="C70" s="144" t="s">
        <v>105</v>
      </c>
      <c r="D70" s="2">
        <v>319504321.43000001</v>
      </c>
      <c r="E70" s="3">
        <f t="shared" si="25"/>
        <v>1.3093517963289961E-3</v>
      </c>
      <c r="F70" s="14">
        <v>1.341</v>
      </c>
      <c r="G70" s="14">
        <v>1.3445</v>
      </c>
      <c r="H70" s="60">
        <v>329</v>
      </c>
      <c r="I70" s="5">
        <v>2.6099925428784143E-3</v>
      </c>
      <c r="J70" s="5">
        <v>7.4505010508763014E-3</v>
      </c>
      <c r="K70" s="2">
        <v>324836733.80000001</v>
      </c>
      <c r="L70" s="3">
        <f t="shared" si="19"/>
        <v>1.3549135197635752E-3</v>
      </c>
      <c r="M70" s="14">
        <v>1.3475999999999999</v>
      </c>
      <c r="N70" s="14">
        <v>1.3475999999999999</v>
      </c>
      <c r="O70" s="60">
        <v>329</v>
      </c>
      <c r="P70" s="5">
        <v>9.7000000000000003E-3</v>
      </c>
      <c r="Q70" s="5">
        <v>2.3E-3</v>
      </c>
      <c r="R70" s="80">
        <f t="shared" si="20"/>
        <v>1.6689640835322095E-2</v>
      </c>
      <c r="S70" s="80">
        <f t="shared" si="21"/>
        <v>2.305689847526873E-3</v>
      </c>
      <c r="T70" s="80">
        <f t="shared" si="22"/>
        <v>0</v>
      </c>
      <c r="U70" s="81">
        <f t="shared" si="23"/>
        <v>7.090007457121586E-3</v>
      </c>
      <c r="V70" s="83">
        <f t="shared" si="24"/>
        <v>-5.1505010508763015E-3</v>
      </c>
    </row>
    <row r="71" spans="1:22">
      <c r="A71" s="75">
        <v>60</v>
      </c>
      <c r="B71" s="143" t="s">
        <v>106</v>
      </c>
      <c r="C71" s="144" t="s">
        <v>25</v>
      </c>
      <c r="D71" s="2">
        <v>98893749.129999995</v>
      </c>
      <c r="E71" s="3">
        <f t="shared" si="25"/>
        <v>4.0527372991242547E-4</v>
      </c>
      <c r="F71" s="14">
        <v>117.5877</v>
      </c>
      <c r="G71" s="14">
        <v>117.5877</v>
      </c>
      <c r="H71" s="60">
        <v>110</v>
      </c>
      <c r="I71" s="5">
        <v>3.9800000000000002E-4</v>
      </c>
      <c r="J71" s="5">
        <v>0.15579999999999999</v>
      </c>
      <c r="K71" s="2">
        <v>99527586.510000005</v>
      </c>
      <c r="L71" s="3">
        <f t="shared" si="19"/>
        <v>4.1513553893466048E-4</v>
      </c>
      <c r="M71" s="14">
        <v>117.9156</v>
      </c>
      <c r="N71" s="14">
        <v>117.9156</v>
      </c>
      <c r="O71" s="60">
        <v>113</v>
      </c>
      <c r="P71" s="5">
        <v>3.9800000000000002E-4</v>
      </c>
      <c r="Q71" s="5">
        <v>0.15590000000000001</v>
      </c>
      <c r="R71" s="80">
        <f t="shared" si="20"/>
        <v>6.4092764767852434E-3</v>
      </c>
      <c r="S71" s="80">
        <f t="shared" si="21"/>
        <v>2.7885569664174029E-3</v>
      </c>
      <c r="T71" s="80">
        <f t="shared" si="22"/>
        <v>2.7272727272727271E-2</v>
      </c>
      <c r="U71" s="81">
        <f t="shared" si="23"/>
        <v>0</v>
      </c>
      <c r="V71" s="83">
        <f t="shared" si="24"/>
        <v>1.0000000000001674E-4</v>
      </c>
    </row>
    <row r="72" spans="1:22">
      <c r="A72" s="75">
        <v>61</v>
      </c>
      <c r="B72" s="143" t="s">
        <v>107</v>
      </c>
      <c r="C72" s="144" t="s">
        <v>108</v>
      </c>
      <c r="D72" s="2">
        <v>1537684301.2</v>
      </c>
      <c r="E72" s="3">
        <f t="shared" si="25"/>
        <v>6.301541378069357E-3</v>
      </c>
      <c r="F72" s="7">
        <v>1000</v>
      </c>
      <c r="G72" s="7">
        <v>1000</v>
      </c>
      <c r="H72" s="60">
        <v>318</v>
      </c>
      <c r="I72" s="5">
        <v>2.07715966697937E-4</v>
      </c>
      <c r="J72" s="5">
        <v>0.14940000000000001</v>
      </c>
      <c r="K72" s="2">
        <v>1539791958.7</v>
      </c>
      <c r="L72" s="3">
        <f t="shared" si="19"/>
        <v>6.4225647083078347E-3</v>
      </c>
      <c r="M72" s="7">
        <v>1000</v>
      </c>
      <c r="N72" s="7">
        <v>1000</v>
      </c>
      <c r="O72" s="60">
        <v>319</v>
      </c>
      <c r="P72" s="5">
        <v>1.3706698431890101E-5</v>
      </c>
      <c r="Q72" s="5">
        <v>0.14899999999999999</v>
      </c>
      <c r="R72" s="80">
        <f t="shared" si="20"/>
        <v>1.3706698431890057E-3</v>
      </c>
      <c r="S72" s="80">
        <f t="shared" si="21"/>
        <v>0</v>
      </c>
      <c r="T72" s="80">
        <f t="shared" si="22"/>
        <v>3.1446540880503146E-3</v>
      </c>
      <c r="U72" s="81">
        <f t="shared" si="23"/>
        <v>-1.9400926826604691E-4</v>
      </c>
      <c r="V72" s="83">
        <f t="shared" si="24"/>
        <v>-4.0000000000001146E-4</v>
      </c>
    </row>
    <row r="73" spans="1:22">
      <c r="A73" s="75">
        <v>62</v>
      </c>
      <c r="B73" s="143" t="s">
        <v>109</v>
      </c>
      <c r="C73" s="144" t="s">
        <v>64</v>
      </c>
      <c r="D73" s="2">
        <v>216995486.31999999</v>
      </c>
      <c r="E73" s="3">
        <f t="shared" si="25"/>
        <v>8.8926318284751117E-4</v>
      </c>
      <c r="F73" s="7">
        <v>1065.45</v>
      </c>
      <c r="G73" s="7">
        <v>1073.6500000000001</v>
      </c>
      <c r="H73" s="60">
        <v>78</v>
      </c>
      <c r="I73" s="5">
        <v>2E-3</v>
      </c>
      <c r="J73" s="5">
        <v>1.04E-2</v>
      </c>
      <c r="K73" s="2">
        <v>217649657.44</v>
      </c>
      <c r="L73" s="3">
        <f t="shared" si="19"/>
        <v>9.0782978879147568E-4</v>
      </c>
      <c r="M73" s="7">
        <v>1068.18</v>
      </c>
      <c r="N73" s="7">
        <v>1077.0899999999999</v>
      </c>
      <c r="O73" s="60">
        <v>78</v>
      </c>
      <c r="P73" s="5">
        <v>2.8999999999999998E-3</v>
      </c>
      <c r="Q73" s="5">
        <v>1.3299999999999999E-2</v>
      </c>
      <c r="R73" s="80">
        <f t="shared" si="20"/>
        <v>3.0146761625968036E-3</v>
      </c>
      <c r="S73" s="80">
        <f t="shared" si="21"/>
        <v>3.2040236576163805E-3</v>
      </c>
      <c r="T73" s="80">
        <f t="shared" si="22"/>
        <v>0</v>
      </c>
      <c r="U73" s="81">
        <f t="shared" si="23"/>
        <v>8.9999999999999976E-4</v>
      </c>
      <c r="V73" s="83">
        <f t="shared" si="24"/>
        <v>2.8999999999999998E-3</v>
      </c>
    </row>
    <row r="74" spans="1:22">
      <c r="A74" s="75">
        <v>63</v>
      </c>
      <c r="B74" s="143" t="s">
        <v>110</v>
      </c>
      <c r="C74" s="144" t="s">
        <v>67</v>
      </c>
      <c r="D74" s="2">
        <v>887910174.70000005</v>
      </c>
      <c r="E74" s="3">
        <f t="shared" si="25"/>
        <v>3.6387200555500097E-3</v>
      </c>
      <c r="F74" s="15">
        <v>1.1531</v>
      </c>
      <c r="G74" s="15">
        <v>1.1531</v>
      </c>
      <c r="H74" s="60">
        <v>36</v>
      </c>
      <c r="I74" s="5">
        <v>2.5213006433664796E-3</v>
      </c>
      <c r="J74" s="5">
        <v>0.17105086710385264</v>
      </c>
      <c r="K74" s="2">
        <v>890333787.11000001</v>
      </c>
      <c r="L74" s="3">
        <f t="shared" si="19"/>
        <v>3.7136356813646911E-3</v>
      </c>
      <c r="M74" s="15">
        <v>1.1560999999999999</v>
      </c>
      <c r="N74" s="15">
        <v>1.1560999999999999</v>
      </c>
      <c r="O74" s="60">
        <v>37</v>
      </c>
      <c r="P74" s="5">
        <v>2.6016824212990127E-3</v>
      </c>
      <c r="Q74" s="5">
        <v>0.18273571715722836</v>
      </c>
      <c r="R74" s="80">
        <f t="shared" si="20"/>
        <v>2.7295693630482805E-3</v>
      </c>
      <c r="S74" s="80">
        <f t="shared" si="21"/>
        <v>2.6016824212990127E-3</v>
      </c>
      <c r="T74" s="80">
        <f t="shared" si="22"/>
        <v>2.7777777777777776E-2</v>
      </c>
      <c r="U74" s="81">
        <f t="shared" si="23"/>
        <v>8.038177793253309E-5</v>
      </c>
      <c r="V74" s="83">
        <f t="shared" si="24"/>
        <v>1.1684850053375717E-2</v>
      </c>
    </row>
    <row r="75" spans="1:22">
      <c r="A75" s="75">
        <v>64</v>
      </c>
      <c r="B75" s="143" t="s">
        <v>111</v>
      </c>
      <c r="C75" s="144" t="s">
        <v>27</v>
      </c>
      <c r="D75" s="2">
        <v>47635128680.519997</v>
      </c>
      <c r="E75" s="3">
        <f t="shared" si="25"/>
        <v>0.19521219940640644</v>
      </c>
      <c r="F75" s="15">
        <v>1617.21</v>
      </c>
      <c r="G75" s="15">
        <v>1617.21</v>
      </c>
      <c r="H75" s="60">
        <v>2393</v>
      </c>
      <c r="I75" s="5">
        <v>2.3E-3</v>
      </c>
      <c r="J75" s="5">
        <v>4.5100000000000001E-2</v>
      </c>
      <c r="K75" s="2">
        <v>45740529446.519997</v>
      </c>
      <c r="L75" s="3">
        <f t="shared" si="19"/>
        <v>0.19078649456680957</v>
      </c>
      <c r="M75" s="15">
        <v>1620.94</v>
      </c>
      <c r="N75" s="15">
        <v>1620.94</v>
      </c>
      <c r="O75" s="60">
        <v>2387</v>
      </c>
      <c r="P75" s="5">
        <v>2.3E-3</v>
      </c>
      <c r="Q75" s="5">
        <v>4.7500000000000001E-2</v>
      </c>
      <c r="R75" s="80">
        <f t="shared" si="20"/>
        <v>-3.9773152429307512E-2</v>
      </c>
      <c r="S75" s="80">
        <f t="shared" si="21"/>
        <v>2.3064413403330541E-3</v>
      </c>
      <c r="T75" s="80">
        <f t="shared" si="22"/>
        <v>-2.5073129962390303E-3</v>
      </c>
      <c r="U75" s="81">
        <f t="shared" si="23"/>
        <v>0</v>
      </c>
      <c r="V75" s="83">
        <f t="shared" si="24"/>
        <v>2.3999999999999994E-3</v>
      </c>
    </row>
    <row r="76" spans="1:22">
      <c r="A76" s="75">
        <v>65</v>
      </c>
      <c r="B76" s="143" t="s">
        <v>112</v>
      </c>
      <c r="C76" s="144" t="s">
        <v>72</v>
      </c>
      <c r="D76" s="2">
        <v>24010212.760000002</v>
      </c>
      <c r="E76" s="3">
        <f t="shared" si="25"/>
        <v>9.8395586847907707E-5</v>
      </c>
      <c r="F76" s="14">
        <v>0.73229999999999995</v>
      </c>
      <c r="G76" s="14">
        <v>0.73229999999999995</v>
      </c>
      <c r="H76" s="60">
        <v>746</v>
      </c>
      <c r="I76" s="5">
        <v>1.4E-3</v>
      </c>
      <c r="J76" s="5">
        <v>-4.2000000000000003E-2</v>
      </c>
      <c r="K76" s="2">
        <v>24415688.960000001</v>
      </c>
      <c r="L76" s="3">
        <f t="shared" si="19"/>
        <v>1.0183930456157747E-4</v>
      </c>
      <c r="M76" s="14">
        <v>0.32800000000000001</v>
      </c>
      <c r="N76" s="14">
        <v>0.73280000000000001</v>
      </c>
      <c r="O76" s="60">
        <v>746</v>
      </c>
      <c r="P76" s="5">
        <v>6.9999999999999999E-4</v>
      </c>
      <c r="Q76" s="5">
        <v>-4.1300000000000003E-2</v>
      </c>
      <c r="R76" s="80">
        <f t="shared" si="20"/>
        <v>1.6887655434503497E-2</v>
      </c>
      <c r="S76" s="80">
        <f t="shared" si="21"/>
        <v>6.8278028130555233E-4</v>
      </c>
      <c r="T76" s="80">
        <f t="shared" si="22"/>
        <v>0</v>
      </c>
      <c r="U76" s="81">
        <f t="shared" si="23"/>
        <v>-6.9999999999999999E-4</v>
      </c>
      <c r="V76" s="83">
        <f t="shared" si="24"/>
        <v>6.9999999999999923E-4</v>
      </c>
    </row>
    <row r="77" spans="1:22">
      <c r="A77" s="75">
        <v>66</v>
      </c>
      <c r="B77" s="143" t="s">
        <v>251</v>
      </c>
      <c r="C77" s="144" t="s">
        <v>32</v>
      </c>
      <c r="D77" s="2">
        <v>8292070045.3043003</v>
      </c>
      <c r="E77" s="3">
        <f t="shared" si="25"/>
        <v>3.3981502223542695E-2</v>
      </c>
      <c r="F77" s="14">
        <v>1</v>
      </c>
      <c r="G77" s="14">
        <v>1</v>
      </c>
      <c r="H77" s="60">
        <v>5544</v>
      </c>
      <c r="I77" s="5">
        <v>0.06</v>
      </c>
      <c r="J77" s="5">
        <v>0.06</v>
      </c>
      <c r="K77" s="2">
        <v>8270034922.1443005</v>
      </c>
      <c r="L77" s="3">
        <f t="shared" si="19"/>
        <v>3.4494812190265345E-2</v>
      </c>
      <c r="M77" s="14">
        <v>1</v>
      </c>
      <c r="N77" s="14">
        <v>1</v>
      </c>
      <c r="O77" s="60">
        <v>5544</v>
      </c>
      <c r="P77" s="5">
        <v>0.06</v>
      </c>
      <c r="Q77" s="5">
        <v>0.06</v>
      </c>
      <c r="R77" s="80">
        <f>((K77-D77)/D77)</f>
        <v>-2.6573730129641239E-3</v>
      </c>
      <c r="S77" s="80">
        <f>((N77-G77)/G77)</f>
        <v>0</v>
      </c>
      <c r="T77" s="80">
        <f>((O77-H77)/H77)</f>
        <v>0</v>
      </c>
      <c r="U77" s="81">
        <f>P77-I77</f>
        <v>0</v>
      </c>
      <c r="V77" s="83">
        <f>Q77-J77</f>
        <v>0</v>
      </c>
    </row>
    <row r="78" spans="1:22">
      <c r="A78" s="75">
        <v>67</v>
      </c>
      <c r="B78" s="143" t="s">
        <v>113</v>
      </c>
      <c r="C78" s="144" t="s">
        <v>114</v>
      </c>
      <c r="D78" s="2">
        <v>1228098309.55</v>
      </c>
      <c r="E78" s="3">
        <f t="shared" si="25"/>
        <v>5.0328356138688232E-3</v>
      </c>
      <c r="F78" s="2">
        <v>222.48684299999999</v>
      </c>
      <c r="G78" s="2">
        <v>224.12652299999999</v>
      </c>
      <c r="H78" s="60">
        <v>488</v>
      </c>
      <c r="I78" s="5">
        <v>1.6000000000000001E-3</v>
      </c>
      <c r="J78" s="5">
        <v>8.6499999999999994E-2</v>
      </c>
      <c r="K78" s="2">
        <v>1194357078.7</v>
      </c>
      <c r="L78" s="3">
        <f t="shared" si="19"/>
        <v>4.9817350840385731E-3</v>
      </c>
      <c r="M78" s="2">
        <v>222.95414400000001</v>
      </c>
      <c r="N78" s="2">
        <v>224.18271200000001</v>
      </c>
      <c r="O78" s="60">
        <v>488</v>
      </c>
      <c r="P78" s="5">
        <v>1.8E-3</v>
      </c>
      <c r="Q78" s="5">
        <v>8.6499999999999994E-2</v>
      </c>
      <c r="R78" s="80">
        <f t="shared" si="20"/>
        <v>-2.7474372847531542E-2</v>
      </c>
      <c r="S78" s="80">
        <f t="shared" si="21"/>
        <v>2.5070214469894575E-4</v>
      </c>
      <c r="T78" s="80">
        <f t="shared" si="22"/>
        <v>0</v>
      </c>
      <c r="U78" s="81">
        <f t="shared" si="23"/>
        <v>1.9999999999999987E-4</v>
      </c>
      <c r="V78" s="83">
        <f t="shared" si="24"/>
        <v>0</v>
      </c>
    </row>
    <row r="79" spans="1:22">
      <c r="A79" s="75">
        <v>68</v>
      </c>
      <c r="B79" s="143" t="s">
        <v>115</v>
      </c>
      <c r="C79" s="144" t="s">
        <v>34</v>
      </c>
      <c r="D79" s="2">
        <v>1110645793.54</v>
      </c>
      <c r="E79" s="3">
        <f t="shared" si="25"/>
        <v>4.5515067162415447E-3</v>
      </c>
      <c r="F79" s="14">
        <v>3.43</v>
      </c>
      <c r="G79" s="14">
        <v>3.43</v>
      </c>
      <c r="H79" s="61">
        <v>773</v>
      </c>
      <c r="I79" s="12">
        <v>1.6999999999999999E-3</v>
      </c>
      <c r="J79" s="12">
        <v>-0.11260000000000001</v>
      </c>
      <c r="K79" s="2">
        <v>1112492437.1900001</v>
      </c>
      <c r="L79" s="3">
        <f t="shared" si="19"/>
        <v>4.6402727491759469E-3</v>
      </c>
      <c r="M79" s="14">
        <v>3.43</v>
      </c>
      <c r="N79" s="14">
        <v>3.43</v>
      </c>
      <c r="O79" s="61">
        <v>773</v>
      </c>
      <c r="P79" s="12">
        <v>1.6999999999999999E-3</v>
      </c>
      <c r="Q79" s="12">
        <v>0.1031</v>
      </c>
      <c r="R79" s="80">
        <f t="shared" si="20"/>
        <v>1.6626755899504411E-3</v>
      </c>
      <c r="S79" s="80">
        <f t="shared" si="21"/>
        <v>0</v>
      </c>
      <c r="T79" s="80">
        <f t="shared" si="22"/>
        <v>0</v>
      </c>
      <c r="U79" s="81">
        <f t="shared" si="23"/>
        <v>0</v>
      </c>
      <c r="V79" s="83">
        <f t="shared" si="24"/>
        <v>0.2157</v>
      </c>
    </row>
    <row r="80" spans="1:22">
      <c r="A80" s="75">
        <v>69</v>
      </c>
      <c r="B80" s="143" t="s">
        <v>258</v>
      </c>
      <c r="C80" s="144" t="s">
        <v>36</v>
      </c>
      <c r="D80" s="2">
        <v>553458447.97000003</v>
      </c>
      <c r="E80" s="3">
        <f t="shared" si="25"/>
        <v>2.2681127122148978E-3</v>
      </c>
      <c r="F80" s="14">
        <v>106.49</v>
      </c>
      <c r="G80" s="14">
        <v>106.49</v>
      </c>
      <c r="H80" s="61">
        <v>64</v>
      </c>
      <c r="I80" s="12">
        <v>0.14019999999999999</v>
      </c>
      <c r="J80" s="12">
        <v>0.158</v>
      </c>
      <c r="K80" s="2">
        <v>552781723.37419999</v>
      </c>
      <c r="L80" s="3">
        <f t="shared" si="19"/>
        <v>2.305685757014936E-3</v>
      </c>
      <c r="M80" s="14">
        <v>102.18</v>
      </c>
      <c r="N80" s="14">
        <v>102.18</v>
      </c>
      <c r="O80" s="61">
        <v>64</v>
      </c>
      <c r="P80" s="12">
        <v>0.14019999999999999</v>
      </c>
      <c r="Q80" s="12">
        <v>0.16009999999999999</v>
      </c>
      <c r="R80" s="80">
        <f t="shared" ref="R80" si="31">((K80-D80)/D80)</f>
        <v>-1.2227197873339241E-3</v>
      </c>
      <c r="S80" s="80">
        <f t="shared" ref="S80" si="32">((N80-G80)/G80)</f>
        <v>-4.0473283876420213E-2</v>
      </c>
      <c r="T80" s="80">
        <f t="shared" ref="T80" si="33">((O80-H80)/H80)</f>
        <v>0</v>
      </c>
      <c r="U80" s="81">
        <f t="shared" ref="U80" si="34">P80-I80</f>
        <v>0</v>
      </c>
      <c r="V80" s="83">
        <f t="shared" ref="V80" si="35">Q80-J80</f>
        <v>2.0999999999999908E-3</v>
      </c>
    </row>
    <row r="81" spans="1:22">
      <c r="A81" s="75">
        <v>70</v>
      </c>
      <c r="B81" s="144" t="s">
        <v>116</v>
      </c>
      <c r="C81" s="145" t="s">
        <v>40</v>
      </c>
      <c r="D81" s="2">
        <v>2905592973.52</v>
      </c>
      <c r="E81" s="3">
        <f t="shared" si="25"/>
        <v>1.1907329961146814E-2</v>
      </c>
      <c r="F81" s="14">
        <v>102.52</v>
      </c>
      <c r="G81" s="14">
        <v>102.52</v>
      </c>
      <c r="H81" s="60">
        <v>139</v>
      </c>
      <c r="I81" s="5">
        <v>1.8E-3</v>
      </c>
      <c r="J81" s="5">
        <v>0.1027</v>
      </c>
      <c r="K81" s="2">
        <v>2604663182.3899999</v>
      </c>
      <c r="L81" s="3">
        <f t="shared" si="19"/>
        <v>1.0864206516814294E-2</v>
      </c>
      <c r="M81" s="14">
        <v>102.74</v>
      </c>
      <c r="N81" s="14">
        <v>102.74</v>
      </c>
      <c r="O81" s="60">
        <v>139</v>
      </c>
      <c r="P81" s="5">
        <v>2.0999999999999999E-3</v>
      </c>
      <c r="Q81" s="5">
        <v>0.1032</v>
      </c>
      <c r="R81" s="80">
        <f t="shared" si="20"/>
        <v>-0.10356914883554276</v>
      </c>
      <c r="S81" s="80">
        <f t="shared" si="21"/>
        <v>2.145922746781105E-3</v>
      </c>
      <c r="T81" s="80">
        <f t="shared" si="22"/>
        <v>0</v>
      </c>
      <c r="U81" s="81">
        <f t="shared" si="23"/>
        <v>2.9999999999999992E-4</v>
      </c>
      <c r="V81" s="83">
        <f t="shared" si="24"/>
        <v>5.0000000000000044E-4</v>
      </c>
    </row>
    <row r="82" spans="1:22">
      <c r="A82" s="75">
        <v>71</v>
      </c>
      <c r="B82" s="143" t="s">
        <v>117</v>
      </c>
      <c r="C82" s="144" t="s">
        <v>17</v>
      </c>
      <c r="D82" s="2">
        <v>1244478825.3399999</v>
      </c>
      <c r="E82" s="3">
        <f t="shared" si="25"/>
        <v>5.0999641512182968E-3</v>
      </c>
      <c r="F82" s="14">
        <v>339.05380000000002</v>
      </c>
      <c r="G82" s="14">
        <v>339.05380000000002</v>
      </c>
      <c r="H82" s="60">
        <v>104</v>
      </c>
      <c r="I82" s="5">
        <v>2.3999999999999998E-3</v>
      </c>
      <c r="J82" s="5">
        <v>3.6600000000000001E-2</v>
      </c>
      <c r="K82" s="2">
        <v>1251881488.6800001</v>
      </c>
      <c r="L82" s="3">
        <f t="shared" si="19"/>
        <v>5.2216728518105892E-3</v>
      </c>
      <c r="M82" s="14">
        <v>339.85969999999998</v>
      </c>
      <c r="N82" s="14">
        <v>339.85969999999998</v>
      </c>
      <c r="O82" s="60">
        <v>104</v>
      </c>
      <c r="P82" s="5">
        <v>2.3999999999999998E-3</v>
      </c>
      <c r="Q82" s="5">
        <v>3.9E-2</v>
      </c>
      <c r="R82" s="80">
        <f t="shared" si="20"/>
        <v>5.9484044157824024E-3</v>
      </c>
      <c r="S82" s="80">
        <f t="shared" si="21"/>
        <v>2.3769089153401358E-3</v>
      </c>
      <c r="T82" s="80">
        <f t="shared" si="22"/>
        <v>0</v>
      </c>
      <c r="U82" s="81">
        <f t="shared" si="23"/>
        <v>0</v>
      </c>
      <c r="V82" s="83">
        <f t="shared" si="24"/>
        <v>2.3999999999999994E-3</v>
      </c>
    </row>
    <row r="83" spans="1:22">
      <c r="A83" s="75">
        <v>72</v>
      </c>
      <c r="B83" s="143" t="s">
        <v>252</v>
      </c>
      <c r="C83" s="144" t="s">
        <v>78</v>
      </c>
      <c r="D83" s="9">
        <v>1723402161.24</v>
      </c>
      <c r="E83" s="3">
        <f>(D83/$K$58)</f>
        <v>1.7504178980019948E-3</v>
      </c>
      <c r="F83" s="14">
        <v>102.83</v>
      </c>
      <c r="G83" s="14">
        <v>102.83</v>
      </c>
      <c r="H83" s="60">
        <v>367</v>
      </c>
      <c r="I83" s="5">
        <v>2.5999999999999999E-3</v>
      </c>
      <c r="J83" s="5">
        <v>5.0900000000000001E-2</v>
      </c>
      <c r="K83" s="9">
        <v>1680906968.1700001</v>
      </c>
      <c r="L83" s="3">
        <f>(K83/$K$58)</f>
        <v>1.7072565580653789E-3</v>
      </c>
      <c r="M83" s="14">
        <v>103.1</v>
      </c>
      <c r="N83" s="14">
        <v>103.1</v>
      </c>
      <c r="O83" s="60">
        <v>367</v>
      </c>
      <c r="P83" s="5">
        <v>2.5999999999999999E-3</v>
      </c>
      <c r="Q83" s="5">
        <v>5.3499999999999999E-2</v>
      </c>
      <c r="R83" s="80">
        <f t="shared" si="20"/>
        <v>-2.4657734582057354E-2</v>
      </c>
      <c r="S83" s="80">
        <f t="shared" si="21"/>
        <v>2.6256928911795783E-3</v>
      </c>
      <c r="T83" s="80">
        <f t="shared" si="22"/>
        <v>0</v>
      </c>
      <c r="U83" s="81">
        <f t="shared" si="23"/>
        <v>0</v>
      </c>
      <c r="V83" s="83">
        <f t="shared" si="24"/>
        <v>2.5999999999999981E-3</v>
      </c>
    </row>
    <row r="84" spans="1:22">
      <c r="A84" s="75">
        <v>73</v>
      </c>
      <c r="B84" s="143" t="s">
        <v>118</v>
      </c>
      <c r="C84" s="144" t="s">
        <v>38</v>
      </c>
      <c r="D84" s="2">
        <v>56847013.310000002</v>
      </c>
      <c r="E84" s="3">
        <f t="shared" ref="E84:E95" si="36">(D84/$D$96)</f>
        <v>2.3296316826091593E-4</v>
      </c>
      <c r="F84" s="2">
        <v>12.413202</v>
      </c>
      <c r="G84" s="2">
        <v>12.531323</v>
      </c>
      <c r="H84" s="60">
        <v>56</v>
      </c>
      <c r="I84" s="5">
        <v>3.5400000000000001E-2</v>
      </c>
      <c r="J84" s="5">
        <v>9.5000000000000001E-2</v>
      </c>
      <c r="K84" s="2">
        <v>56848413.590000004</v>
      </c>
      <c r="L84" s="3">
        <f t="shared" ref="L84:L95" si="37">(K84/$K$96)</f>
        <v>2.371181462427399E-4</v>
      </c>
      <c r="M84" s="2">
        <v>12.413506999999999</v>
      </c>
      <c r="N84" s="2">
        <v>12.539386</v>
      </c>
      <c r="O84" s="60">
        <v>56</v>
      </c>
      <c r="P84" s="5">
        <v>-1.9E-3</v>
      </c>
      <c r="Q84" s="5">
        <v>8.9800000000000005E-2</v>
      </c>
      <c r="R84" s="80">
        <f t="shared" si="20"/>
        <v>2.4632428661909449E-5</v>
      </c>
      <c r="S84" s="80">
        <f t="shared" si="21"/>
        <v>6.4342767319938449E-4</v>
      </c>
      <c r="T84" s="80">
        <f t="shared" si="22"/>
        <v>0</v>
      </c>
      <c r="U84" s="81">
        <f t="shared" si="23"/>
        <v>-3.73E-2</v>
      </c>
      <c r="V84" s="83">
        <f t="shared" si="24"/>
        <v>-5.1999999999999963E-3</v>
      </c>
    </row>
    <row r="85" spans="1:22">
      <c r="A85" s="75">
        <v>74</v>
      </c>
      <c r="B85" s="143" t="s">
        <v>236</v>
      </c>
      <c r="C85" s="144" t="s">
        <v>237</v>
      </c>
      <c r="D85" s="2">
        <v>290320823.75</v>
      </c>
      <c r="E85" s="3">
        <f t="shared" si="36"/>
        <v>1.1897557140617869E-3</v>
      </c>
      <c r="F85" s="2">
        <v>119.2</v>
      </c>
      <c r="G85" s="2">
        <v>119.2</v>
      </c>
      <c r="H85" s="60">
        <v>84</v>
      </c>
      <c r="I85" s="5">
        <v>-0.1128</v>
      </c>
      <c r="J85" s="5">
        <v>0.18390000000000001</v>
      </c>
      <c r="K85" s="2">
        <v>289344197.70999998</v>
      </c>
      <c r="L85" s="3">
        <f t="shared" si="37"/>
        <v>1.2068720207727439E-3</v>
      </c>
      <c r="M85" s="2">
        <v>119.51</v>
      </c>
      <c r="N85" s="2">
        <v>119.51</v>
      </c>
      <c r="O85" s="60">
        <v>83</v>
      </c>
      <c r="P85" s="5">
        <v>0.14910000000000001</v>
      </c>
      <c r="Q85" s="5">
        <v>0.1822</v>
      </c>
      <c r="R85" s="80">
        <f>((K85-D85)/D85)</f>
        <v>-3.3639544948419202E-3</v>
      </c>
      <c r="S85" s="80">
        <f>((N85-G85)/G85)</f>
        <v>2.6006711409396165E-3</v>
      </c>
      <c r="T85" s="80">
        <f>((O85-H85)/H85)</f>
        <v>-1.1904761904761904E-2</v>
      </c>
      <c r="U85" s="81">
        <f t="shared" si="23"/>
        <v>0.26190000000000002</v>
      </c>
      <c r="V85" s="83">
        <f t="shared" si="24"/>
        <v>-1.7000000000000071E-3</v>
      </c>
    </row>
    <row r="86" spans="1:22">
      <c r="A86" s="75">
        <v>75</v>
      </c>
      <c r="B86" s="143" t="s">
        <v>119</v>
      </c>
      <c r="C86" s="144" t="s">
        <v>120</v>
      </c>
      <c r="D86" s="2">
        <v>7567839715.2637196</v>
      </c>
      <c r="E86" s="3">
        <f t="shared" si="36"/>
        <v>3.1013553998772495E-2</v>
      </c>
      <c r="F86" s="14">
        <v>1.05</v>
      </c>
      <c r="G86" s="14">
        <v>1.05</v>
      </c>
      <c r="H86" s="60">
        <v>4290</v>
      </c>
      <c r="I86" s="5">
        <v>0.1502</v>
      </c>
      <c r="J86" s="5">
        <v>0.1502</v>
      </c>
      <c r="K86" s="2">
        <v>7392184705.319355</v>
      </c>
      <c r="L86" s="3">
        <f t="shared" si="37"/>
        <v>3.0833246230068806E-2</v>
      </c>
      <c r="M86" s="14">
        <v>1.05</v>
      </c>
      <c r="N86" s="14">
        <v>1.05</v>
      </c>
      <c r="O86" s="60">
        <v>4327</v>
      </c>
      <c r="P86" s="5">
        <v>0.15040000000000001</v>
      </c>
      <c r="Q86" s="5">
        <v>0.15040000000000001</v>
      </c>
      <c r="R86" s="80">
        <f t="shared" si="20"/>
        <v>-2.321072017290253E-2</v>
      </c>
      <c r="S86" s="80">
        <f t="shared" si="21"/>
        <v>0</v>
      </c>
      <c r="T86" s="80">
        <f t="shared" si="22"/>
        <v>8.6247086247086251E-3</v>
      </c>
      <c r="U86" s="81">
        <f t="shared" si="23"/>
        <v>2.0000000000000573E-4</v>
      </c>
      <c r="V86" s="83">
        <f t="shared" si="24"/>
        <v>2.0000000000000573E-4</v>
      </c>
    </row>
    <row r="87" spans="1:22" ht="14.25" customHeight="1">
      <c r="A87" s="75">
        <v>76</v>
      </c>
      <c r="B87" s="143" t="s">
        <v>121</v>
      </c>
      <c r="C87" s="144" t="s">
        <v>42</v>
      </c>
      <c r="D87" s="2">
        <v>15963000995.709999</v>
      </c>
      <c r="E87" s="3">
        <f t="shared" si="36"/>
        <v>6.541753155321145E-2</v>
      </c>
      <c r="F87" s="2">
        <v>5151.28</v>
      </c>
      <c r="G87" s="2">
        <v>5151.28</v>
      </c>
      <c r="H87" s="60">
        <v>381</v>
      </c>
      <c r="I87" s="5">
        <v>6.9999999999999999E-4</v>
      </c>
      <c r="J87" s="5">
        <v>2.7900000000000001E-2</v>
      </c>
      <c r="K87" s="2">
        <v>15157337487.02</v>
      </c>
      <c r="L87" s="3">
        <f t="shared" si="37"/>
        <v>6.3222164699596711E-2</v>
      </c>
      <c r="M87" s="2">
        <v>5154.63</v>
      </c>
      <c r="N87" s="2">
        <v>5154.63</v>
      </c>
      <c r="O87" s="60">
        <v>380</v>
      </c>
      <c r="P87" s="5">
        <v>6.9999999999999999E-4</v>
      </c>
      <c r="Q87" s="5">
        <v>2.8500000000000001E-2</v>
      </c>
      <c r="R87" s="80">
        <f t="shared" si="20"/>
        <v>-5.0470679598812143E-2</v>
      </c>
      <c r="S87" s="80">
        <f t="shared" si="21"/>
        <v>6.5032380301602007E-4</v>
      </c>
      <c r="T87" s="80">
        <f t="shared" si="22"/>
        <v>-2.6246719160104987E-3</v>
      </c>
      <c r="U87" s="81">
        <f t="shared" si="23"/>
        <v>0</v>
      </c>
      <c r="V87" s="83">
        <f t="shared" si="24"/>
        <v>5.9999999999999984E-4</v>
      </c>
    </row>
    <row r="88" spans="1:22">
      <c r="A88" s="75">
        <v>77</v>
      </c>
      <c r="B88" s="143" t="s">
        <v>122</v>
      </c>
      <c r="C88" s="144" t="s">
        <v>42</v>
      </c>
      <c r="D88" s="2">
        <v>28887307081.23</v>
      </c>
      <c r="E88" s="3">
        <f t="shared" si="36"/>
        <v>0.1183822717909704</v>
      </c>
      <c r="F88" s="14">
        <v>258.25</v>
      </c>
      <c r="G88" s="14">
        <v>258.25</v>
      </c>
      <c r="H88" s="60">
        <v>6599</v>
      </c>
      <c r="I88" s="5">
        <v>2.0000000000000001E-4</v>
      </c>
      <c r="J88" s="5">
        <v>9.4999999999999998E-3</v>
      </c>
      <c r="K88" s="2">
        <v>28750956423.900002</v>
      </c>
      <c r="L88" s="3">
        <f t="shared" si="37"/>
        <v>0.11992196544144518</v>
      </c>
      <c r="M88" s="14">
        <v>258.26</v>
      </c>
      <c r="N88" s="14">
        <v>258.26</v>
      </c>
      <c r="O88" s="60">
        <v>6597</v>
      </c>
      <c r="P88" s="5">
        <v>0</v>
      </c>
      <c r="Q88" s="5">
        <v>9.5999999999999992E-3</v>
      </c>
      <c r="R88" s="80">
        <f t="shared" si="20"/>
        <v>-4.7200888939417304E-3</v>
      </c>
      <c r="S88" s="80">
        <f t="shared" si="21"/>
        <v>3.8722168441397501E-5</v>
      </c>
      <c r="T88" s="80">
        <f t="shared" si="22"/>
        <v>-3.0307622367025305E-4</v>
      </c>
      <c r="U88" s="81">
        <f t="shared" si="23"/>
        <v>-2.0000000000000001E-4</v>
      </c>
      <c r="V88" s="83">
        <f t="shared" si="24"/>
        <v>9.9999999999999395E-5</v>
      </c>
    </row>
    <row r="89" spans="1:22" ht="12.75" customHeight="1">
      <c r="A89" s="75">
        <v>78</v>
      </c>
      <c r="B89" s="143" t="s">
        <v>123</v>
      </c>
      <c r="C89" s="144" t="s">
        <v>42</v>
      </c>
      <c r="D89" s="2">
        <v>349958067.56999999</v>
      </c>
      <c r="E89" s="3">
        <f t="shared" si="36"/>
        <v>1.4341534485723519E-3</v>
      </c>
      <c r="F89" s="2">
        <v>5652.99</v>
      </c>
      <c r="G89" s="7">
        <v>5675.89</v>
      </c>
      <c r="H89" s="60">
        <v>16</v>
      </c>
      <c r="I89" s="5">
        <v>-1.1000000000000001E-3</v>
      </c>
      <c r="J89" s="5">
        <v>6.9099999999999995E-2</v>
      </c>
      <c r="K89" s="2">
        <v>350692826.92000002</v>
      </c>
      <c r="L89" s="3">
        <f t="shared" si="37"/>
        <v>1.4627608365578742E-3</v>
      </c>
      <c r="M89" s="2">
        <v>5665.01</v>
      </c>
      <c r="N89" s="7">
        <v>5687.71</v>
      </c>
      <c r="O89" s="60">
        <v>16</v>
      </c>
      <c r="P89" s="5">
        <v>2.0999999999999999E-3</v>
      </c>
      <c r="Q89" s="5">
        <v>7.1300000000000002E-2</v>
      </c>
      <c r="R89" s="80">
        <f t="shared" si="20"/>
        <v>2.0995639709121849E-3</v>
      </c>
      <c r="S89" s="80">
        <f t="shared" si="21"/>
        <v>2.0824927896769862E-3</v>
      </c>
      <c r="T89" s="80">
        <f t="shared" si="22"/>
        <v>0</v>
      </c>
      <c r="U89" s="81">
        <f t="shared" si="23"/>
        <v>3.1999999999999997E-3</v>
      </c>
      <c r="V89" s="83">
        <f t="shared" si="24"/>
        <v>2.2000000000000075E-3</v>
      </c>
    </row>
    <row r="90" spans="1:22" ht="12.75" customHeight="1">
      <c r="A90" s="75">
        <v>79</v>
      </c>
      <c r="B90" s="143" t="s">
        <v>124</v>
      </c>
      <c r="C90" s="144" t="s">
        <v>42</v>
      </c>
      <c r="D90" s="2">
        <v>14291761667.43</v>
      </c>
      <c r="E90" s="3">
        <f t="shared" si="36"/>
        <v>5.8568672023596294E-2</v>
      </c>
      <c r="F90" s="14">
        <v>130.28</v>
      </c>
      <c r="G90" s="14">
        <v>230.28</v>
      </c>
      <c r="H90" s="60">
        <v>4400</v>
      </c>
      <c r="I90" s="5">
        <v>8.0000000000000004E-4</v>
      </c>
      <c r="J90" s="5">
        <v>3.4599999999999999E-2</v>
      </c>
      <c r="K90" s="2">
        <v>13698579882.780001</v>
      </c>
      <c r="L90" s="3">
        <f t="shared" si="37"/>
        <v>5.7137599149015811E-2</v>
      </c>
      <c r="M90" s="14">
        <v>130.41999999999999</v>
      </c>
      <c r="N90" s="14">
        <v>130.41999999999999</v>
      </c>
      <c r="O90" s="60">
        <v>4405</v>
      </c>
      <c r="P90" s="5">
        <v>1.1000000000000001E-3</v>
      </c>
      <c r="Q90" s="5">
        <v>3.5700000000000003E-2</v>
      </c>
      <c r="R90" s="80">
        <f t="shared" si="20"/>
        <v>-4.1505155099376065E-2</v>
      </c>
      <c r="S90" s="80">
        <f t="shared" si="21"/>
        <v>-0.43364599617856531</v>
      </c>
      <c r="T90" s="80">
        <f t="shared" si="22"/>
        <v>1.1363636363636363E-3</v>
      </c>
      <c r="U90" s="81">
        <f t="shared" si="23"/>
        <v>3.0000000000000003E-4</v>
      </c>
      <c r="V90" s="83">
        <f t="shared" si="24"/>
        <v>1.1000000000000038E-3</v>
      </c>
    </row>
    <row r="91" spans="1:22" ht="12.75" customHeight="1">
      <c r="A91" s="75">
        <v>80</v>
      </c>
      <c r="B91" s="143" t="s">
        <v>125</v>
      </c>
      <c r="C91" s="144" t="s">
        <v>42</v>
      </c>
      <c r="D91" s="2">
        <v>10785002644.440001</v>
      </c>
      <c r="E91" s="3">
        <f t="shared" si="36"/>
        <v>4.4197720151977128E-2</v>
      </c>
      <c r="F91" s="14">
        <v>355.72</v>
      </c>
      <c r="G91" s="14">
        <v>356.1</v>
      </c>
      <c r="H91" s="60">
        <v>10224</v>
      </c>
      <c r="I91" s="5">
        <v>-1.1000000000000001E-3</v>
      </c>
      <c r="J91" s="5">
        <v>7.7999999999999996E-3</v>
      </c>
      <c r="K91" s="2">
        <v>10716530936.68</v>
      </c>
      <c r="L91" s="3">
        <f t="shared" si="37"/>
        <v>4.4699293953657966E-2</v>
      </c>
      <c r="M91" s="14">
        <v>354.2</v>
      </c>
      <c r="N91" s="14">
        <v>354.56</v>
      </c>
      <c r="O91" s="60">
        <v>10225</v>
      </c>
      <c r="P91" s="5">
        <v>-4.3E-3</v>
      </c>
      <c r="Q91" s="5">
        <v>3.3999999999999998E-3</v>
      </c>
      <c r="R91" s="80">
        <f t="shared" si="20"/>
        <v>-6.3487891489112883E-3</v>
      </c>
      <c r="S91" s="80">
        <f t="shared" si="21"/>
        <v>-4.324627913507499E-3</v>
      </c>
      <c r="T91" s="80">
        <f t="shared" si="22"/>
        <v>9.7809076682316121E-5</v>
      </c>
      <c r="U91" s="81">
        <f t="shared" si="23"/>
        <v>-3.1999999999999997E-3</v>
      </c>
      <c r="V91" s="83">
        <f t="shared" si="24"/>
        <v>-4.3999999999999994E-3</v>
      </c>
    </row>
    <row r="92" spans="1:22">
      <c r="A92" s="75">
        <v>81</v>
      </c>
      <c r="B92" s="143" t="s">
        <v>126</v>
      </c>
      <c r="C92" s="144" t="s">
        <v>45</v>
      </c>
      <c r="D92" s="2">
        <v>86813570828.860001</v>
      </c>
      <c r="E92" s="3">
        <f t="shared" si="36"/>
        <v>0.3557682863310071</v>
      </c>
      <c r="F92" s="2">
        <v>1.9912000000000001</v>
      </c>
      <c r="G92" s="2">
        <v>1.9912000000000001</v>
      </c>
      <c r="H92" s="60">
        <v>6189</v>
      </c>
      <c r="I92" s="5">
        <v>3.4599999999999999E-2</v>
      </c>
      <c r="J92" s="5">
        <v>5.6300000000000003E-2</v>
      </c>
      <c r="K92" s="2">
        <v>86714936142.130005</v>
      </c>
      <c r="L92" s="3">
        <f t="shared" si="37"/>
        <v>0.36169320498323221</v>
      </c>
      <c r="M92" s="2">
        <v>1.9924999999999999</v>
      </c>
      <c r="N92" s="2">
        <v>1.9924999999999999</v>
      </c>
      <c r="O92" s="60">
        <v>6177</v>
      </c>
      <c r="P92" s="5">
        <v>3.4599999999999999E-2</v>
      </c>
      <c r="Q92" s="5">
        <v>5.5E-2</v>
      </c>
      <c r="R92" s="80">
        <f t="shared" si="20"/>
        <v>-1.1361666821013421E-3</v>
      </c>
      <c r="S92" s="80">
        <f t="shared" si="21"/>
        <v>6.5287263961423102E-4</v>
      </c>
      <c r="T92" s="80">
        <f t="shared" si="22"/>
        <v>-1.9389238972370335E-3</v>
      </c>
      <c r="U92" s="81">
        <f t="shared" si="23"/>
        <v>0</v>
      </c>
      <c r="V92" s="83">
        <f t="shared" si="24"/>
        <v>-1.3000000000000025E-3</v>
      </c>
    </row>
    <row r="93" spans="1:22">
      <c r="A93" s="75">
        <v>82</v>
      </c>
      <c r="B93" s="143" t="s">
        <v>241</v>
      </c>
      <c r="C93" s="143" t="s">
        <v>242</v>
      </c>
      <c r="D93" s="2">
        <v>85618395.469999999</v>
      </c>
      <c r="E93" s="3">
        <f t="shared" si="36"/>
        <v>3.5087037134805016E-4</v>
      </c>
      <c r="F93" s="2">
        <v>105.28366994468347</v>
      </c>
      <c r="G93" s="2">
        <v>105.28366994468347</v>
      </c>
      <c r="H93" s="60">
        <v>59</v>
      </c>
      <c r="I93" s="5">
        <v>7.4360898474628637E-3</v>
      </c>
      <c r="J93" s="5">
        <v>3.6266793420048016E-2</v>
      </c>
      <c r="K93" s="2">
        <v>85749662.849999994</v>
      </c>
      <c r="L93" s="3">
        <f t="shared" si="37"/>
        <v>3.5766699212708738E-4</v>
      </c>
      <c r="M93" s="2">
        <v>105.445087493267</v>
      </c>
      <c r="N93" s="2">
        <v>105.445087493267</v>
      </c>
      <c r="O93" s="60">
        <v>59</v>
      </c>
      <c r="P93" s="5">
        <v>8.9806585736783677E-3</v>
      </c>
      <c r="Q93" s="5">
        <v>3.7855564457002444E-2</v>
      </c>
      <c r="R93" s="80">
        <f>((K93-D93)/D93)</f>
        <v>1.5331679515763674E-3</v>
      </c>
      <c r="S93" s="80">
        <f>((N93-G93)/G93)</f>
        <v>1.5331679515763318E-3</v>
      </c>
      <c r="T93" s="80">
        <f>((O93-H93)/H93)</f>
        <v>0</v>
      </c>
      <c r="U93" s="81">
        <f>P93-I93</f>
        <v>1.544568726215504E-3</v>
      </c>
      <c r="V93" s="83">
        <f>Q93-J93</f>
        <v>1.5887710369544283E-3</v>
      </c>
    </row>
    <row r="94" spans="1:22">
      <c r="A94" s="75">
        <v>83</v>
      </c>
      <c r="B94" s="143" t="s">
        <v>262</v>
      </c>
      <c r="C94" s="144" t="s">
        <v>261</v>
      </c>
      <c r="D94" s="2">
        <v>241675796.59</v>
      </c>
      <c r="E94" s="3">
        <f t="shared" si="36"/>
        <v>9.9040487771207171E-4</v>
      </c>
      <c r="F94" s="2">
        <v>1.01</v>
      </c>
      <c r="G94" s="2">
        <v>1.01</v>
      </c>
      <c r="H94" s="60">
        <v>230</v>
      </c>
      <c r="I94" s="5">
        <v>8.4980000000000003E-3</v>
      </c>
      <c r="J94" s="5">
        <v>-3.109E-2</v>
      </c>
      <c r="K94" s="2">
        <v>240694409.28999999</v>
      </c>
      <c r="L94" s="3">
        <f t="shared" si="37"/>
        <v>1.0039508323566591E-3</v>
      </c>
      <c r="M94" s="2">
        <v>1</v>
      </c>
      <c r="N94" s="2">
        <v>1</v>
      </c>
      <c r="O94" s="60">
        <v>236</v>
      </c>
      <c r="P94" s="5">
        <v>-4.3229999999999996E-3</v>
      </c>
      <c r="Q94" s="5">
        <v>-3.5278999999999998E-2</v>
      </c>
      <c r="R94" s="80">
        <f>((K94-D94)/D94)</f>
        <v>-4.0607595541101013E-3</v>
      </c>
      <c r="S94" s="80">
        <f>((N94-G94)/G94)</f>
        <v>-9.9009900990099098E-3</v>
      </c>
      <c r="T94" s="80">
        <f>((O94-H94)/H94)</f>
        <v>2.6086956521739129E-2</v>
      </c>
      <c r="U94" s="81">
        <f>P94-I94</f>
        <v>-1.2820999999999999E-2</v>
      </c>
      <c r="V94" s="83">
        <f>Q94-J94</f>
        <v>-4.1889999999999983E-3</v>
      </c>
    </row>
    <row r="95" spans="1:22">
      <c r="A95" s="75">
        <v>84</v>
      </c>
      <c r="B95" s="143" t="s">
        <v>127</v>
      </c>
      <c r="C95" s="144" t="s">
        <v>91</v>
      </c>
      <c r="D95" s="2">
        <v>2551812674.8899999</v>
      </c>
      <c r="E95" s="3">
        <f t="shared" si="36"/>
        <v>1.0457512733499437E-2</v>
      </c>
      <c r="F95" s="14">
        <v>26.2315</v>
      </c>
      <c r="G95" s="14">
        <v>26.2315</v>
      </c>
      <c r="H95" s="60">
        <v>1316</v>
      </c>
      <c r="I95" s="5">
        <v>0</v>
      </c>
      <c r="J95" s="5">
        <v>0.11849999999999999</v>
      </c>
      <c r="K95" s="2">
        <v>2554461881.79</v>
      </c>
      <c r="L95" s="3">
        <f t="shared" si="37"/>
        <v>1.0654813877943181E-2</v>
      </c>
      <c r="M95" s="14">
        <v>26.281199999999998</v>
      </c>
      <c r="N95" s="14">
        <v>26.281199999999998</v>
      </c>
      <c r="O95" s="60">
        <v>1316</v>
      </c>
      <c r="P95" s="5">
        <v>0</v>
      </c>
      <c r="Q95" s="5">
        <v>0.1197</v>
      </c>
      <c r="R95" s="80">
        <f t="shared" si="20"/>
        <v>1.0381666828715372E-3</v>
      </c>
      <c r="S95" s="80">
        <f t="shared" si="21"/>
        <v>1.8946686236013136E-3</v>
      </c>
      <c r="T95" s="80">
        <f t="shared" si="22"/>
        <v>0</v>
      </c>
      <c r="U95" s="81">
        <f t="shared" si="23"/>
        <v>0</v>
      </c>
      <c r="V95" s="83">
        <f t="shared" si="24"/>
        <v>1.2000000000000066E-3</v>
      </c>
    </row>
    <row r="96" spans="1:22">
      <c r="A96" s="75"/>
      <c r="B96" s="19"/>
      <c r="C96" s="71" t="s">
        <v>46</v>
      </c>
      <c r="D96" s="59">
        <f>SUM(D61:D95)</f>
        <v>244017171187.90228</v>
      </c>
      <c r="E96" s="100">
        <f>(D96/$D$192)</f>
        <v>8.4648891369850612E-2</v>
      </c>
      <c r="F96" s="30"/>
      <c r="G96" s="11"/>
      <c r="H96" s="65">
        <f>SUM(H61:H95)</f>
        <v>50095</v>
      </c>
      <c r="I96" s="12"/>
      <c r="J96" s="12"/>
      <c r="K96" s="59">
        <f>SUM(K61:K95)</f>
        <v>239747208262.17911</v>
      </c>
      <c r="L96" s="100">
        <f>(K96/$K$192)</f>
        <v>8.3924009172570146E-2</v>
      </c>
      <c r="M96" s="30"/>
      <c r="N96" s="11"/>
      <c r="O96" s="65">
        <f>SUM(O61:O95)</f>
        <v>50135</v>
      </c>
      <c r="P96" s="12"/>
      <c r="Q96" s="12"/>
      <c r="R96" s="80">
        <f t="shared" si="20"/>
        <v>-1.7498616613480636E-2</v>
      </c>
      <c r="S96" s="80" t="e">
        <f t="shared" si="21"/>
        <v>#DIV/0!</v>
      </c>
      <c r="T96" s="80">
        <f t="shared" si="22"/>
        <v>7.9848288252320587E-4</v>
      </c>
      <c r="U96" s="81">
        <f t="shared" si="23"/>
        <v>0</v>
      </c>
      <c r="V96" s="83">
        <f t="shared" si="24"/>
        <v>0</v>
      </c>
    </row>
    <row r="97" spans="1:28" ht="8.25" customHeight="1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</row>
    <row r="98" spans="1:28" ht="15" customHeight="1">
      <c r="A98" s="162" t="s">
        <v>128</v>
      </c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</row>
    <row r="99" spans="1:28">
      <c r="A99" s="166" t="s">
        <v>230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Z99" s="114"/>
      <c r="AB99" s="103"/>
    </row>
    <row r="100" spans="1:28" ht="16.5" customHeight="1">
      <c r="A100" s="75">
        <v>85</v>
      </c>
      <c r="B100" s="143" t="s">
        <v>129</v>
      </c>
      <c r="C100" s="144" t="s">
        <v>17</v>
      </c>
      <c r="D100" s="2">
        <v>2614133122.79</v>
      </c>
      <c r="E100" s="3">
        <f>(D100/$D$129)</f>
        <v>1.8241103813208463E-3</v>
      </c>
      <c r="F100" s="2">
        <f>110.1455*1501.337</f>
        <v>165365.51453349998</v>
      </c>
      <c r="G100" s="2">
        <f>110.1455*1501.337</f>
        <v>165365.51453349998</v>
      </c>
      <c r="H100" s="60">
        <v>238</v>
      </c>
      <c r="I100" s="5">
        <v>1.1000000000000001E-3</v>
      </c>
      <c r="J100" s="5">
        <v>2.1899999999999999E-2</v>
      </c>
      <c r="K100" s="2">
        <v>2585480424.8400002</v>
      </c>
      <c r="L100" s="3">
        <f t="shared" ref="L100:L114" si="38">(K100/$K$129)</f>
        <v>1.8415855093875681E-3</v>
      </c>
      <c r="M100" s="2">
        <f>110.2677*1481.119</f>
        <v>163319.58555630001</v>
      </c>
      <c r="N100" s="2">
        <f>110.2677*1481.119</f>
        <v>163319.58555630001</v>
      </c>
      <c r="O100" s="60">
        <v>238</v>
      </c>
      <c r="P100" s="5">
        <v>1.1000000000000001E-3</v>
      </c>
      <c r="Q100" s="5">
        <v>2.3E-2</v>
      </c>
      <c r="R100" s="81">
        <f>((K100-D100)/D100)</f>
        <v>-1.0960688153256515E-2</v>
      </c>
      <c r="S100" s="81">
        <f>((N100-G100)/G100)</f>
        <v>-1.2372162255060189E-2</v>
      </c>
      <c r="T100" s="81">
        <f>((O100-H100)/H100)</f>
        <v>0</v>
      </c>
      <c r="U100" s="81">
        <f>P100-I100</f>
        <v>0</v>
      </c>
      <c r="V100" s="83">
        <f>Q100-J100</f>
        <v>1.1000000000000003E-3</v>
      </c>
      <c r="X100" s="114"/>
      <c r="Y100" s="116"/>
      <c r="Z100" s="114"/>
      <c r="AA100" s="104"/>
    </row>
    <row r="101" spans="1:28" ht="16.5" customHeight="1">
      <c r="A101" s="75">
        <v>86</v>
      </c>
      <c r="B101" s="143" t="s">
        <v>268</v>
      </c>
      <c r="C101" s="144" t="s">
        <v>50</v>
      </c>
      <c r="D101" s="2">
        <f>1339754.49*1501.337</f>
        <v>2011422986.75313</v>
      </c>
      <c r="E101" s="3">
        <f>(D101/$D$129)</f>
        <v>1.4035465598048321E-3</v>
      </c>
      <c r="F101" s="2">
        <f>100*1501.337</f>
        <v>150133.70000000001</v>
      </c>
      <c r="G101" s="2">
        <f>100*1501.337</f>
        <v>150133.70000000001</v>
      </c>
      <c r="H101" s="60">
        <v>13</v>
      </c>
      <c r="I101" s="5">
        <v>1.1E-5</v>
      </c>
      <c r="J101" s="5">
        <v>-5.9550000000000002E-3</v>
      </c>
      <c r="K101" s="2">
        <f>1339754.49*1481.119</f>
        <v>1984335830.4743099</v>
      </c>
      <c r="L101" s="3">
        <f t="shared" si="38"/>
        <v>1.4134023510876819E-3</v>
      </c>
      <c r="M101" s="2">
        <f>100*1481.119</f>
        <v>148111.9</v>
      </c>
      <c r="N101" s="2">
        <f>100*1481.119</f>
        <v>148111.9</v>
      </c>
      <c r="O101" s="60">
        <v>13</v>
      </c>
      <c r="P101" s="5">
        <v>2.4989000000000001E-2</v>
      </c>
      <c r="Q101" s="5">
        <v>-5.3499999999999997E-3</v>
      </c>
      <c r="R101" s="81">
        <f>((K101-D101)/D101)</f>
        <v>-1.3466663380706682E-2</v>
      </c>
      <c r="S101" s="81">
        <f>((N101-G101)/G101)</f>
        <v>-1.3466663380706779E-2</v>
      </c>
      <c r="T101" s="81">
        <f>((O101-H101)/H101)</f>
        <v>0</v>
      </c>
      <c r="U101" s="81">
        <f>P101-I101</f>
        <v>2.4978E-2</v>
      </c>
      <c r="V101" s="83">
        <f>Q101-J101</f>
        <v>6.050000000000005E-4</v>
      </c>
      <c r="X101" s="114"/>
      <c r="Y101" s="116"/>
      <c r="Z101" s="114"/>
      <c r="AA101" s="104"/>
    </row>
    <row r="102" spans="1:28">
      <c r="A102" s="75">
        <v>87</v>
      </c>
      <c r="B102" s="143" t="s">
        <v>130</v>
      </c>
      <c r="C102" s="144" t="s">
        <v>21</v>
      </c>
      <c r="D102" s="2">
        <f>10998327.79*1501.337</f>
        <v>16512196449.255228</v>
      </c>
      <c r="E102" s="3">
        <f>(D102/$D$129)</f>
        <v>1.1522010374647359E-2</v>
      </c>
      <c r="F102" s="2">
        <f>1.1231*1501.337</f>
        <v>1686.1515847000001</v>
      </c>
      <c r="G102" s="2">
        <f>1.1231*1501.337</f>
        <v>1686.1515847000001</v>
      </c>
      <c r="H102" s="60">
        <v>301</v>
      </c>
      <c r="I102" s="5">
        <v>5.5899999999999998E-2</v>
      </c>
      <c r="J102" s="5">
        <v>-0.1191</v>
      </c>
      <c r="K102" s="2">
        <f>10964766.07*1480.619</f>
        <v>16234640973.797329</v>
      </c>
      <c r="L102" s="3">
        <f t="shared" si="38"/>
        <v>1.1563607010989074E-2</v>
      </c>
      <c r="M102" s="2">
        <f>1.1243*1480.619</f>
        <v>1664.6599417</v>
      </c>
      <c r="N102" s="2">
        <f>1.1243*1480.619</f>
        <v>1664.6599417</v>
      </c>
      <c r="O102" s="60">
        <v>302</v>
      </c>
      <c r="P102" s="5">
        <v>5.5899999999999998E-2</v>
      </c>
      <c r="Q102" s="5">
        <v>-0.1108</v>
      </c>
      <c r="R102" s="81">
        <f t="shared" ref="R102:R114" si="39">((K102-D102)/D102)</f>
        <v>-1.680911902367889E-2</v>
      </c>
      <c r="S102" s="81">
        <f t="shared" ref="S102:S114" si="40">((N102-G102)/G102)</f>
        <v>-1.274597325353987E-2</v>
      </c>
      <c r="T102" s="81">
        <f t="shared" ref="T102:T114" si="41">((O102-H102)/H102)</f>
        <v>3.3222591362126247E-3</v>
      </c>
      <c r="U102" s="81">
        <f t="shared" ref="U102:U114" si="42">P102-I102</f>
        <v>0</v>
      </c>
      <c r="V102" s="83">
        <f t="shared" ref="V102:V114" si="43">Q102-J102</f>
        <v>8.3000000000000018E-3</v>
      </c>
    </row>
    <row r="103" spans="1:28">
      <c r="A103" s="75">
        <v>88</v>
      </c>
      <c r="B103" s="143" t="s">
        <v>267</v>
      </c>
      <c r="C103" s="144" t="s">
        <v>99</v>
      </c>
      <c r="D103" s="2">
        <f>1510172.65*1501.337</f>
        <v>2267278075.8330498</v>
      </c>
      <c r="E103" s="3">
        <f>(D103/$D$129)</f>
        <v>1.5820791372147943E-3</v>
      </c>
      <c r="F103" s="2">
        <f>1.018*1501.337</f>
        <v>1528.3610659999999</v>
      </c>
      <c r="G103" s="2">
        <f>1.018*1501.337</f>
        <v>1528.3610659999999</v>
      </c>
      <c r="H103" s="60">
        <v>204</v>
      </c>
      <c r="I103" s="5">
        <v>3.7000000000000002E-3</v>
      </c>
      <c r="J103" s="5">
        <v>1.7999999999999999E-2</v>
      </c>
      <c r="K103" s="2">
        <f>1514150.64*1481.119</f>
        <v>2242637281.7661595</v>
      </c>
      <c r="L103" s="3">
        <f t="shared" si="38"/>
        <v>1.5973852600986006E-3</v>
      </c>
      <c r="M103" s="2">
        <f>1.0194*1481.119</f>
        <v>1509.8527086000001</v>
      </c>
      <c r="N103" s="2">
        <f>1.0194*1481.119</f>
        <v>1509.8527086000001</v>
      </c>
      <c r="O103" s="60">
        <v>206</v>
      </c>
      <c r="P103" s="5">
        <v>1.4E-3</v>
      </c>
      <c r="Q103" s="5">
        <v>1.9400000000000001E-2</v>
      </c>
      <c r="R103" s="81">
        <f t="shared" ref="R103" si="44">((K103-D103)/D103)</f>
        <v>-1.0868007029899342E-2</v>
      </c>
      <c r="S103" s="81">
        <f t="shared" ref="S103" si="45">((N103-G103)/G103)</f>
        <v>-1.2109937770424593E-2</v>
      </c>
      <c r="T103" s="81">
        <f t="shared" ref="T103" si="46">((O103-H103)/H103)</f>
        <v>9.8039215686274508E-3</v>
      </c>
      <c r="U103" s="81">
        <f t="shared" ref="U103" si="47">P103-I103</f>
        <v>-2.3E-3</v>
      </c>
      <c r="V103" s="83">
        <f t="shared" ref="V103" si="48">Q103-J103</f>
        <v>1.4000000000000019E-3</v>
      </c>
    </row>
    <row r="104" spans="1:28">
      <c r="A104" s="75">
        <v>89</v>
      </c>
      <c r="B104" s="143" t="s">
        <v>274</v>
      </c>
      <c r="C104" s="144" t="s">
        <v>271</v>
      </c>
      <c r="D104" s="2">
        <f>332090.43*1501.337</f>
        <v>498579649.90490997</v>
      </c>
      <c r="E104" s="3">
        <f>(D104/$D$129)</f>
        <v>3.4790283148863151E-4</v>
      </c>
      <c r="F104" s="2">
        <f>1.0582*1501.337</f>
        <v>1588.7148134000001</v>
      </c>
      <c r="G104" s="2">
        <f>1.0644*1501.337</f>
        <v>1598.0231028000001</v>
      </c>
      <c r="H104" s="60">
        <v>12</v>
      </c>
      <c r="I104" s="5">
        <v>8.1878999999999993E-2</v>
      </c>
      <c r="J104" s="5">
        <v>7.0411000000000001E-2</v>
      </c>
      <c r="K104" s="2">
        <f>333261.1*1481.119</f>
        <v>493599347.17089993</v>
      </c>
      <c r="L104" s="3">
        <f t="shared" si="38"/>
        <v>3.5158084991084227E-4</v>
      </c>
      <c r="M104" s="2">
        <f>1.0618*1481.119</f>
        <v>1572.6521542</v>
      </c>
      <c r="N104" s="2">
        <f>1.0618*1481.119</f>
        <v>1572.6521542</v>
      </c>
      <c r="O104" s="60">
        <v>13</v>
      </c>
      <c r="P104" s="5">
        <v>-2.3889000000000001E-2</v>
      </c>
      <c r="Q104" s="5">
        <v>7.5452000000000005E-2</v>
      </c>
      <c r="R104" s="81">
        <f t="shared" ref="R104" si="49">((K104-D104)/D104)</f>
        <v>-9.988981168725786E-3</v>
      </c>
      <c r="S104" s="81">
        <f t="shared" ref="S104" si="50">((N104-G104)/G104)</f>
        <v>-1.5876459204842493E-2</v>
      </c>
      <c r="T104" s="81">
        <f t="shared" ref="T104" si="51">((O104-H104)/H104)</f>
        <v>8.3333333333333329E-2</v>
      </c>
      <c r="U104" s="81">
        <f t="shared" ref="U104" si="52">P104-I104</f>
        <v>-0.105768</v>
      </c>
      <c r="V104" s="83">
        <f t="shared" ref="V104" si="53">Q104-J104</f>
        <v>5.0410000000000038E-3</v>
      </c>
    </row>
    <row r="105" spans="1:28">
      <c r="A105" s="75">
        <v>90</v>
      </c>
      <c r="B105" s="143" t="s">
        <v>243</v>
      </c>
      <c r="C105" s="144" t="s">
        <v>25</v>
      </c>
      <c r="D105" s="2">
        <f>368800*1501.337</f>
        <v>553693085.60000002</v>
      </c>
      <c r="E105" s="3">
        <v>0</v>
      </c>
      <c r="F105" s="2">
        <f>1.1398*1501.337</f>
        <v>1711.2239125999999</v>
      </c>
      <c r="G105" s="2">
        <f>1.1398*1501.337</f>
        <v>1711.2239125999999</v>
      </c>
      <c r="H105" s="60">
        <v>31</v>
      </c>
      <c r="I105" s="5">
        <v>2.63E-4</v>
      </c>
      <c r="J105" s="5">
        <v>0.1111</v>
      </c>
      <c r="K105" s="2">
        <f>471363.17*1481.119</f>
        <v>698144946.98722994</v>
      </c>
      <c r="L105" s="3">
        <f t="shared" si="38"/>
        <v>4.9727455117104524E-4</v>
      </c>
      <c r="M105" s="2">
        <f>1.1413*1481.119</f>
        <v>1690.4011146999999</v>
      </c>
      <c r="N105" s="2">
        <f>1.1413*1481.119</f>
        <v>1690.4011146999999</v>
      </c>
      <c r="O105" s="60">
        <v>33</v>
      </c>
      <c r="P105" s="5">
        <v>1.75E-4</v>
      </c>
      <c r="Q105" s="5">
        <v>0.1113</v>
      </c>
      <c r="R105" s="81">
        <f>((K105-D105)/D105)</f>
        <v>0.26088796328510611</v>
      </c>
      <c r="S105" s="81">
        <f>((N105-G105)/G105)</f>
        <v>-1.2168365429374066E-2</v>
      </c>
      <c r="T105" s="81">
        <f>((O105-H105)/H105)</f>
        <v>6.4516129032258063E-2</v>
      </c>
      <c r="U105" s="81">
        <f>P105-I105</f>
        <v>-8.7999999999999998E-5</v>
      </c>
      <c r="V105" s="83">
        <f t="shared" si="43"/>
        <v>1.9999999999999185E-4</v>
      </c>
    </row>
    <row r="106" spans="1:28">
      <c r="A106" s="75">
        <v>91</v>
      </c>
      <c r="B106" s="143" t="s">
        <v>139</v>
      </c>
      <c r="C106" s="144" t="s">
        <v>64</v>
      </c>
      <c r="D106" s="2">
        <f>422391.32*1501.337</f>
        <v>634151717.19483995</v>
      </c>
      <c r="E106" s="3">
        <f t="shared" ref="E106:E114" si="54">(D106/$D$129)</f>
        <v>4.4250337543367516E-4</v>
      </c>
      <c r="F106" s="2">
        <f>105.28*1501.337</f>
        <v>158060.75936</v>
      </c>
      <c r="G106" s="2">
        <f>106.88*1501.337</f>
        <v>160462.89856</v>
      </c>
      <c r="H106" s="60">
        <v>43</v>
      </c>
      <c r="I106" s="5">
        <v>1.1999999999999999E-3</v>
      </c>
      <c r="J106" s="5">
        <v>0.03</v>
      </c>
      <c r="K106" s="2">
        <f>422755.12*1481.119</f>
        <v>626150640.5792799</v>
      </c>
      <c r="L106" s="3">
        <f t="shared" si="38"/>
        <v>4.4599446018080152E-4</v>
      </c>
      <c r="M106" s="2">
        <f>105.37*1481.119</f>
        <v>156065.50902999999</v>
      </c>
      <c r="N106" s="2">
        <f>107.05*1481.119</f>
        <v>158553.78894999999</v>
      </c>
      <c r="O106" s="60">
        <v>43</v>
      </c>
      <c r="P106" s="5">
        <v>1.2999999999999999E-3</v>
      </c>
      <c r="Q106" s="5">
        <v>3.1300000000000001E-2</v>
      </c>
      <c r="R106" s="81">
        <f>((K106-D106)/D106)</f>
        <v>-1.2616975399755582E-2</v>
      </c>
      <c r="S106" s="81">
        <f>((N106-G106)/G106)</f>
        <v>-1.1897514173883399E-2</v>
      </c>
      <c r="T106" s="81">
        <f>((O106-H106)/H106)</f>
        <v>0</v>
      </c>
      <c r="U106" s="81">
        <f>P106-I106</f>
        <v>1.0000000000000005E-4</v>
      </c>
      <c r="V106" s="83">
        <f>Q106-J106</f>
        <v>1.3000000000000025E-3</v>
      </c>
    </row>
    <row r="107" spans="1:28">
      <c r="A107" s="75">
        <v>92</v>
      </c>
      <c r="B107" s="143" t="s">
        <v>131</v>
      </c>
      <c r="C107" s="144" t="s">
        <v>67</v>
      </c>
      <c r="D107" s="2">
        <v>4256672485.2665</v>
      </c>
      <c r="E107" s="3">
        <f t="shared" si="54"/>
        <v>2.970254422992208E-3</v>
      </c>
      <c r="F107" s="2">
        <v>160049.7306176</v>
      </c>
      <c r="G107" s="2">
        <v>160049.7306176</v>
      </c>
      <c r="H107" s="60">
        <v>52</v>
      </c>
      <c r="I107" s="5">
        <v>3.2057374924393013E-2</v>
      </c>
      <c r="J107" s="5">
        <v>8.7085593396696526E-2</v>
      </c>
      <c r="K107" s="2">
        <v>4204594396.5001993</v>
      </c>
      <c r="L107" s="3">
        <f t="shared" si="38"/>
        <v>2.9948477037593929E-3</v>
      </c>
      <c r="M107" s="2">
        <v>158091.67982199998</v>
      </c>
      <c r="N107" s="2">
        <v>158091.67982199998</v>
      </c>
      <c r="O107" s="60">
        <v>53</v>
      </c>
      <c r="P107" s="5">
        <v>3.2017320045626498E-2</v>
      </c>
      <c r="Q107" s="5">
        <v>9.2028621344093731E-2</v>
      </c>
      <c r="R107" s="81">
        <f t="shared" si="39"/>
        <v>-1.2234459885405112E-2</v>
      </c>
      <c r="S107" s="81">
        <f t="shared" si="40"/>
        <v>-1.2234014940508143E-2</v>
      </c>
      <c r="T107" s="81">
        <f t="shared" si="41"/>
        <v>1.9230769230769232E-2</v>
      </c>
      <c r="U107" s="81">
        <f t="shared" si="42"/>
        <v>-4.0054878766515589E-5</v>
      </c>
      <c r="V107" s="83">
        <f t="shared" si="43"/>
        <v>4.943027947397205E-3</v>
      </c>
      <c r="X107" s="108"/>
    </row>
    <row r="108" spans="1:28">
      <c r="A108" s="75">
        <v>93</v>
      </c>
      <c r="B108" s="143" t="s">
        <v>132</v>
      </c>
      <c r="C108" s="144" t="s">
        <v>27</v>
      </c>
      <c r="D108" s="2">
        <v>42709286187.910004</v>
      </c>
      <c r="E108" s="3">
        <f t="shared" si="54"/>
        <v>2.980202180026013E-2</v>
      </c>
      <c r="F108" s="2">
        <v>190894.6</v>
      </c>
      <c r="G108" s="2">
        <v>190894.6</v>
      </c>
      <c r="H108" s="60">
        <v>2100</v>
      </c>
      <c r="I108" s="5">
        <v>1.5E-3</v>
      </c>
      <c r="J108" s="5">
        <v>2.8799999999999999E-2</v>
      </c>
      <c r="K108" s="2">
        <v>42295123087.290001</v>
      </c>
      <c r="L108" s="3">
        <f t="shared" si="38"/>
        <v>3.0125962295822446E-2</v>
      </c>
      <c r="M108" s="2">
        <v>189340.01</v>
      </c>
      <c r="N108" s="2">
        <v>189340.01</v>
      </c>
      <c r="O108" s="60">
        <v>2099</v>
      </c>
      <c r="P108" s="5">
        <v>1.6000000000000001E-3</v>
      </c>
      <c r="Q108" s="5">
        <v>3.04E-2</v>
      </c>
      <c r="R108" s="81">
        <f t="shared" si="39"/>
        <v>-9.6972611248474245E-3</v>
      </c>
      <c r="S108" s="81">
        <f t="shared" si="40"/>
        <v>-8.1437086224544659E-3</v>
      </c>
      <c r="T108" s="81">
        <f t="shared" si="41"/>
        <v>-4.7619047619047619E-4</v>
      </c>
      <c r="U108" s="81">
        <f t="shared" si="42"/>
        <v>1.0000000000000005E-4</v>
      </c>
      <c r="V108" s="83">
        <f t="shared" si="43"/>
        <v>1.6000000000000007E-3</v>
      </c>
    </row>
    <row r="109" spans="1:28">
      <c r="A109" s="75">
        <v>94</v>
      </c>
      <c r="B109" s="153" t="s">
        <v>133</v>
      </c>
      <c r="C109" s="153" t="s">
        <v>27</v>
      </c>
      <c r="D109" s="2">
        <v>71498285528.600006</v>
      </c>
      <c r="E109" s="3">
        <f t="shared" si="54"/>
        <v>4.9890636304002159E-2</v>
      </c>
      <c r="F109" s="2">
        <v>173450.71</v>
      </c>
      <c r="G109" s="2">
        <v>173450.71</v>
      </c>
      <c r="H109" s="60">
        <v>388</v>
      </c>
      <c r="I109" s="5">
        <v>1.6999999999999999E-3</v>
      </c>
      <c r="J109" s="5">
        <v>3.5400000000000001E-2</v>
      </c>
      <c r="K109" s="2">
        <v>73120168815.559998</v>
      </c>
      <c r="L109" s="3">
        <f t="shared" si="38"/>
        <v>5.2082020053600346E-2</v>
      </c>
      <c r="M109" s="2">
        <v>172124.58</v>
      </c>
      <c r="N109" s="2">
        <v>172124.58</v>
      </c>
      <c r="O109" s="60">
        <v>395</v>
      </c>
      <c r="P109" s="5">
        <v>2.0999999999999999E-3</v>
      </c>
      <c r="Q109" s="5">
        <v>3.7499999999999999E-2</v>
      </c>
      <c r="R109" s="81">
        <f t="shared" si="39"/>
        <v>2.2684226271568741E-2</v>
      </c>
      <c r="S109" s="81">
        <f t="shared" si="40"/>
        <v>-7.6455726240613527E-3</v>
      </c>
      <c r="T109" s="81">
        <f t="shared" si="41"/>
        <v>1.804123711340206E-2</v>
      </c>
      <c r="U109" s="81">
        <f t="shared" si="42"/>
        <v>3.9999999999999996E-4</v>
      </c>
      <c r="V109" s="83">
        <f t="shared" si="43"/>
        <v>2.0999999999999977E-3</v>
      </c>
    </row>
    <row r="110" spans="1:28">
      <c r="A110" s="75">
        <v>95</v>
      </c>
      <c r="B110" s="143" t="s">
        <v>134</v>
      </c>
      <c r="C110" s="144" t="s">
        <v>31</v>
      </c>
      <c r="D110" s="2">
        <f>95714.43*1501.337</f>
        <v>143699615.19290999</v>
      </c>
      <c r="E110" s="3">
        <f t="shared" si="54"/>
        <v>1.0027184827735148E-4</v>
      </c>
      <c r="F110" s="2">
        <f>110.73*1501.337</f>
        <v>166243.04600999999</v>
      </c>
      <c r="G110" s="2">
        <f>110.73*1501.337</f>
        <v>166243.04600999999</v>
      </c>
      <c r="H110" s="60">
        <v>4</v>
      </c>
      <c r="I110" s="5">
        <v>2.3E-3</v>
      </c>
      <c r="J110" s="5">
        <v>-3.3700000000000001E-2</v>
      </c>
      <c r="K110" s="2">
        <f>95930.68*1481.119</f>
        <v>142084752.83091998</v>
      </c>
      <c r="L110" s="3">
        <f t="shared" si="38"/>
        <v>1.0120410094945085E-4</v>
      </c>
      <c r="M110" s="2">
        <f>110.981*1481.119</f>
        <v>164376.06773899999</v>
      </c>
      <c r="N110" s="2">
        <f>110.981*1481.119</f>
        <v>164376.06773899999</v>
      </c>
      <c r="O110" s="60">
        <v>4</v>
      </c>
      <c r="P110" s="5">
        <v>2.3E-3</v>
      </c>
      <c r="Q110" s="5">
        <v>-3.1600000000000003E-2</v>
      </c>
      <c r="R110" s="81">
        <f t="shared" si="39"/>
        <v>-1.1237763996946881E-2</v>
      </c>
      <c r="S110" s="81">
        <f t="shared" si="40"/>
        <v>-1.1230414238726689E-2</v>
      </c>
      <c r="T110" s="81">
        <f t="shared" si="41"/>
        <v>0</v>
      </c>
      <c r="U110" s="81">
        <f t="shared" si="42"/>
        <v>0</v>
      </c>
      <c r="V110" s="83">
        <f t="shared" si="43"/>
        <v>2.0999999999999977E-3</v>
      </c>
    </row>
    <row r="111" spans="1:28">
      <c r="A111" s="75">
        <v>96</v>
      </c>
      <c r="B111" s="143" t="s">
        <v>135</v>
      </c>
      <c r="C111" s="144" t="s">
        <v>34</v>
      </c>
      <c r="D111" s="2">
        <f>10896956.09*1501.337</f>
        <v>16360003365.29233</v>
      </c>
      <c r="E111" s="3">
        <f t="shared" si="54"/>
        <v>1.1415811886895647E-2</v>
      </c>
      <c r="F111" s="2">
        <f>1.35*1501.337</f>
        <v>2026.8049500000002</v>
      </c>
      <c r="G111" s="2">
        <f>1.35*1501.337</f>
        <v>2026.8049500000002</v>
      </c>
      <c r="H111" s="61">
        <v>116</v>
      </c>
      <c r="I111" s="12">
        <v>8.9999999999999998E-4</v>
      </c>
      <c r="J111" s="12">
        <v>4.6199999999999998E-2</v>
      </c>
      <c r="K111" s="2">
        <f>10897462.89*1481.119</f>
        <v>16140439338.17391</v>
      </c>
      <c r="L111" s="3">
        <f t="shared" si="38"/>
        <v>1.1496509087733503E-2</v>
      </c>
      <c r="M111" s="2">
        <f>1.35*1481.119</f>
        <v>1999.5106499999999</v>
      </c>
      <c r="N111" s="2">
        <f>1.35*1481.119</f>
        <v>1999.5106499999999</v>
      </c>
      <c r="O111" s="61">
        <v>115</v>
      </c>
      <c r="P111" s="12">
        <v>8.9999999999999998E-4</v>
      </c>
      <c r="Q111" s="12">
        <v>4.6300000000000001E-2</v>
      </c>
      <c r="R111" s="81">
        <f t="shared" si="39"/>
        <v>-1.3420781293005337E-2</v>
      </c>
      <c r="S111" s="81">
        <f t="shared" si="40"/>
        <v>-1.3466663380706784E-2</v>
      </c>
      <c r="T111" s="81">
        <f t="shared" si="41"/>
        <v>-8.6206896551724137E-3</v>
      </c>
      <c r="U111" s="81">
        <f t="shared" si="42"/>
        <v>0</v>
      </c>
      <c r="V111" s="83">
        <f t="shared" si="43"/>
        <v>1.0000000000000286E-4</v>
      </c>
    </row>
    <row r="112" spans="1:28">
      <c r="A112" s="75">
        <v>97</v>
      </c>
      <c r="B112" s="143" t="s">
        <v>136</v>
      </c>
      <c r="C112" s="144" t="s">
        <v>78</v>
      </c>
      <c r="D112" s="2">
        <f>10825235.34*1501.337</f>
        <v>16252326349.64958</v>
      </c>
      <c r="E112" s="3">
        <f t="shared" si="54"/>
        <v>1.1340676171598197E-2</v>
      </c>
      <c r="F112" s="2">
        <f>103.97*1501.337</f>
        <v>156094.00789000001</v>
      </c>
      <c r="G112" s="2">
        <f>103.97*1501.337</f>
        <v>156094.00789000001</v>
      </c>
      <c r="H112" s="60">
        <v>321</v>
      </c>
      <c r="I112" s="5">
        <v>1.9E-3</v>
      </c>
      <c r="J112" s="5">
        <v>3.8199999999999998E-2</v>
      </c>
      <c r="K112" s="2">
        <f>11020628.95*1481.119</f>
        <v>16322862929.795048</v>
      </c>
      <c r="L112" s="3">
        <f t="shared" si="38"/>
        <v>1.162644572916861E-2</v>
      </c>
      <c r="M112" s="2">
        <f>104.16*1481.119</f>
        <v>154273.35503999999</v>
      </c>
      <c r="N112" s="2">
        <f>104.16*1481.119</f>
        <v>154273.35503999999</v>
      </c>
      <c r="O112" s="60">
        <v>333</v>
      </c>
      <c r="P112" s="5">
        <v>1.8E-3</v>
      </c>
      <c r="Q112" s="5">
        <v>0.04</v>
      </c>
      <c r="R112" s="81">
        <f t="shared" si="39"/>
        <v>4.3400912969599956E-3</v>
      </c>
      <c r="S112" s="81">
        <f t="shared" si="40"/>
        <v>-1.1663822811718906E-2</v>
      </c>
      <c r="T112" s="81">
        <f t="shared" si="41"/>
        <v>3.7383177570093455E-2</v>
      </c>
      <c r="U112" s="81">
        <f t="shared" si="42"/>
        <v>-1.0000000000000005E-4</v>
      </c>
      <c r="V112" s="83">
        <f t="shared" si="43"/>
        <v>1.800000000000003E-3</v>
      </c>
    </row>
    <row r="113" spans="1:24">
      <c r="A113" s="75">
        <v>98</v>
      </c>
      <c r="B113" s="143" t="s">
        <v>137</v>
      </c>
      <c r="C113" s="144" t="s">
        <v>38</v>
      </c>
      <c r="D113" s="2">
        <f>1893098.87*1501.337</f>
        <v>2842179378.1891899</v>
      </c>
      <c r="E113" s="3">
        <f t="shared" si="54"/>
        <v>1.9832382919343044E-3</v>
      </c>
      <c r="F113" s="2">
        <f>134.26*1501.337</f>
        <v>201569.50561999998</v>
      </c>
      <c r="G113" s="2">
        <f>137.64*1501.337</f>
        <v>206644.02467999997</v>
      </c>
      <c r="H113" s="60">
        <v>48</v>
      </c>
      <c r="I113" s="5">
        <v>0.13689999999999999</v>
      </c>
      <c r="J113" s="5">
        <v>1.8200000000000001E-2</v>
      </c>
      <c r="K113" s="2">
        <f>1895081.1*1481.119</f>
        <v>2806840623.7508998</v>
      </c>
      <c r="L113" s="3">
        <f t="shared" si="38"/>
        <v>1.9992559101196447E-3</v>
      </c>
      <c r="M113" s="2">
        <f>133.84*1481.119</f>
        <v>198232.96695999999</v>
      </c>
      <c r="N113" s="2">
        <f>137.24*1481.119</f>
        <v>203268.77155999999</v>
      </c>
      <c r="O113" s="60">
        <v>48</v>
      </c>
      <c r="P113" s="5">
        <v>-3.5999999999999999E-3</v>
      </c>
      <c r="Q113" s="5">
        <v>1.5100000000000001E-2</v>
      </c>
      <c r="R113" s="81">
        <f t="shared" si="39"/>
        <v>-1.2433681951772219E-2</v>
      </c>
      <c r="S113" s="81">
        <f t="shared" si="40"/>
        <v>-1.633365941854235E-2</v>
      </c>
      <c r="T113" s="81">
        <f t="shared" si="41"/>
        <v>0</v>
      </c>
      <c r="U113" s="81">
        <f t="shared" si="42"/>
        <v>-0.14049999999999999</v>
      </c>
      <c r="V113" s="83">
        <f t="shared" si="43"/>
        <v>-3.1000000000000003E-3</v>
      </c>
    </row>
    <row r="114" spans="1:24" ht="16.5" customHeight="1">
      <c r="A114" s="75">
        <v>99</v>
      </c>
      <c r="B114" s="143" t="s">
        <v>138</v>
      </c>
      <c r="C114" s="144" t="s">
        <v>45</v>
      </c>
      <c r="D114" s="4">
        <v>224784565421.14301</v>
      </c>
      <c r="E114" s="3">
        <f t="shared" si="54"/>
        <v>0.15685194291398022</v>
      </c>
      <c r="F114" s="2">
        <v>189876.87</v>
      </c>
      <c r="G114" s="2">
        <v>189876.87</v>
      </c>
      <c r="H114" s="60">
        <v>3160</v>
      </c>
      <c r="I114" s="5">
        <v>5.3199999999999997E-2</v>
      </c>
      <c r="J114" s="5">
        <v>5.3699999999999998E-2</v>
      </c>
      <c r="K114" s="4">
        <v>220832134087.14999</v>
      </c>
      <c r="L114" s="3">
        <f t="shared" si="38"/>
        <v>0.1572942708190084</v>
      </c>
      <c r="M114" s="2">
        <v>188222.42</v>
      </c>
      <c r="N114" s="2">
        <v>188222.42</v>
      </c>
      <c r="O114" s="60">
        <v>3145</v>
      </c>
      <c r="P114" s="5">
        <v>5.3199999999999997E-2</v>
      </c>
      <c r="Q114" s="5">
        <v>5.3699999999999998E-2</v>
      </c>
      <c r="R114" s="81">
        <f t="shared" si="39"/>
        <v>-1.7583197167421041E-2</v>
      </c>
      <c r="S114" s="81">
        <f t="shared" si="40"/>
        <v>-8.7132782418415811E-3</v>
      </c>
      <c r="T114" s="81">
        <f t="shared" si="41"/>
        <v>-4.7468354430379748E-3</v>
      </c>
      <c r="U114" s="81">
        <f t="shared" si="42"/>
        <v>0</v>
      </c>
      <c r="V114" s="83">
        <f t="shared" si="43"/>
        <v>0</v>
      </c>
    </row>
    <row r="115" spans="1:24" ht="6" customHeight="1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</row>
    <row r="116" spans="1:24">
      <c r="A116" s="166" t="s">
        <v>231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</row>
    <row r="117" spans="1:24">
      <c r="A117" s="75">
        <v>100</v>
      </c>
      <c r="B117" s="143" t="s">
        <v>140</v>
      </c>
      <c r="C117" s="144" t="s">
        <v>97</v>
      </c>
      <c r="D117" s="4">
        <v>1274012656.73</v>
      </c>
      <c r="E117" s="3">
        <f>(D117/$D$129)</f>
        <v>8.889905769584761E-4</v>
      </c>
      <c r="F117" s="2">
        <v>170274.84</v>
      </c>
      <c r="G117" s="2">
        <v>170274.84</v>
      </c>
      <c r="H117" s="60">
        <v>22</v>
      </c>
      <c r="I117" s="5">
        <v>2.4750000000000002E-3</v>
      </c>
      <c r="J117" s="5">
        <v>5.6800000000000003E-2</v>
      </c>
      <c r="K117" s="4">
        <v>1264919857.3299999</v>
      </c>
      <c r="L117" s="3">
        <f t="shared" ref="L117:L128" si="55">(K117/$K$129)</f>
        <v>9.0097687741715309E-4</v>
      </c>
      <c r="M117" s="2">
        <v>169062.05</v>
      </c>
      <c r="N117" s="2">
        <v>169062.05</v>
      </c>
      <c r="O117" s="60">
        <v>22</v>
      </c>
      <c r="P117" s="5">
        <v>-7.8820000000000001E-3</v>
      </c>
      <c r="Q117" s="5">
        <v>4.9500000000000002E-2</v>
      </c>
      <c r="R117" s="81">
        <f>((K117-D117)/D117)</f>
        <v>-7.1371342756817854E-3</v>
      </c>
      <c r="S117" s="81">
        <f>((N117-G117)/G117)</f>
        <v>-7.1225437651270627E-3</v>
      </c>
      <c r="T117" s="81">
        <f>((O117-H117)/H117)</f>
        <v>0</v>
      </c>
      <c r="U117" s="81">
        <f>P117-I117</f>
        <v>-1.0357E-2</v>
      </c>
      <c r="V117" s="83">
        <f>Q117-J117</f>
        <v>-7.3000000000000009E-3</v>
      </c>
    </row>
    <row r="118" spans="1:24">
      <c r="A118" s="75">
        <v>101</v>
      </c>
      <c r="B118" s="144" t="s">
        <v>141</v>
      </c>
      <c r="C118" s="144" t="s">
        <v>23</v>
      </c>
      <c r="D118" s="2">
        <f>8768310.16*1501.337</f>
        <v>13164188470.68392</v>
      </c>
      <c r="E118" s="3">
        <f>(D118/$D$129)</f>
        <v>9.1858110215176508E-3</v>
      </c>
      <c r="F118" s="4">
        <f>134.5*1501.337</f>
        <v>201929.8265</v>
      </c>
      <c r="G118" s="4">
        <f>134.5*1501.337</f>
        <v>201929.8265</v>
      </c>
      <c r="H118" s="60">
        <v>428</v>
      </c>
      <c r="I118" s="5">
        <v>5.0000000000000001E-4</v>
      </c>
      <c r="J118" s="5">
        <v>2.1399999999999999E-2</v>
      </c>
      <c r="K118" s="2">
        <f>8801292.2*1481.119</f>
        <v>13035761101.971798</v>
      </c>
      <c r="L118" s="3">
        <f t="shared" si="55"/>
        <v>9.2851094591888065E-3</v>
      </c>
      <c r="M118" s="4">
        <f>134.64*1481.119</f>
        <v>199417.86215999996</v>
      </c>
      <c r="N118" s="4">
        <f>134.64*1481.119</f>
        <v>199417.86215999996</v>
      </c>
      <c r="O118" s="60">
        <v>428</v>
      </c>
      <c r="P118" s="5">
        <v>5.0000000000000001E-4</v>
      </c>
      <c r="Q118" s="5">
        <v>2.2499999999999999E-2</v>
      </c>
      <c r="R118" s="81">
        <f t="shared" ref="R118:R129" si="56">((K118-D118)/D118)</f>
        <v>-9.7558135845687843E-3</v>
      </c>
      <c r="S118" s="81">
        <f t="shared" ref="S118:S129" si="57">((N118-G118)/G118)</f>
        <v>-1.2439788532181178E-2</v>
      </c>
      <c r="T118" s="81">
        <f t="shared" ref="T118:T129" si="58">((O118-H118)/H118)</f>
        <v>0</v>
      </c>
      <c r="U118" s="81">
        <f t="shared" ref="U118:U129" si="59">P118-I118</f>
        <v>0</v>
      </c>
      <c r="V118" s="83">
        <f t="shared" ref="V118:V129" si="60">Q118-J118</f>
        <v>1.1000000000000003E-3</v>
      </c>
    </row>
    <row r="119" spans="1:24">
      <c r="A119" s="75">
        <v>102</v>
      </c>
      <c r="B119" s="143" t="s">
        <v>142</v>
      </c>
      <c r="C119" s="144" t="s">
        <v>58</v>
      </c>
      <c r="D119" s="4">
        <v>16755187874.07</v>
      </c>
      <c r="E119" s="3">
        <f t="shared" ref="E119:E128" si="61">(D119/$D$129)</f>
        <v>1.16915668431808E-2</v>
      </c>
      <c r="F119" s="4">
        <v>172338.16</v>
      </c>
      <c r="G119" s="4">
        <v>172338.16</v>
      </c>
      <c r="H119" s="60">
        <v>605</v>
      </c>
      <c r="I119" s="5">
        <v>1.1999999999999999E-3</v>
      </c>
      <c r="J119" s="5">
        <v>6.4199999999999993E-2</v>
      </c>
      <c r="K119" s="4">
        <v>15428063222.629999</v>
      </c>
      <c r="L119" s="3">
        <f t="shared" si="55"/>
        <v>1.0989097962506881E-2</v>
      </c>
      <c r="M119" s="4">
        <v>163183.84</v>
      </c>
      <c r="N119" s="4">
        <v>163183.84</v>
      </c>
      <c r="O119" s="60">
        <v>606</v>
      </c>
      <c r="P119" s="5">
        <v>1.2999999999999999E-3</v>
      </c>
      <c r="Q119" s="5">
        <v>6.4299999999999996E-2</v>
      </c>
      <c r="R119" s="81">
        <f t="shared" si="56"/>
        <v>-7.9206790243983638E-2</v>
      </c>
      <c r="S119" s="81">
        <f t="shared" si="57"/>
        <v>-5.3118357536137133E-2</v>
      </c>
      <c r="T119" s="81">
        <f t="shared" si="58"/>
        <v>1.652892561983471E-3</v>
      </c>
      <c r="U119" s="81">
        <f t="shared" si="59"/>
        <v>1.0000000000000005E-4</v>
      </c>
      <c r="V119" s="83">
        <f t="shared" si="60"/>
        <v>1.0000000000000286E-4</v>
      </c>
    </row>
    <row r="120" spans="1:24">
      <c r="A120" s="75">
        <v>103</v>
      </c>
      <c r="B120" s="143" t="s">
        <v>143</v>
      </c>
      <c r="C120" s="144" t="s">
        <v>56</v>
      </c>
      <c r="D120" s="4">
        <v>6272334231.0789633</v>
      </c>
      <c r="E120" s="3">
        <f t="shared" si="61"/>
        <v>4.3767587374487216E-3</v>
      </c>
      <c r="F120" s="4">
        <v>1866.9236281563349</v>
      </c>
      <c r="G120" s="4">
        <v>1866.9236281563349</v>
      </c>
      <c r="H120" s="60">
        <v>180</v>
      </c>
      <c r="I120" s="5">
        <v>5.4091527076592254E-2</v>
      </c>
      <c r="J120" s="5">
        <v>5.0829890003779334E-2</v>
      </c>
      <c r="K120" s="4">
        <v>6031355944.1579857</v>
      </c>
      <c r="L120" s="3">
        <f t="shared" si="55"/>
        <v>4.2960130744007785E-3</v>
      </c>
      <c r="M120" s="4">
        <v>1807.4281783540307</v>
      </c>
      <c r="N120" s="4">
        <v>1807.4281783540307</v>
      </c>
      <c r="O120" s="60">
        <v>181</v>
      </c>
      <c r="P120" s="5">
        <v>5.0451676175046152E-2</v>
      </c>
      <c r="Q120" s="5">
        <v>5.0858310541072468E-2</v>
      </c>
      <c r="R120" s="81">
        <f t="shared" si="56"/>
        <v>-3.8419235653442636E-2</v>
      </c>
      <c r="S120" s="81">
        <f t="shared" si="57"/>
        <v>-3.1868175486673984E-2</v>
      </c>
      <c r="T120" s="81">
        <f t="shared" si="58"/>
        <v>5.5555555555555558E-3</v>
      </c>
      <c r="U120" s="81">
        <f t="shared" si="59"/>
        <v>-3.6398509015461017E-3</v>
      </c>
      <c r="V120" s="83">
        <f t="shared" si="60"/>
        <v>2.8420537293134818E-5</v>
      </c>
    </row>
    <row r="121" spans="1:24" ht="15.75">
      <c r="A121" s="75">
        <v>104</v>
      </c>
      <c r="B121" s="143" t="s">
        <v>253</v>
      </c>
      <c r="C121" s="144" t="s">
        <v>114</v>
      </c>
      <c r="D121" s="4">
        <v>1336862700.3299999</v>
      </c>
      <c r="E121" s="3">
        <f t="shared" si="61"/>
        <v>9.3284657495557477E-4</v>
      </c>
      <c r="F121" s="4">
        <f>1.055904*1501.337</f>
        <v>1585.2677436479999</v>
      </c>
      <c r="G121" s="4">
        <f>1.071021*1501.337</f>
        <v>1607.9634550769999</v>
      </c>
      <c r="H121" s="60">
        <v>36</v>
      </c>
      <c r="I121" s="5">
        <v>8.9999999999999998E-4</v>
      </c>
      <c r="J121" s="5">
        <v>3.32E-2</v>
      </c>
      <c r="K121" s="4">
        <v>1361739023.1800001</v>
      </c>
      <c r="L121" s="3">
        <f t="shared" si="55"/>
        <v>9.6993921460885159E-4</v>
      </c>
      <c r="M121" s="4">
        <f>1.058399*1481.119</f>
        <v>1567.614868481</v>
      </c>
      <c r="N121" s="4">
        <f>1.074067*1481.119</f>
        <v>1590.821040973</v>
      </c>
      <c r="O121" s="60">
        <v>36</v>
      </c>
      <c r="P121" s="5">
        <v>2.2000000000000001E-3</v>
      </c>
      <c r="Q121" s="5">
        <v>8.0600000000000005E-2</v>
      </c>
      <c r="R121" s="81">
        <f t="shared" si="56"/>
        <v>1.8607986327885063E-2</v>
      </c>
      <c r="S121" s="81">
        <f t="shared" si="57"/>
        <v>-1.0660947579296236E-2</v>
      </c>
      <c r="T121" s="81">
        <f t="shared" si="58"/>
        <v>0</v>
      </c>
      <c r="U121" s="81">
        <f t="shared" si="59"/>
        <v>1.3000000000000002E-3</v>
      </c>
      <c r="V121" s="83">
        <f t="shared" si="60"/>
        <v>4.7400000000000005E-2</v>
      </c>
      <c r="X121" s="117"/>
    </row>
    <row r="122" spans="1:24" ht="15.75">
      <c r="A122" s="75">
        <v>105</v>
      </c>
      <c r="B122" s="143" t="s">
        <v>259</v>
      </c>
      <c r="C122" s="144" t="s">
        <v>36</v>
      </c>
      <c r="D122" s="2">
        <f>1025070.35*1501.337</f>
        <v>1538976044.05795</v>
      </c>
      <c r="E122" s="3">
        <f t="shared" si="61"/>
        <v>1.0738788143941473E-3</v>
      </c>
      <c r="F122" s="4">
        <f>10.27*1501.337</f>
        <v>15418.73099</v>
      </c>
      <c r="G122" s="4">
        <f>10.27*1501.337</f>
        <v>15418.73099</v>
      </c>
      <c r="H122" s="60">
        <v>42</v>
      </c>
      <c r="I122" s="5">
        <v>7.6399999999999996E-2</v>
      </c>
      <c r="J122" s="5">
        <v>9.7000000000000003E-2</v>
      </c>
      <c r="K122" s="2">
        <f>1149214.4359*1481.119</f>
        <v>1702123336.0857718</v>
      </c>
      <c r="L122" s="3">
        <f t="shared" si="55"/>
        <v>1.2123880888094385E-3</v>
      </c>
      <c r="M122" s="4">
        <f>10.33*1481.119</f>
        <v>15299.959269999999</v>
      </c>
      <c r="N122" s="4">
        <f>10.33*1481.119</f>
        <v>15299.959269999999</v>
      </c>
      <c r="O122" s="60">
        <v>42</v>
      </c>
      <c r="P122" s="5">
        <v>7.6399999999999996E-2</v>
      </c>
      <c r="Q122" s="5">
        <v>9.7500000000000003E-2</v>
      </c>
      <c r="R122" s="81">
        <f t="shared" ref="R122" si="62">((K122-D122)/D122)</f>
        <v>0.10601028694224332</v>
      </c>
      <c r="S122" s="81">
        <f t="shared" ref="S122" si="63">((N122-G122)/G122)</f>
        <v>-7.7030801093184286E-3</v>
      </c>
      <c r="T122" s="81">
        <f t="shared" ref="T122" si="64">((O122-H122)/H122)</f>
        <v>0</v>
      </c>
      <c r="U122" s="81">
        <f t="shared" ref="U122" si="65">P122-I122</f>
        <v>0</v>
      </c>
      <c r="V122" s="83">
        <f t="shared" ref="V122" si="66">Q122-J122</f>
        <v>5.0000000000000044E-4</v>
      </c>
      <c r="X122" s="117"/>
    </row>
    <row r="123" spans="1:24" ht="15.75">
      <c r="A123" s="150">
        <v>106</v>
      </c>
      <c r="B123" s="151" t="s">
        <v>144</v>
      </c>
      <c r="C123" s="152" t="s">
        <v>40</v>
      </c>
      <c r="D123" s="4">
        <v>19000826576</v>
      </c>
      <c r="E123" s="3">
        <f t="shared" si="61"/>
        <v>1.3258546287790917E-2</v>
      </c>
      <c r="F123" s="4">
        <f>1.0502*1501.337</f>
        <v>1576.7041174000001</v>
      </c>
      <c r="G123" s="4">
        <f>1.0502*1501.337</f>
        <v>1576.7041174000001</v>
      </c>
      <c r="H123" s="60">
        <v>371</v>
      </c>
      <c r="I123" s="5">
        <v>1.6999999999999999E-3</v>
      </c>
      <c r="J123" s="5">
        <v>8.9399999999999993E-2</v>
      </c>
      <c r="K123" s="4">
        <v>18454833194</v>
      </c>
      <c r="L123" s="3">
        <f t="shared" si="55"/>
        <v>1.3145005106870337E-2</v>
      </c>
      <c r="M123" s="4">
        <f>1.0515*1501.337</f>
        <v>1578.6558555000001</v>
      </c>
      <c r="N123" s="4">
        <f>1.0515*1501.337</f>
        <v>1578.6558555000001</v>
      </c>
      <c r="O123" s="60">
        <v>371</v>
      </c>
      <c r="P123" s="5">
        <v>1.6999999999999999E-3</v>
      </c>
      <c r="Q123" s="5">
        <v>8.8300000000000003E-2</v>
      </c>
      <c r="R123" s="81">
        <f t="shared" si="56"/>
        <v>-2.8735243691432131E-2</v>
      </c>
      <c r="S123" s="81">
        <f t="shared" si="57"/>
        <v>1.2378594553418758E-3</v>
      </c>
      <c r="T123" s="81">
        <f t="shared" si="58"/>
        <v>0</v>
      </c>
      <c r="U123" s="81">
        <f t="shared" si="59"/>
        <v>0</v>
      </c>
      <c r="V123" s="83">
        <f t="shared" si="60"/>
        <v>-1.0999999999999899E-3</v>
      </c>
      <c r="X123" s="117"/>
    </row>
    <row r="124" spans="1:24">
      <c r="A124" s="75">
        <v>107</v>
      </c>
      <c r="B124" s="143" t="s">
        <v>145</v>
      </c>
      <c r="C124" s="144" t="s">
        <v>80</v>
      </c>
      <c r="D124" s="4">
        <v>446951827.22000003</v>
      </c>
      <c r="E124" s="3">
        <f t="shared" si="61"/>
        <v>3.1187756311055228E-4</v>
      </c>
      <c r="F124" s="4">
        <f>1.06*1501.337</f>
        <v>1591.41722</v>
      </c>
      <c r="G124" s="4">
        <f>1.06*1501.337</f>
        <v>1591.41722</v>
      </c>
      <c r="H124" s="60">
        <v>3</v>
      </c>
      <c r="I124" s="5">
        <v>-4.4299999999999998E-4</v>
      </c>
      <c r="J124" s="5">
        <v>2.4898E-2</v>
      </c>
      <c r="K124" s="4">
        <v>429307905.73000002</v>
      </c>
      <c r="L124" s="3">
        <f t="shared" si="55"/>
        <v>3.0578735412658094E-4</v>
      </c>
      <c r="M124" s="4">
        <f>1.05*1481.119</f>
        <v>1555.1749500000001</v>
      </c>
      <c r="N124" s="4">
        <f>1.05*1481.119</f>
        <v>1555.1749500000001</v>
      </c>
      <c r="O124" s="60">
        <v>3</v>
      </c>
      <c r="P124" s="5">
        <v>-6.901E-3</v>
      </c>
      <c r="Q124" s="5">
        <v>1.7825000000000001E-2</v>
      </c>
      <c r="R124" s="81">
        <f t="shared" si="56"/>
        <v>-3.9476114461246541E-2</v>
      </c>
      <c r="S124" s="81">
        <f t="shared" si="57"/>
        <v>-2.2773581650699974E-2</v>
      </c>
      <c r="T124" s="81">
        <f t="shared" si="58"/>
        <v>0</v>
      </c>
      <c r="U124" s="81">
        <f t="shared" si="59"/>
        <v>-6.4580000000000002E-3</v>
      </c>
      <c r="V124" s="83">
        <f t="shared" si="60"/>
        <v>-7.0729999999999994E-3</v>
      </c>
    </row>
    <row r="125" spans="1:24">
      <c r="A125" s="75">
        <v>108</v>
      </c>
      <c r="B125" s="143" t="s">
        <v>146</v>
      </c>
      <c r="C125" s="144" t="s">
        <v>42</v>
      </c>
      <c r="D125" s="2">
        <v>865722977711.19995</v>
      </c>
      <c r="E125" s="3">
        <f t="shared" si="61"/>
        <v>0.60409099185644444</v>
      </c>
      <c r="F125" s="4">
        <v>2304.8126000000002</v>
      </c>
      <c r="G125" s="4">
        <v>2304.8126000000002</v>
      </c>
      <c r="H125" s="60">
        <v>7372</v>
      </c>
      <c r="I125" s="5">
        <v>1.4E-3</v>
      </c>
      <c r="J125" s="5">
        <v>2.7799999999999998E-2</v>
      </c>
      <c r="K125" s="2">
        <v>840845727130.31006</v>
      </c>
      <c r="L125" s="3">
        <f t="shared" si="55"/>
        <v>0.59891743593821978</v>
      </c>
      <c r="M125" s="4">
        <v>2232.3200000000002</v>
      </c>
      <c r="N125" s="4">
        <v>2232.3200000000002</v>
      </c>
      <c r="O125" s="60">
        <v>7427</v>
      </c>
      <c r="P125" s="5">
        <v>1.4E-3</v>
      </c>
      <c r="Q125" s="5">
        <v>2.92E-2</v>
      </c>
      <c r="R125" s="81">
        <f t="shared" si="56"/>
        <v>-2.8735809515718774E-2</v>
      </c>
      <c r="S125" s="81">
        <f t="shared" si="57"/>
        <v>-3.1452708996818235E-2</v>
      </c>
      <c r="T125" s="81">
        <f t="shared" si="58"/>
        <v>7.4606619641888229E-3</v>
      </c>
      <c r="U125" s="81">
        <f t="shared" si="59"/>
        <v>0</v>
      </c>
      <c r="V125" s="83">
        <f t="shared" si="60"/>
        <v>1.4000000000000019E-3</v>
      </c>
    </row>
    <row r="126" spans="1:24" ht="16.5" customHeight="1">
      <c r="A126" s="75">
        <v>109</v>
      </c>
      <c r="B126" s="143" t="s">
        <v>147</v>
      </c>
      <c r="C126" s="144" t="s">
        <v>45</v>
      </c>
      <c r="D126" s="2">
        <v>50926039792.379997</v>
      </c>
      <c r="E126" s="3">
        <f t="shared" si="61"/>
        <v>3.5535572788923095E-2</v>
      </c>
      <c r="F126" s="4">
        <v>1672.22</v>
      </c>
      <c r="G126" s="4">
        <v>1672.22</v>
      </c>
      <c r="H126" s="60">
        <v>267</v>
      </c>
      <c r="I126" s="5">
        <v>0.1031</v>
      </c>
      <c r="J126" s="5">
        <v>7.85E-2</v>
      </c>
      <c r="K126" s="2">
        <v>51589936122.089996</v>
      </c>
      <c r="L126" s="3">
        <f t="shared" si="55"/>
        <v>3.6746469971262935E-2</v>
      </c>
      <c r="M126" s="4">
        <v>1659.12</v>
      </c>
      <c r="N126" s="4">
        <v>1659.12</v>
      </c>
      <c r="O126" s="60">
        <v>269</v>
      </c>
      <c r="P126" s="5">
        <v>0.10290000000000001</v>
      </c>
      <c r="Q126" s="5">
        <v>7.9200000000000007E-2</v>
      </c>
      <c r="R126" s="81">
        <f t="shared" si="56"/>
        <v>1.3036480598464621E-2</v>
      </c>
      <c r="S126" s="81">
        <f t="shared" si="57"/>
        <v>-7.8338974536844054E-3</v>
      </c>
      <c r="T126" s="81">
        <f t="shared" si="58"/>
        <v>7.4906367041198503E-3</v>
      </c>
      <c r="U126" s="81">
        <f t="shared" si="59"/>
        <v>-1.9999999999999185E-4</v>
      </c>
      <c r="V126" s="83">
        <f t="shared" si="60"/>
        <v>7.0000000000000617E-4</v>
      </c>
    </row>
    <row r="127" spans="1:24" ht="16.5" customHeight="1">
      <c r="A127" s="75">
        <v>110</v>
      </c>
      <c r="B127" s="143" t="s">
        <v>148</v>
      </c>
      <c r="C127" s="144" t="s">
        <v>32</v>
      </c>
      <c r="D127" s="4">
        <v>51680259022.586723</v>
      </c>
      <c r="E127" s="3">
        <f t="shared" ref="E127" si="67">(D127/$D$129)</f>
        <v>3.6061857818410641E-2</v>
      </c>
      <c r="F127" s="4">
        <f>1.1109*1501.337</f>
        <v>1667.8352732999999</v>
      </c>
      <c r="G127" s="4">
        <f>1.1109*1501.337</f>
        <v>1667.8352732999999</v>
      </c>
      <c r="H127" s="60">
        <v>1346</v>
      </c>
      <c r="I127" s="5">
        <v>8.1081081081069151E-4</v>
      </c>
      <c r="J127" s="5">
        <v>1.8426842684268419E-2</v>
      </c>
      <c r="K127" s="4">
        <v>52044205772.579605</v>
      </c>
      <c r="L127" s="3">
        <f t="shared" ref="L127" si="68">(K127/$K$129)</f>
        <v>3.7070037072239145E-2</v>
      </c>
      <c r="M127" s="4">
        <f>1.1119*1481.119</f>
        <v>1646.8562161</v>
      </c>
      <c r="N127" s="4">
        <f>1.1119*1481.119</f>
        <v>1646.8562161</v>
      </c>
      <c r="O127" s="60">
        <v>1353</v>
      </c>
      <c r="P127" s="5">
        <v>8.9999999999999998E-4</v>
      </c>
      <c r="Q127" s="5">
        <v>1.9300000000000001E-2</v>
      </c>
      <c r="R127" s="81">
        <f t="shared" ref="R127" si="69">((K127-D127)/D127)</f>
        <v>7.0422779776281655E-3</v>
      </c>
      <c r="S127" s="81">
        <f t="shared" ref="S127" si="70">((N127-G127)/G127)</f>
        <v>-1.2578614648490145E-2</v>
      </c>
      <c r="T127" s="81">
        <f t="shared" ref="T127" si="71">((O127-H127)/H127)</f>
        <v>5.2005943536404158E-3</v>
      </c>
      <c r="U127" s="81">
        <f t="shared" ref="U127" si="72">P127-I127</f>
        <v>8.9189189189308469E-5</v>
      </c>
      <c r="V127" s="83">
        <f t="shared" ref="V127" si="73">Q127-J127</f>
        <v>8.7315731573158265E-4</v>
      </c>
    </row>
    <row r="128" spans="1:24">
      <c r="A128" s="75">
        <v>111</v>
      </c>
      <c r="B128" s="143" t="s">
        <v>263</v>
      </c>
      <c r="C128" s="144" t="s">
        <v>261</v>
      </c>
      <c r="D128" s="4">
        <f>694849.42*1501.337</f>
        <v>1043203143.67454</v>
      </c>
      <c r="E128" s="3">
        <f t="shared" si="61"/>
        <v>7.2793449867324795E-4</v>
      </c>
      <c r="F128" s="4">
        <f>1.17*1501.337</f>
        <v>1756.5642899999998</v>
      </c>
      <c r="G128" s="4">
        <f>1.17*1501.337</f>
        <v>1756.5642899999998</v>
      </c>
      <c r="H128" s="60">
        <v>32</v>
      </c>
      <c r="I128" s="5">
        <v>7.0289999999999997E-3</v>
      </c>
      <c r="J128" s="5">
        <v>6.3462000000000005E-2</v>
      </c>
      <c r="K128" s="4">
        <f>692335.69*1481.119</f>
        <v>1025431544.8371098</v>
      </c>
      <c r="L128" s="3">
        <f t="shared" si="55"/>
        <v>7.3039418736182949E-4</v>
      </c>
      <c r="M128" s="4">
        <f>1.18*1481.119</f>
        <v>1747.7204199999999</v>
      </c>
      <c r="N128" s="4">
        <f>1.18*1481.119</f>
        <v>1747.7204199999999</v>
      </c>
      <c r="O128" s="60">
        <v>32</v>
      </c>
      <c r="P128" s="5">
        <v>2.4859999999999999E-3</v>
      </c>
      <c r="Q128" s="5">
        <v>6.6104999999999997E-2</v>
      </c>
      <c r="R128" s="81">
        <f t="shared" si="56"/>
        <v>-1.7035607058115469E-2</v>
      </c>
      <c r="S128" s="81">
        <f t="shared" si="57"/>
        <v>-5.0347545207126611E-3</v>
      </c>
      <c r="T128" s="81">
        <f t="shared" si="58"/>
        <v>0</v>
      </c>
      <c r="U128" s="81">
        <f t="shared" si="59"/>
        <v>-4.5430000000000002E-3</v>
      </c>
      <c r="V128" s="83">
        <f t="shared" si="60"/>
        <v>2.6429999999999926E-3</v>
      </c>
    </row>
    <row r="129" spans="1:22">
      <c r="A129" s="75"/>
      <c r="B129" s="19"/>
      <c r="C129" s="66" t="s">
        <v>46</v>
      </c>
      <c r="D129" s="59">
        <f>SUM(D100:D128)</f>
        <v>1433100293468.5864</v>
      </c>
      <c r="E129" s="100">
        <f>(D129/$D$192)</f>
        <v>0.49713858444211673</v>
      </c>
      <c r="F129" s="30"/>
      <c r="G129" s="11"/>
      <c r="H129" s="65">
        <f>SUM(H100:H128)</f>
        <v>17735</v>
      </c>
      <c r="I129" s="33"/>
      <c r="J129" s="33"/>
      <c r="K129" s="59">
        <f>SUM(K100:K128)</f>
        <v>1403942641631.5686</v>
      </c>
      <c r="L129" s="100">
        <f>(K129/$K$192)</f>
        <v>0.49145304334556172</v>
      </c>
      <c r="M129" s="30"/>
      <c r="N129" s="11"/>
      <c r="O129" s="65">
        <f>SUM(O100:O128)</f>
        <v>17810</v>
      </c>
      <c r="P129" s="33"/>
      <c r="Q129" s="33"/>
      <c r="R129" s="81">
        <f t="shared" si="56"/>
        <v>-2.0345855743596607E-2</v>
      </c>
      <c r="S129" s="81" t="e">
        <f t="shared" si="57"/>
        <v>#DIV/0!</v>
      </c>
      <c r="T129" s="81">
        <f t="shared" si="58"/>
        <v>4.22892585283338E-3</v>
      </c>
      <c r="U129" s="81">
        <f t="shared" si="59"/>
        <v>0</v>
      </c>
      <c r="V129" s="83">
        <f t="shared" si="60"/>
        <v>0</v>
      </c>
    </row>
    <row r="130" spans="1:22" ht="8.25" customHeight="1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</row>
    <row r="131" spans="1:22" ht="15.75">
      <c r="A131" s="162" t="s">
        <v>149</v>
      </c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</row>
    <row r="132" spans="1:22">
      <c r="A132" s="75">
        <v>112</v>
      </c>
      <c r="B132" s="143" t="s">
        <v>245</v>
      </c>
      <c r="C132" s="144" t="s">
        <v>246</v>
      </c>
      <c r="D132" s="2">
        <v>2276009262.1164069</v>
      </c>
      <c r="E132" s="3">
        <f>(D132/$D$137)</f>
        <v>2.296787420508847E-2</v>
      </c>
      <c r="F132" s="14">
        <v>107.2577409102925</v>
      </c>
      <c r="G132" s="14">
        <v>107.2577409102925</v>
      </c>
      <c r="H132" s="60">
        <v>7</v>
      </c>
      <c r="I132" s="5">
        <v>1.4979264831429528E-3</v>
      </c>
      <c r="J132" s="5">
        <v>4.9581413621214709E-2</v>
      </c>
      <c r="K132" s="2">
        <v>2280720318.2382107</v>
      </c>
      <c r="L132" s="3">
        <f>(K132/$K$137)</f>
        <v>2.3133313177751993E-2</v>
      </c>
      <c r="M132" s="14">
        <v>107.48</v>
      </c>
      <c r="N132" s="14">
        <v>107.48</v>
      </c>
      <c r="O132" s="60">
        <v>7</v>
      </c>
      <c r="P132" s="5">
        <v>2.072196261278636E-3</v>
      </c>
      <c r="Q132" s="5">
        <v>5.1799999999999999E-2</v>
      </c>
      <c r="R132" s="81">
        <f t="shared" ref="R132:R137" si="74">((K132-D132)/D132)</f>
        <v>2.0698756372472147E-3</v>
      </c>
      <c r="S132" s="81">
        <f t="shared" ref="S132:T137" si="75">((N132-G132)/G132)</f>
        <v>2.0721962612786902E-3</v>
      </c>
      <c r="T132" s="81">
        <f t="shared" si="75"/>
        <v>0</v>
      </c>
      <c r="U132" s="81">
        <f t="shared" ref="U132:V137" si="76">P132-I132</f>
        <v>5.7426977813568314E-4</v>
      </c>
      <c r="V132" s="83">
        <f t="shared" si="76"/>
        <v>2.2185863787852894E-3</v>
      </c>
    </row>
    <row r="133" spans="1:22">
      <c r="A133" s="75">
        <v>113</v>
      </c>
      <c r="B133" s="143" t="s">
        <v>150</v>
      </c>
      <c r="C133" s="144" t="s">
        <v>40</v>
      </c>
      <c r="D133" s="2">
        <v>53749983529</v>
      </c>
      <c r="E133" s="3">
        <f>(D133/$D$137)</f>
        <v>0.54240678224292271</v>
      </c>
      <c r="F133" s="14">
        <v>102.5</v>
      </c>
      <c r="G133" s="14">
        <v>102.5</v>
      </c>
      <c r="H133" s="60">
        <v>666</v>
      </c>
      <c r="I133" s="5">
        <v>0</v>
      </c>
      <c r="J133" s="5">
        <v>7.6999999999999999E-2</v>
      </c>
      <c r="K133" s="2">
        <v>53749983529</v>
      </c>
      <c r="L133" s="3">
        <f>(K133/$K$137)</f>
        <v>0.54518530498113416</v>
      </c>
      <c r="M133" s="14">
        <v>102.5</v>
      </c>
      <c r="N133" s="14">
        <v>102.5</v>
      </c>
      <c r="O133" s="60">
        <v>666</v>
      </c>
      <c r="P133" s="5">
        <v>0</v>
      </c>
      <c r="Q133" s="5">
        <v>7.6999999999999999E-2</v>
      </c>
      <c r="R133" s="81">
        <f t="shared" si="74"/>
        <v>0</v>
      </c>
      <c r="S133" s="81">
        <f t="shared" si="75"/>
        <v>0</v>
      </c>
      <c r="T133" s="81">
        <f t="shared" si="75"/>
        <v>0</v>
      </c>
      <c r="U133" s="81">
        <f t="shared" si="76"/>
        <v>0</v>
      </c>
      <c r="V133" s="83">
        <f t="shared" si="76"/>
        <v>0</v>
      </c>
    </row>
    <row r="134" spans="1:22" ht="15.75" customHeight="1">
      <c r="A134" s="75">
        <v>114</v>
      </c>
      <c r="B134" s="143" t="s">
        <v>151</v>
      </c>
      <c r="C134" s="144" t="s">
        <v>120</v>
      </c>
      <c r="D134" s="2">
        <v>2435172061.3674207</v>
      </c>
      <c r="E134" s="3">
        <f>(D134/$D$137)</f>
        <v>2.4574032498103388E-2</v>
      </c>
      <c r="F134" s="14">
        <v>101.35</v>
      </c>
      <c r="G134" s="14">
        <v>101.35</v>
      </c>
      <c r="H134" s="60">
        <v>2760</v>
      </c>
      <c r="I134" s="5">
        <v>0.47852768741131424</v>
      </c>
      <c r="J134" s="5">
        <v>0.12987029932287922</v>
      </c>
      <c r="K134" s="2">
        <v>2451818303.4162083</v>
      </c>
      <c r="L134" s="3">
        <f>(K134/$K$137)</f>
        <v>2.4868757565015782E-2</v>
      </c>
      <c r="M134" s="14">
        <v>101.35</v>
      </c>
      <c r="N134" s="14">
        <v>101.35</v>
      </c>
      <c r="O134" s="60">
        <v>2760</v>
      </c>
      <c r="P134" s="5">
        <v>0.42011468542333874</v>
      </c>
      <c r="Q134" s="5">
        <v>0.13860382434932858</v>
      </c>
      <c r="R134" s="81">
        <f t="shared" si="74"/>
        <v>6.835756007910275E-3</v>
      </c>
      <c r="S134" s="81">
        <f t="shared" si="75"/>
        <v>0</v>
      </c>
      <c r="T134" s="81">
        <f t="shared" si="75"/>
        <v>0</v>
      </c>
      <c r="U134" s="81">
        <f t="shared" si="76"/>
        <v>-5.8413001987975499E-2</v>
      </c>
      <c r="V134" s="83">
        <f t="shared" si="76"/>
        <v>8.7335250264493625E-3</v>
      </c>
    </row>
    <row r="135" spans="1:22">
      <c r="A135" s="75">
        <v>115</v>
      </c>
      <c r="B135" s="143" t="s">
        <v>152</v>
      </c>
      <c r="C135" s="144" t="s">
        <v>120</v>
      </c>
      <c r="D135" s="2">
        <v>10465532379.85</v>
      </c>
      <c r="E135" s="3">
        <f>(D135/$D$137)</f>
        <v>0.10561074385354639</v>
      </c>
      <c r="F135" s="14">
        <v>36.6</v>
      </c>
      <c r="G135" s="14">
        <v>36.6</v>
      </c>
      <c r="H135" s="60">
        <v>5264</v>
      </c>
      <c r="I135" s="5">
        <v>0.13619999999999999</v>
      </c>
      <c r="J135" s="5">
        <v>0.1489</v>
      </c>
      <c r="K135" s="2">
        <v>10486301982.49</v>
      </c>
      <c r="L135" s="3">
        <f>(K135/$K$137)</f>
        <v>0.10636240923429442</v>
      </c>
      <c r="M135" s="14">
        <v>36.6</v>
      </c>
      <c r="N135" s="14">
        <v>36.6</v>
      </c>
      <c r="O135" s="60">
        <v>5264</v>
      </c>
      <c r="P135" s="5">
        <v>0.10338717547058317</v>
      </c>
      <c r="Q135" s="5">
        <v>0.1698782961460448</v>
      </c>
      <c r="R135" s="81">
        <f t="shared" si="74"/>
        <v>1.9845720108791136E-3</v>
      </c>
      <c r="S135" s="81">
        <f t="shared" si="75"/>
        <v>0</v>
      </c>
      <c r="T135" s="81">
        <f t="shared" si="75"/>
        <v>0</v>
      </c>
      <c r="U135" s="81">
        <f t="shared" si="76"/>
        <v>-3.281282452941682E-2</v>
      </c>
      <c r="V135" s="83">
        <f t="shared" si="76"/>
        <v>2.0978296146044795E-2</v>
      </c>
    </row>
    <row r="136" spans="1:22">
      <c r="A136" s="75">
        <v>116</v>
      </c>
      <c r="B136" s="143" t="s">
        <v>153</v>
      </c>
      <c r="C136" s="144" t="s">
        <v>42</v>
      </c>
      <c r="D136" s="2">
        <v>30168640968.889999</v>
      </c>
      <c r="E136" s="3">
        <f>(D136/$D$137)</f>
        <v>0.30444056720033896</v>
      </c>
      <c r="F136" s="14">
        <v>4.25</v>
      </c>
      <c r="G136" s="14">
        <v>4.25</v>
      </c>
      <c r="H136" s="60">
        <v>208348</v>
      </c>
      <c r="I136" s="5">
        <v>-5.5599999999999997E-2</v>
      </c>
      <c r="J136" s="5">
        <v>-0.30470000000000003</v>
      </c>
      <c r="K136" s="2">
        <v>29621477252.290001</v>
      </c>
      <c r="L136" s="3">
        <f>(K136/$K$137)</f>
        <v>0.30045021504180364</v>
      </c>
      <c r="M136" s="14">
        <v>4.0999999999999996</v>
      </c>
      <c r="N136" s="14">
        <v>4.0999999999999996</v>
      </c>
      <c r="O136" s="60">
        <v>208348</v>
      </c>
      <c r="P136" s="5">
        <v>-3.5299999999999998E-2</v>
      </c>
      <c r="Q136" s="5">
        <v>-0.3594</v>
      </c>
      <c r="R136" s="81">
        <f t="shared" si="74"/>
        <v>-1.8136836762525546E-2</v>
      </c>
      <c r="S136" s="81">
        <f t="shared" si="75"/>
        <v>-3.5294117647058906E-2</v>
      </c>
      <c r="T136" s="81">
        <f t="shared" si="75"/>
        <v>0</v>
      </c>
      <c r="U136" s="81">
        <f t="shared" si="76"/>
        <v>2.0299999999999999E-2</v>
      </c>
      <c r="V136" s="83">
        <f t="shared" si="76"/>
        <v>-5.4699999999999971E-2</v>
      </c>
    </row>
    <row r="137" spans="1:22">
      <c r="A137" s="119"/>
      <c r="B137" s="120"/>
      <c r="C137" s="121" t="s">
        <v>46</v>
      </c>
      <c r="D137" s="58">
        <f>SUM(D132:D136)</f>
        <v>99095338201.223831</v>
      </c>
      <c r="E137" s="100">
        <f>(D137/$D$192)</f>
        <v>3.4375902637584027E-2</v>
      </c>
      <c r="F137" s="30"/>
      <c r="G137" s="34"/>
      <c r="H137" s="65">
        <f>SUM(H132:H136)</f>
        <v>217045</v>
      </c>
      <c r="I137" s="35"/>
      <c r="J137" s="35"/>
      <c r="K137" s="58">
        <f>SUM(K132:K136)</f>
        <v>98590301385.434418</v>
      </c>
      <c r="L137" s="100">
        <f>(K137/$K$192)</f>
        <v>3.4511740169042536E-2</v>
      </c>
      <c r="M137" s="30"/>
      <c r="N137" s="34"/>
      <c r="O137" s="65">
        <f>SUM(O132:O136)</f>
        <v>217045</v>
      </c>
      <c r="P137" s="35"/>
      <c r="Q137" s="35"/>
      <c r="R137" s="81">
        <f t="shared" si="74"/>
        <v>-5.0964740113594587E-3</v>
      </c>
      <c r="S137" s="81" t="e">
        <f t="shared" si="75"/>
        <v>#DIV/0!</v>
      </c>
      <c r="T137" s="81">
        <f t="shared" si="75"/>
        <v>0</v>
      </c>
      <c r="U137" s="81">
        <f t="shared" si="76"/>
        <v>0</v>
      </c>
      <c r="V137" s="83">
        <f t="shared" si="76"/>
        <v>0</v>
      </c>
    </row>
    <row r="138" spans="1:22" ht="7.5" customHeight="1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</row>
    <row r="139" spans="1:22" ht="15" customHeight="1">
      <c r="A139" s="162" t="s">
        <v>154</v>
      </c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</row>
    <row r="140" spans="1:22">
      <c r="A140" s="75">
        <v>117</v>
      </c>
      <c r="B140" s="143" t="s">
        <v>155</v>
      </c>
      <c r="C140" s="144" t="s">
        <v>50</v>
      </c>
      <c r="D140" s="4">
        <v>231962243.28999999</v>
      </c>
      <c r="E140" s="3">
        <f t="shared" ref="E140:E165" si="77">(D140/$D$166)</f>
        <v>4.7799334178524125E-3</v>
      </c>
      <c r="F140" s="4">
        <v>5.22</v>
      </c>
      <c r="G140" s="4">
        <v>5.27</v>
      </c>
      <c r="H140" s="62">
        <v>11833</v>
      </c>
      <c r="I140" s="6">
        <v>-0.36380000000000001</v>
      </c>
      <c r="J140" s="6">
        <v>3.7172999999999998E-2</v>
      </c>
      <c r="K140" s="4">
        <v>232173104.62</v>
      </c>
      <c r="L140" s="16">
        <f t="shared" ref="L140:L156" si="78">(K140/$K$166)</f>
        <v>4.8997306137660021E-3</v>
      </c>
      <c r="M140" s="4">
        <v>5.22</v>
      </c>
      <c r="N140" s="4">
        <v>5.27</v>
      </c>
      <c r="O140" s="62">
        <v>11833</v>
      </c>
      <c r="P140" s="6">
        <v>7.5600000000000005E-4</v>
      </c>
      <c r="Q140" s="6">
        <v>3.7928999999999997E-2</v>
      </c>
      <c r="R140" s="81">
        <f>((K140-D140)/D140)</f>
        <v>9.0903298316697843E-4</v>
      </c>
      <c r="S140" s="81">
        <f>((N140-G140)/G140)</f>
        <v>0</v>
      </c>
      <c r="T140" s="81">
        <f>((O140-H140)/H140)</f>
        <v>0</v>
      </c>
      <c r="U140" s="81">
        <f>P140-I140</f>
        <v>0.36455599999999999</v>
      </c>
      <c r="V140" s="83">
        <f>Q140-J140</f>
        <v>7.5599999999999973E-4</v>
      </c>
    </row>
    <row r="141" spans="1:22">
      <c r="A141" s="75">
        <v>118</v>
      </c>
      <c r="B141" s="143" t="s">
        <v>255</v>
      </c>
      <c r="C141" s="143" t="s">
        <v>254</v>
      </c>
      <c r="D141" s="4">
        <v>573316967.60030258</v>
      </c>
      <c r="E141" s="3">
        <f t="shared" si="77"/>
        <v>1.1814064623562104E-2</v>
      </c>
      <c r="F141" s="4">
        <v>1095.751169158965</v>
      </c>
      <c r="G141" s="4">
        <v>1105.7635498030443</v>
      </c>
      <c r="H141" s="62">
        <v>171</v>
      </c>
      <c r="I141" s="6">
        <v>-2.9225056636139165E-2</v>
      </c>
      <c r="J141" s="6">
        <v>-2.20834828090553E-2</v>
      </c>
      <c r="K141" s="4">
        <v>571401440.76245272</v>
      </c>
      <c r="L141" s="16">
        <f t="shared" si="78"/>
        <v>1.2058731508268835E-2</v>
      </c>
      <c r="M141" s="4">
        <v>1092.1480145226521</v>
      </c>
      <c r="N141" s="4">
        <v>1102.0312550736494</v>
      </c>
      <c r="O141" s="62">
        <v>171</v>
      </c>
      <c r="P141" s="6">
        <v>-3.3411305544776716E-3</v>
      </c>
      <c r="Q141" s="6">
        <v>-2.5350829564370354E-2</v>
      </c>
      <c r="R141" s="81">
        <f>((K141-D141)/D141)</f>
        <v>-3.3411305544776703E-3</v>
      </c>
      <c r="S141" s="81">
        <f>((N141-G141)/G141)</f>
        <v>-3.3753099657333314E-3</v>
      </c>
      <c r="T141" s="81">
        <f>((O141-H141)/H141)</f>
        <v>0</v>
      </c>
      <c r="U141" s="81">
        <f>P141-I141</f>
        <v>2.5883926081661492E-2</v>
      </c>
      <c r="V141" s="83">
        <f>Q141-J141</f>
        <v>-3.2673467553150544E-3</v>
      </c>
    </row>
    <row r="142" spans="1:22">
      <c r="A142" s="75">
        <v>119</v>
      </c>
      <c r="B142" s="143" t="s">
        <v>156</v>
      </c>
      <c r="C142" s="144" t="s">
        <v>21</v>
      </c>
      <c r="D142" s="4">
        <v>7206812621.5200005</v>
      </c>
      <c r="E142" s="3">
        <f t="shared" si="77"/>
        <v>0.148507291519581</v>
      </c>
      <c r="F142" s="4">
        <v>755.2482</v>
      </c>
      <c r="G142" s="4">
        <v>778.01949999999999</v>
      </c>
      <c r="H142" s="62">
        <v>21245</v>
      </c>
      <c r="I142" s="6">
        <v>-0.18659999999999999</v>
      </c>
      <c r="J142" s="6">
        <v>0.37140000000000001</v>
      </c>
      <c r="K142" s="4">
        <v>7166529215.3400002</v>
      </c>
      <c r="L142" s="16">
        <f t="shared" si="78"/>
        <v>0.1512408711091725</v>
      </c>
      <c r="M142" s="4">
        <v>751.35889999999995</v>
      </c>
      <c r="N142" s="4">
        <v>774.01300000000003</v>
      </c>
      <c r="O142" s="62">
        <v>21246</v>
      </c>
      <c r="P142" s="6">
        <v>-0.26929999999999998</v>
      </c>
      <c r="Q142" s="6">
        <v>0.3387</v>
      </c>
      <c r="R142" s="81">
        <f t="shared" ref="R142:R166" si="79">((K142-D142)/D142)</f>
        <v>-5.5896286327344622E-3</v>
      </c>
      <c r="S142" s="81">
        <f t="shared" ref="S142:S166" si="80">((N142-G142)/G142)</f>
        <v>-5.1496138592926786E-3</v>
      </c>
      <c r="T142" s="81">
        <f t="shared" ref="T142:T166" si="81">((O142-H142)/H142)</f>
        <v>4.7069898799717581E-5</v>
      </c>
      <c r="U142" s="81">
        <f t="shared" ref="U142:U166" si="82">P142-I142</f>
        <v>-8.2699999999999996E-2</v>
      </c>
      <c r="V142" s="83">
        <f t="shared" ref="V142:V166" si="83">Q142-J142</f>
        <v>-3.2700000000000007E-2</v>
      </c>
    </row>
    <row r="143" spans="1:22">
      <c r="A143" s="75">
        <v>120</v>
      </c>
      <c r="B143" s="143" t="s">
        <v>157</v>
      </c>
      <c r="C143" s="144" t="s">
        <v>91</v>
      </c>
      <c r="D143" s="4">
        <v>3434384212.9400001</v>
      </c>
      <c r="E143" s="3">
        <f t="shared" si="77"/>
        <v>7.0770689386087549E-2</v>
      </c>
      <c r="F143" s="4">
        <v>19.383900000000001</v>
      </c>
      <c r="G143" s="4">
        <v>19.605399999999999</v>
      </c>
      <c r="H143" s="60">
        <v>6248</v>
      </c>
      <c r="I143" s="5">
        <v>-8.3000000000000001E-3</v>
      </c>
      <c r="J143" s="5">
        <v>5.0799999999999998E-2</v>
      </c>
      <c r="K143" s="4">
        <v>3408599114.8099999</v>
      </c>
      <c r="L143" s="16">
        <f t="shared" si="78"/>
        <v>7.1934333049580829E-2</v>
      </c>
      <c r="M143" s="4">
        <v>19.231300000000001</v>
      </c>
      <c r="N143" s="4">
        <v>19.4496</v>
      </c>
      <c r="O143" s="60">
        <v>6248</v>
      </c>
      <c r="P143" s="5">
        <v>-1.2999999999999999E-3</v>
      </c>
      <c r="Q143" s="5">
        <v>4.2500000000000003E-2</v>
      </c>
      <c r="R143" s="81">
        <f t="shared" si="79"/>
        <v>-7.5079247199097785E-3</v>
      </c>
      <c r="S143" s="81">
        <f t="shared" si="80"/>
        <v>-7.9467901700551527E-3</v>
      </c>
      <c r="T143" s="81">
        <f t="shared" si="81"/>
        <v>0</v>
      </c>
      <c r="U143" s="81">
        <f t="shared" si="82"/>
        <v>7.0000000000000001E-3</v>
      </c>
      <c r="V143" s="83">
        <f t="shared" si="83"/>
        <v>-8.2999999999999949E-3</v>
      </c>
    </row>
    <row r="144" spans="1:22">
      <c r="A144" s="75">
        <v>121</v>
      </c>
      <c r="B144" s="143" t="s">
        <v>158</v>
      </c>
      <c r="C144" s="144" t="s">
        <v>101</v>
      </c>
      <c r="D144" s="2">
        <v>1412137473.6460843</v>
      </c>
      <c r="E144" s="3">
        <f t="shared" si="77"/>
        <v>2.9099231862677849E-2</v>
      </c>
      <c r="F144" s="4">
        <v>3.3203</v>
      </c>
      <c r="G144" s="4">
        <v>3.4016000000000002</v>
      </c>
      <c r="H144" s="60">
        <v>2753</v>
      </c>
      <c r="I144" s="5">
        <v>-0.33900000000000002</v>
      </c>
      <c r="J144" s="5">
        <v>0.21609999999999999</v>
      </c>
      <c r="K144" s="2">
        <v>1456089007.8859737</v>
      </c>
      <c r="L144" s="16">
        <f t="shared" si="78"/>
        <v>3.0728985168131707E-2</v>
      </c>
      <c r="M144" s="4">
        <v>3.4245000000000001</v>
      </c>
      <c r="N144" s="4">
        <v>3.5099</v>
      </c>
      <c r="O144" s="60">
        <v>2752</v>
      </c>
      <c r="P144" s="5">
        <v>2.53E-2</v>
      </c>
      <c r="Q144" s="5">
        <v>0.26029999999999998</v>
      </c>
      <c r="R144" s="81">
        <f t="shared" si="79"/>
        <v>3.1124118621686472E-2</v>
      </c>
      <c r="S144" s="81">
        <f t="shared" si="80"/>
        <v>3.1837958607713969E-2</v>
      </c>
      <c r="T144" s="81">
        <f t="shared" si="81"/>
        <v>-3.6324010170722849E-4</v>
      </c>
      <c r="U144" s="81">
        <f t="shared" si="82"/>
        <v>0.36430000000000001</v>
      </c>
      <c r="V144" s="83">
        <f t="shared" si="83"/>
        <v>4.4199999999999989E-2</v>
      </c>
    </row>
    <row r="145" spans="1:24">
      <c r="A145" s="75">
        <v>122</v>
      </c>
      <c r="B145" s="143" t="s">
        <v>159</v>
      </c>
      <c r="C145" s="144" t="s">
        <v>56</v>
      </c>
      <c r="D145" s="4">
        <v>3236272383.33287</v>
      </c>
      <c r="E145" s="3">
        <f t="shared" si="77"/>
        <v>6.6688295021470598E-2</v>
      </c>
      <c r="F145" s="4">
        <v>6061.1463750634703</v>
      </c>
      <c r="G145" s="4">
        <v>6103.0427517458802</v>
      </c>
      <c r="H145" s="60">
        <v>875</v>
      </c>
      <c r="I145" s="5">
        <v>-0.26467455201708323</v>
      </c>
      <c r="J145" s="5">
        <v>0.12540638745477614</v>
      </c>
      <c r="K145" s="4">
        <v>3194570690.2807202</v>
      </c>
      <c r="L145" s="16">
        <f t="shared" si="78"/>
        <v>6.7417523811066291E-2</v>
      </c>
      <c r="M145" s="4">
        <v>5986.0246897038796</v>
      </c>
      <c r="N145" s="4">
        <v>6026.3787387492903</v>
      </c>
      <c r="O145" s="60">
        <v>868</v>
      </c>
      <c r="P145" s="5">
        <v>-0.64802773837181105</v>
      </c>
      <c r="Q145" s="5">
        <v>8.6588939250373184E-2</v>
      </c>
      <c r="R145" s="81">
        <f t="shared" si="79"/>
        <v>-1.2885717922544997E-2</v>
      </c>
      <c r="S145" s="81">
        <f t="shared" si="80"/>
        <v>-1.2561605106675495E-2</v>
      </c>
      <c r="T145" s="81">
        <f t="shared" si="81"/>
        <v>-8.0000000000000002E-3</v>
      </c>
      <c r="U145" s="81">
        <f t="shared" si="82"/>
        <v>-0.38335318635472782</v>
      </c>
      <c r="V145" s="83">
        <f t="shared" si="83"/>
        <v>-3.8817448204402957E-2</v>
      </c>
    </row>
    <row r="146" spans="1:24">
      <c r="A146" s="75">
        <v>123</v>
      </c>
      <c r="B146" s="143" t="s">
        <v>160</v>
      </c>
      <c r="C146" s="144" t="s">
        <v>58</v>
      </c>
      <c r="D146" s="4">
        <v>650661371.32000005</v>
      </c>
      <c r="E146" s="3">
        <f t="shared" si="77"/>
        <v>1.340786322966305E-2</v>
      </c>
      <c r="F146" s="4">
        <v>159.47</v>
      </c>
      <c r="G146" s="4">
        <v>160.56</v>
      </c>
      <c r="H146" s="60">
        <v>672</v>
      </c>
      <c r="I146" s="5">
        <v>-1.46E-2</v>
      </c>
      <c r="J146" s="5">
        <v>4.4900000000000002E-2</v>
      </c>
      <c r="K146" s="4">
        <v>638144379.24000001</v>
      </c>
      <c r="L146" s="16">
        <f t="shared" si="78"/>
        <v>1.3467259939873261E-2</v>
      </c>
      <c r="M146" s="4">
        <v>156.33000000000001</v>
      </c>
      <c r="N146" s="4">
        <v>157.37</v>
      </c>
      <c r="O146" s="60">
        <v>672</v>
      </c>
      <c r="P146" s="5">
        <v>-1.9800000000000002E-2</v>
      </c>
      <c r="Q146" s="5">
        <v>2.6700000000000002E-2</v>
      </c>
      <c r="R146" s="81">
        <f t="shared" si="79"/>
        <v>-1.9237337010812178E-2</v>
      </c>
      <c r="S146" s="81">
        <f t="shared" si="80"/>
        <v>-1.986796213253611E-2</v>
      </c>
      <c r="T146" s="81">
        <f t="shared" si="81"/>
        <v>0</v>
      </c>
      <c r="U146" s="81">
        <f t="shared" si="82"/>
        <v>-5.2000000000000015E-3</v>
      </c>
      <c r="V146" s="83">
        <f t="shared" si="83"/>
        <v>-1.8200000000000001E-2</v>
      </c>
    </row>
    <row r="147" spans="1:24">
      <c r="A147" s="75">
        <v>124</v>
      </c>
      <c r="B147" s="143" t="s">
        <v>161</v>
      </c>
      <c r="C147" s="144" t="s">
        <v>60</v>
      </c>
      <c r="D147" s="4">
        <v>3734808.11</v>
      </c>
      <c r="E147" s="3">
        <f t="shared" si="77"/>
        <v>7.6961378891031028E-5</v>
      </c>
      <c r="F147" s="4">
        <v>102.747</v>
      </c>
      <c r="G147" s="4">
        <v>102.99</v>
      </c>
      <c r="H147" s="60">
        <v>0</v>
      </c>
      <c r="I147" s="5">
        <v>0</v>
      </c>
      <c r="J147" s="5">
        <v>0</v>
      </c>
      <c r="K147" s="4">
        <v>3734808.11</v>
      </c>
      <c r="L147" s="16">
        <f t="shared" si="78"/>
        <v>7.8818576609291594E-5</v>
      </c>
      <c r="M147" s="4">
        <v>102.747</v>
      </c>
      <c r="N147" s="4">
        <v>102.99</v>
      </c>
      <c r="O147" s="60">
        <v>0</v>
      </c>
      <c r="P147" s="5">
        <v>0</v>
      </c>
      <c r="Q147" s="5">
        <v>0</v>
      </c>
      <c r="R147" s="81">
        <f t="shared" si="79"/>
        <v>0</v>
      </c>
      <c r="S147" s="81">
        <f t="shared" si="80"/>
        <v>0</v>
      </c>
      <c r="T147" s="81" t="e">
        <f t="shared" si="81"/>
        <v>#DIV/0!</v>
      </c>
      <c r="U147" s="81">
        <f t="shared" si="82"/>
        <v>0</v>
      </c>
      <c r="V147" s="83">
        <f t="shared" si="83"/>
        <v>0</v>
      </c>
    </row>
    <row r="148" spans="1:24">
      <c r="A148" s="75">
        <v>125</v>
      </c>
      <c r="B148" s="143" t="s">
        <v>162</v>
      </c>
      <c r="C148" s="144" t="s">
        <v>105</v>
      </c>
      <c r="D148" s="4">
        <v>182308713.46000001</v>
      </c>
      <c r="E148" s="3">
        <f t="shared" si="77"/>
        <v>3.7567472165876462E-3</v>
      </c>
      <c r="F148" s="4">
        <v>1.5488999999999999</v>
      </c>
      <c r="G148" s="4">
        <v>1.526</v>
      </c>
      <c r="H148" s="60">
        <v>303</v>
      </c>
      <c r="I148" s="5">
        <v>-1.4784685906126915E-2</v>
      </c>
      <c r="J148" s="5">
        <v>2.7401871675755807E-2</v>
      </c>
      <c r="K148" s="4">
        <v>183570878.66</v>
      </c>
      <c r="L148" s="16">
        <f t="shared" si="78"/>
        <v>3.8740398266132558E-3</v>
      </c>
      <c r="M148" s="4">
        <v>1.4032</v>
      </c>
      <c r="N148" s="4">
        <v>1.4145000000000001</v>
      </c>
      <c r="O148" s="60">
        <v>303</v>
      </c>
      <c r="P148" s="5">
        <v>-5.5300000000000002E-2</v>
      </c>
      <c r="Q148" s="5">
        <v>-8.0500000000000002E-2</v>
      </c>
      <c r="R148" s="81">
        <f t="shared" si="79"/>
        <v>6.9232302507412366E-3</v>
      </c>
      <c r="S148" s="81">
        <f t="shared" si="80"/>
        <v>-7.3066841415465225E-2</v>
      </c>
      <c r="T148" s="81">
        <f t="shared" si="81"/>
        <v>0</v>
      </c>
      <c r="U148" s="81">
        <f t="shared" si="82"/>
        <v>-4.0515314093873087E-2</v>
      </c>
      <c r="V148" s="83">
        <f t="shared" si="83"/>
        <v>-0.10790187167575581</v>
      </c>
    </row>
    <row r="149" spans="1:24">
      <c r="A149" s="75">
        <v>126</v>
      </c>
      <c r="B149" s="143" t="s">
        <v>163</v>
      </c>
      <c r="C149" s="144" t="s">
        <v>25</v>
      </c>
      <c r="D149" s="9">
        <v>136426384.36000001</v>
      </c>
      <c r="E149" s="3">
        <f t="shared" si="77"/>
        <v>2.8112723192794476E-3</v>
      </c>
      <c r="F149" s="4">
        <v>142.6961</v>
      </c>
      <c r="G149" s="4">
        <v>143.1961</v>
      </c>
      <c r="H149" s="60">
        <v>104</v>
      </c>
      <c r="I149" s="5">
        <v>1.2673E-2</v>
      </c>
      <c r="J149" s="5">
        <v>0.30980000000000002</v>
      </c>
      <c r="K149" s="9">
        <v>136393235.68000001</v>
      </c>
      <c r="L149" s="16">
        <f t="shared" si="78"/>
        <v>2.878413128280704E-3</v>
      </c>
      <c r="M149" s="4">
        <v>151.8486</v>
      </c>
      <c r="N149" s="4">
        <v>152.35400000000001</v>
      </c>
      <c r="O149" s="60">
        <v>104</v>
      </c>
      <c r="P149" s="5">
        <v>1.005E-3</v>
      </c>
      <c r="Q149" s="5">
        <v>0.29980000000000001</v>
      </c>
      <c r="R149" s="81">
        <f t="shared" si="79"/>
        <v>-2.4297851295783729E-4</v>
      </c>
      <c r="S149" s="81">
        <f t="shared" si="80"/>
        <v>6.3953557394370461E-2</v>
      </c>
      <c r="T149" s="81">
        <f t="shared" si="81"/>
        <v>0</v>
      </c>
      <c r="U149" s="81">
        <f t="shared" si="82"/>
        <v>-1.1668E-2</v>
      </c>
      <c r="V149" s="83">
        <f t="shared" si="83"/>
        <v>-1.0000000000000009E-2</v>
      </c>
    </row>
    <row r="150" spans="1:24">
      <c r="A150" s="75">
        <v>127</v>
      </c>
      <c r="B150" s="143" t="s">
        <v>164</v>
      </c>
      <c r="C150" s="144" t="s">
        <v>64</v>
      </c>
      <c r="D150" s="9">
        <v>200704374.16999999</v>
      </c>
      <c r="E150" s="3">
        <f t="shared" si="77"/>
        <v>4.1358176727276704E-3</v>
      </c>
      <c r="F150" s="4">
        <v>112.17</v>
      </c>
      <c r="G150" s="4">
        <v>113.02</v>
      </c>
      <c r="H150" s="60">
        <v>28</v>
      </c>
      <c r="I150" s="5">
        <v>3.8E-3</v>
      </c>
      <c r="J150" s="5">
        <v>8.3900000000000002E-2</v>
      </c>
      <c r="K150" s="9">
        <v>201650008.69</v>
      </c>
      <c r="L150" s="16">
        <f t="shared" si="78"/>
        <v>4.2555778476653996E-3</v>
      </c>
      <c r="M150" s="4">
        <v>112.61</v>
      </c>
      <c r="N150" s="4">
        <v>113.55</v>
      </c>
      <c r="O150" s="60">
        <v>28</v>
      </c>
      <c r="P150" s="5">
        <v>4.7000000000000002E-3</v>
      </c>
      <c r="Q150" s="5">
        <v>8.8599999999999998E-2</v>
      </c>
      <c r="R150" s="81">
        <f t="shared" si="79"/>
        <v>4.711579027166804E-3</v>
      </c>
      <c r="S150" s="81">
        <f t="shared" si="80"/>
        <v>4.6894354981419318E-3</v>
      </c>
      <c r="T150" s="81">
        <f t="shared" si="81"/>
        <v>0</v>
      </c>
      <c r="U150" s="81">
        <f t="shared" si="82"/>
        <v>9.0000000000000019E-4</v>
      </c>
      <c r="V150" s="83">
        <f t="shared" si="83"/>
        <v>4.6999999999999958E-3</v>
      </c>
    </row>
    <row r="151" spans="1:24" ht="15.75" customHeight="1">
      <c r="A151" s="75">
        <v>128</v>
      </c>
      <c r="B151" s="143" t="s">
        <v>165</v>
      </c>
      <c r="C151" s="144" t="s">
        <v>67</v>
      </c>
      <c r="D151" s="2">
        <v>325631992.76999998</v>
      </c>
      <c r="E151" s="3">
        <f t="shared" si="77"/>
        <v>6.7101405042770575E-3</v>
      </c>
      <c r="F151" s="4">
        <v>1.3828</v>
      </c>
      <c r="G151" s="4">
        <v>1.3828</v>
      </c>
      <c r="H151" s="60">
        <v>107</v>
      </c>
      <c r="I151" s="5">
        <v>2.3921710764770428E-3</v>
      </c>
      <c r="J151" s="5">
        <v>6.0754832770788532E-2</v>
      </c>
      <c r="K151" s="2">
        <v>325000078.76999998</v>
      </c>
      <c r="L151" s="16">
        <f t="shared" si="78"/>
        <v>6.8587308509831437E-3</v>
      </c>
      <c r="M151" s="4">
        <v>1.2524</v>
      </c>
      <c r="N151" s="4">
        <v>1.2524</v>
      </c>
      <c r="O151" s="60">
        <v>107</v>
      </c>
      <c r="P151" s="5">
        <v>-2.8926815157647958E-4</v>
      </c>
      <c r="Q151" s="5">
        <v>6.0447990181037109E-2</v>
      </c>
      <c r="R151" s="81">
        <f t="shared" si="79"/>
        <v>-1.9405771362469681E-3</v>
      </c>
      <c r="S151" s="81">
        <f t="shared" si="80"/>
        <v>-9.4301417413942781E-2</v>
      </c>
      <c r="T151" s="81">
        <f t="shared" si="81"/>
        <v>0</v>
      </c>
      <c r="U151" s="81">
        <f t="shared" si="82"/>
        <v>-2.6814392280535226E-3</v>
      </c>
      <c r="V151" s="83">
        <f t="shared" si="83"/>
        <v>-3.0684258975142292E-4</v>
      </c>
      <c r="X151" s="105"/>
    </row>
    <row r="152" spans="1:24">
      <c r="A152" s="75">
        <v>129</v>
      </c>
      <c r="B152" s="143" t="s">
        <v>166</v>
      </c>
      <c r="C152" s="144" t="s">
        <v>27</v>
      </c>
      <c r="D152" s="4">
        <v>8154264480.9799995</v>
      </c>
      <c r="E152" s="3">
        <f t="shared" si="77"/>
        <v>0.16803097235921396</v>
      </c>
      <c r="F152" s="4">
        <v>297.77</v>
      </c>
      <c r="G152" s="4">
        <v>299.64999999999998</v>
      </c>
      <c r="H152" s="60">
        <v>5496</v>
      </c>
      <c r="I152" s="5">
        <v>-6.1999999999999998E-3</v>
      </c>
      <c r="J152" s="5">
        <v>0.1011</v>
      </c>
      <c r="K152" s="4">
        <v>8136688502.6700001</v>
      </c>
      <c r="L152" s="16">
        <f t="shared" si="78"/>
        <v>0.17171490132959938</v>
      </c>
      <c r="M152" s="4">
        <v>297.41000000000003</v>
      </c>
      <c r="N152" s="4">
        <v>299.29000000000002</v>
      </c>
      <c r="O152" s="60">
        <v>5495</v>
      </c>
      <c r="P152" s="5">
        <v>-1.1999999999999999E-3</v>
      </c>
      <c r="Q152" s="5">
        <v>9.98E-2</v>
      </c>
      <c r="R152" s="81">
        <f t="shared" si="79"/>
        <v>-2.1554339267503306E-3</v>
      </c>
      <c r="S152" s="81">
        <f t="shared" si="80"/>
        <v>-1.2014016352409704E-3</v>
      </c>
      <c r="T152" s="81">
        <f t="shared" si="81"/>
        <v>-1.819505094614265E-4</v>
      </c>
      <c r="U152" s="81">
        <f t="shared" si="82"/>
        <v>5.0000000000000001E-3</v>
      </c>
      <c r="V152" s="83">
        <f t="shared" si="83"/>
        <v>-1.2999999999999956E-3</v>
      </c>
    </row>
    <row r="153" spans="1:24">
      <c r="A153" s="75">
        <v>130</v>
      </c>
      <c r="B153" s="143" t="s">
        <v>167</v>
      </c>
      <c r="C153" s="144" t="s">
        <v>72</v>
      </c>
      <c r="D153" s="4">
        <v>2633886834.3200002</v>
      </c>
      <c r="E153" s="3">
        <f t="shared" si="77"/>
        <v>5.427522824250261E-2</v>
      </c>
      <c r="F153" s="4">
        <v>1.8452999999999999</v>
      </c>
      <c r="G153" s="4">
        <v>1.8748</v>
      </c>
      <c r="H153" s="60">
        <v>10312</v>
      </c>
      <c r="I153" s="5">
        <v>-1.66E-2</v>
      </c>
      <c r="J153" s="5">
        <v>5.7299999999999997E-2</v>
      </c>
      <c r="K153" s="4">
        <v>2740757077.8099999</v>
      </c>
      <c r="L153" s="16">
        <f t="shared" si="78"/>
        <v>5.7840340210899253E-2</v>
      </c>
      <c r="M153" s="4">
        <v>1.8405</v>
      </c>
      <c r="N153" s="4">
        <v>1.8697999999999999</v>
      </c>
      <c r="O153" s="60">
        <v>10312</v>
      </c>
      <c r="P153" s="5">
        <v>-2.7000000000000001E-3</v>
      </c>
      <c r="Q153" s="5">
        <v>5.45E-2</v>
      </c>
      <c r="R153" s="81">
        <f t="shared" si="79"/>
        <v>4.0575108276279012E-2</v>
      </c>
      <c r="S153" s="81">
        <f t="shared" si="80"/>
        <v>-2.66695114145515E-3</v>
      </c>
      <c r="T153" s="81">
        <f t="shared" si="81"/>
        <v>0</v>
      </c>
      <c r="U153" s="81">
        <f t="shared" si="82"/>
        <v>1.3899999999999999E-2</v>
      </c>
      <c r="V153" s="83">
        <f t="shared" si="83"/>
        <v>-2.7999999999999969E-3</v>
      </c>
    </row>
    <row r="154" spans="1:24">
      <c r="A154" s="75">
        <v>131</v>
      </c>
      <c r="B154" s="143" t="s">
        <v>168</v>
      </c>
      <c r="C154" s="144" t="s">
        <v>74</v>
      </c>
      <c r="D154" s="4">
        <v>180730809.87022704</v>
      </c>
      <c r="E154" s="3">
        <f t="shared" si="77"/>
        <v>3.7242321227864725E-3</v>
      </c>
      <c r="F154" s="4">
        <v>235.15661345993192</v>
      </c>
      <c r="G154" s="4">
        <v>241.66978958684601</v>
      </c>
      <c r="H154" s="60">
        <v>183</v>
      </c>
      <c r="I154" s="5">
        <v>-4.1038077943397644E-2</v>
      </c>
      <c r="J154" s="5">
        <v>-3.7111565555925319E-2</v>
      </c>
      <c r="K154" s="4">
        <v>176480342.24956572</v>
      </c>
      <c r="L154" s="16">
        <f t="shared" si="78"/>
        <v>3.7244026911014165E-3</v>
      </c>
      <c r="M154" s="4">
        <v>229.62614761399499</v>
      </c>
      <c r="N154" s="4">
        <v>236.277066872425</v>
      </c>
      <c r="O154" s="60">
        <v>183</v>
      </c>
      <c r="P154" s="5">
        <v>-2.351822372573531E-2</v>
      </c>
      <c r="Q154" s="5">
        <v>-2.351822372573531E-2</v>
      </c>
      <c r="R154" s="81">
        <f t="shared" si="79"/>
        <v>-2.3518223725735241E-2</v>
      </c>
      <c r="S154" s="81">
        <f t="shared" si="80"/>
        <v>-2.2314426323787953E-2</v>
      </c>
      <c r="T154" s="81">
        <f t="shared" si="81"/>
        <v>0</v>
      </c>
      <c r="U154" s="81">
        <f t="shared" si="82"/>
        <v>1.7519854217662334E-2</v>
      </c>
      <c r="V154" s="83">
        <f t="shared" si="83"/>
        <v>1.3593341830190009E-2</v>
      </c>
    </row>
    <row r="155" spans="1:24" ht="13.5" customHeight="1">
      <c r="A155" s="75">
        <v>132</v>
      </c>
      <c r="B155" s="143" t="s">
        <v>240</v>
      </c>
      <c r="C155" s="144" t="s">
        <v>32</v>
      </c>
      <c r="D155" s="2">
        <v>2549281194.4348998</v>
      </c>
      <c r="E155" s="3">
        <f t="shared" si="77"/>
        <v>5.253180086531526E-2</v>
      </c>
      <c r="F155" s="4">
        <v>3.5455999999999999</v>
      </c>
      <c r="G155" s="4">
        <v>3.6061000000000001</v>
      </c>
      <c r="H155" s="60">
        <v>2313</v>
      </c>
      <c r="I155" s="5">
        <v>-6.5286222645634107E-3</v>
      </c>
      <c r="J155" s="5">
        <v>-2.5211008165397453E-2</v>
      </c>
      <c r="K155" s="2">
        <v>2603583772.2825999</v>
      </c>
      <c r="L155" s="16">
        <f t="shared" si="78"/>
        <v>5.4945464658521508E-2</v>
      </c>
      <c r="M155" s="4">
        <v>3.6314000000000002</v>
      </c>
      <c r="N155" s="4">
        <v>3.6919</v>
      </c>
      <c r="O155" s="60">
        <v>2313</v>
      </c>
      <c r="P155" s="5">
        <v>2.4199007220216728E-2</v>
      </c>
      <c r="Q155" s="5">
        <v>-1.6220823138042295E-3</v>
      </c>
      <c r="R155" s="81">
        <f t="shared" si="79"/>
        <v>2.1301133027711128E-2</v>
      </c>
      <c r="S155" s="81">
        <f t="shared" si="80"/>
        <v>2.379301738720498E-2</v>
      </c>
      <c r="T155" s="81">
        <f t="shared" si="81"/>
        <v>0</v>
      </c>
      <c r="U155" s="81">
        <f t="shared" si="82"/>
        <v>3.0727629484780139E-2</v>
      </c>
      <c r="V155" s="83">
        <f>Q155-J155</f>
        <v>2.3588925851593223E-2</v>
      </c>
    </row>
    <row r="156" spans="1:24">
      <c r="A156" s="75">
        <v>133</v>
      </c>
      <c r="B156" s="143" t="s">
        <v>169</v>
      </c>
      <c r="C156" s="144" t="s">
        <v>114</v>
      </c>
      <c r="D156" s="2">
        <v>216933959.69999999</v>
      </c>
      <c r="E156" s="3">
        <f t="shared" si="77"/>
        <v>4.4702528684407708E-3</v>
      </c>
      <c r="F156" s="4">
        <v>184.12455</v>
      </c>
      <c r="G156" s="4">
        <v>186.955232</v>
      </c>
      <c r="H156" s="60">
        <v>139</v>
      </c>
      <c r="I156" s="5">
        <v>-2.9999999999999997E-4</v>
      </c>
      <c r="J156" s="5">
        <v>5.16E-2</v>
      </c>
      <c r="K156" s="2">
        <v>220762013.77000001</v>
      </c>
      <c r="L156" s="16">
        <f t="shared" si="78"/>
        <v>4.6589134387287788E-3</v>
      </c>
      <c r="M156" s="4">
        <v>187.37364400000001</v>
      </c>
      <c r="N156" s="4">
        <v>190.29176200000001</v>
      </c>
      <c r="O156" s="60">
        <v>139</v>
      </c>
      <c r="P156" s="5">
        <v>1.44E-2</v>
      </c>
      <c r="Q156" s="5">
        <v>2.8000000000000001E-2</v>
      </c>
      <c r="R156" s="81">
        <f t="shared" si="79"/>
        <v>1.764617248168002E-2</v>
      </c>
      <c r="S156" s="81">
        <f t="shared" si="80"/>
        <v>1.7846678931135826E-2</v>
      </c>
      <c r="T156" s="81">
        <f t="shared" si="81"/>
        <v>0</v>
      </c>
      <c r="U156" s="81">
        <f t="shared" si="82"/>
        <v>1.47E-2</v>
      </c>
      <c r="V156" s="83">
        <f t="shared" si="83"/>
        <v>-2.3599999999999999E-2</v>
      </c>
    </row>
    <row r="157" spans="1:24">
      <c r="A157" s="75">
        <v>134</v>
      </c>
      <c r="B157" s="143" t="s">
        <v>170</v>
      </c>
      <c r="C157" s="144" t="s">
        <v>29</v>
      </c>
      <c r="D157" s="2">
        <v>1612105159.3800001</v>
      </c>
      <c r="E157" s="3">
        <f t="shared" si="77"/>
        <v>3.3219868954185744E-2</v>
      </c>
      <c r="F157" s="4">
        <v>552.22</v>
      </c>
      <c r="G157" s="4">
        <v>552.22</v>
      </c>
      <c r="H157" s="60">
        <v>823</v>
      </c>
      <c r="I157" s="5">
        <v>-1.3979999999999999E-2</v>
      </c>
      <c r="J157" s="5">
        <v>3.1220000000000001E-2</v>
      </c>
      <c r="K157" s="2">
        <v>1619132293.1500001</v>
      </c>
      <c r="L157" s="16">
        <f t="shared" ref="L157:L165" si="84">(K157/$K$166)</f>
        <v>3.4169815136291234E-2</v>
      </c>
      <c r="M157" s="4">
        <v>552.22</v>
      </c>
      <c r="N157" s="4">
        <v>552.22</v>
      </c>
      <c r="O157" s="60">
        <v>823</v>
      </c>
      <c r="P157" s="5">
        <v>4.3499999999999997E-3</v>
      </c>
      <c r="Q157" s="5">
        <v>3.5720000000000002E-2</v>
      </c>
      <c r="R157" s="81">
        <f t="shared" si="79"/>
        <v>4.3589797657508566E-3</v>
      </c>
      <c r="S157" s="81">
        <f t="shared" si="80"/>
        <v>0</v>
      </c>
      <c r="T157" s="81">
        <f t="shared" si="81"/>
        <v>0</v>
      </c>
      <c r="U157" s="81">
        <f t="shared" si="82"/>
        <v>1.8329999999999999E-2</v>
      </c>
      <c r="V157" s="83">
        <f t="shared" si="83"/>
        <v>4.5000000000000005E-3</v>
      </c>
    </row>
    <row r="158" spans="1:24">
      <c r="A158" s="75">
        <v>135</v>
      </c>
      <c r="B158" s="143" t="s">
        <v>171</v>
      </c>
      <c r="C158" s="144" t="s">
        <v>80</v>
      </c>
      <c r="D158" s="4">
        <v>24720356.93</v>
      </c>
      <c r="E158" s="3">
        <f t="shared" si="77"/>
        <v>5.0940040290617622E-4</v>
      </c>
      <c r="F158" s="4">
        <v>1.58</v>
      </c>
      <c r="G158" s="4">
        <v>1.58</v>
      </c>
      <c r="H158" s="60">
        <v>7</v>
      </c>
      <c r="I158" s="5">
        <v>-2.0514000000000001E-2</v>
      </c>
      <c r="J158" s="122">
        <v>-2.9433999999999998E-2</v>
      </c>
      <c r="K158" s="4">
        <v>24392542.920000002</v>
      </c>
      <c r="L158" s="16">
        <f t="shared" si="84"/>
        <v>5.1477491110927609E-4</v>
      </c>
      <c r="M158" s="4">
        <v>1.56</v>
      </c>
      <c r="N158" s="4">
        <v>1.56</v>
      </c>
      <c r="O158" s="60">
        <v>7</v>
      </c>
      <c r="P158" s="5">
        <v>-1.3261E-2</v>
      </c>
      <c r="Q158" s="122">
        <v>-4.2305000000000002E-2</v>
      </c>
      <c r="R158" s="81">
        <f t="shared" si="79"/>
        <v>-1.3260893074006189E-2</v>
      </c>
      <c r="S158" s="81">
        <f t="shared" si="80"/>
        <v>-1.2658227848101276E-2</v>
      </c>
      <c r="T158" s="81">
        <f t="shared" si="81"/>
        <v>0</v>
      </c>
      <c r="U158" s="81">
        <f t="shared" si="82"/>
        <v>7.2530000000000008E-3</v>
      </c>
      <c r="V158" s="83">
        <f t="shared" si="83"/>
        <v>-1.2871000000000004E-2</v>
      </c>
    </row>
    <row r="159" spans="1:24">
      <c r="A159" s="75">
        <v>136</v>
      </c>
      <c r="B159" s="143" t="s">
        <v>172</v>
      </c>
      <c r="C159" s="144" t="s">
        <v>38</v>
      </c>
      <c r="D159" s="4">
        <v>238805993.59</v>
      </c>
      <c r="E159" s="3">
        <f t="shared" si="77"/>
        <v>4.9209592602413831E-3</v>
      </c>
      <c r="F159" s="4">
        <v>2.4184510000000001</v>
      </c>
      <c r="G159" s="4">
        <v>2.457122</v>
      </c>
      <c r="H159" s="60">
        <v>116</v>
      </c>
      <c r="I159" s="5">
        <v>0.62039999999999995</v>
      </c>
      <c r="J159" s="5">
        <v>0.04</v>
      </c>
      <c r="K159" s="4">
        <v>253404082.18000001</v>
      </c>
      <c r="L159" s="16">
        <f t="shared" si="84"/>
        <v>5.3477845383632181E-3</v>
      </c>
      <c r="M159" s="4">
        <v>2.5664669999999998</v>
      </c>
      <c r="N159" s="4">
        <v>2.6060319999999999</v>
      </c>
      <c r="O159" s="60">
        <v>116</v>
      </c>
      <c r="P159" s="5">
        <v>7.0900000000000005E-2</v>
      </c>
      <c r="Q159" s="5">
        <v>0.1033</v>
      </c>
      <c r="R159" s="81">
        <f t="shared" si="79"/>
        <v>6.1129489970268895E-2</v>
      </c>
      <c r="S159" s="81">
        <f t="shared" si="80"/>
        <v>6.0603421401135095E-2</v>
      </c>
      <c r="T159" s="81">
        <f t="shared" si="81"/>
        <v>0</v>
      </c>
      <c r="U159" s="81">
        <f t="shared" si="82"/>
        <v>-0.54949999999999999</v>
      </c>
      <c r="V159" s="83">
        <f t="shared" si="83"/>
        <v>6.3299999999999995E-2</v>
      </c>
    </row>
    <row r="160" spans="1:24">
      <c r="A160" s="75">
        <v>137</v>
      </c>
      <c r="B160" s="143" t="s">
        <v>173</v>
      </c>
      <c r="C160" s="144" t="s">
        <v>42</v>
      </c>
      <c r="D160" s="2">
        <v>2578447308.46</v>
      </c>
      <c r="E160" s="3">
        <f t="shared" si="77"/>
        <v>5.3132812827952548E-2</v>
      </c>
      <c r="F160" s="4">
        <v>5234.6000000000004</v>
      </c>
      <c r="G160" s="4">
        <v>5286.45</v>
      </c>
      <c r="H160" s="60">
        <v>2241</v>
      </c>
      <c r="I160" s="5">
        <v>-2.01E-2</v>
      </c>
      <c r="J160" s="5">
        <v>5.28E-2</v>
      </c>
      <c r="K160" s="2">
        <v>2537266355.0500002</v>
      </c>
      <c r="L160" s="3">
        <f t="shared" si="84"/>
        <v>5.3545916334557409E-2</v>
      </c>
      <c r="M160" s="4">
        <v>5163.1099999999997</v>
      </c>
      <c r="N160" s="4">
        <v>5213.63</v>
      </c>
      <c r="O160" s="60">
        <v>2239</v>
      </c>
      <c r="P160" s="5">
        <v>-1.38E-2</v>
      </c>
      <c r="Q160" s="5">
        <v>3.8300000000000001E-2</v>
      </c>
      <c r="R160" s="81">
        <f t="shared" si="79"/>
        <v>-1.597122162430208E-2</v>
      </c>
      <c r="S160" s="81">
        <f t="shared" si="80"/>
        <v>-1.377483944802272E-2</v>
      </c>
      <c r="T160" s="81">
        <f t="shared" si="81"/>
        <v>-8.9245872378402495E-4</v>
      </c>
      <c r="U160" s="81">
        <f t="shared" si="82"/>
        <v>6.3E-3</v>
      </c>
      <c r="V160" s="83">
        <f t="shared" si="83"/>
        <v>-1.4499999999999999E-2</v>
      </c>
    </row>
    <row r="161" spans="1:22">
      <c r="A161" s="75">
        <v>138</v>
      </c>
      <c r="B161" s="143" t="s">
        <v>256</v>
      </c>
      <c r="C161" s="143" t="s">
        <v>257</v>
      </c>
      <c r="D161" s="2">
        <v>639643747.82000005</v>
      </c>
      <c r="E161" s="3">
        <f t="shared" si="77"/>
        <v>1.3180828407072867E-2</v>
      </c>
      <c r="F161" s="4">
        <v>1.228</v>
      </c>
      <c r="G161" s="4">
        <v>1.228</v>
      </c>
      <c r="H161" s="60">
        <v>35</v>
      </c>
      <c r="I161" s="5">
        <v>3.3E-3</v>
      </c>
      <c r="J161" s="5">
        <v>8.4400000000000003E-2</v>
      </c>
      <c r="K161" s="2">
        <v>607826696.72000003</v>
      </c>
      <c r="L161" s="3">
        <f t="shared" si="84"/>
        <v>1.2827442173621598E-2</v>
      </c>
      <c r="M161" s="4">
        <v>1.1659999999999999</v>
      </c>
      <c r="N161" s="4">
        <v>1.1659999999999999</v>
      </c>
      <c r="O161" s="60">
        <v>36</v>
      </c>
      <c r="P161" s="5">
        <v>-5.3199999999999997E-2</v>
      </c>
      <c r="Q161" s="5">
        <v>3.0499999999999999E-2</v>
      </c>
      <c r="R161" s="81">
        <f>((K161-D161)/D161)</f>
        <v>-4.9741830836988889E-2</v>
      </c>
      <c r="S161" s="81">
        <f>((N161-G161)/G161)</f>
        <v>-5.0488599348534245E-2</v>
      </c>
      <c r="T161" s="81">
        <f>((O161-H161)/H161)</f>
        <v>2.8571428571428571E-2</v>
      </c>
      <c r="U161" s="81">
        <f>P161-I161</f>
        <v>-5.6499999999999995E-2</v>
      </c>
      <c r="V161" s="83">
        <f>Q161-J161</f>
        <v>-5.3900000000000003E-2</v>
      </c>
    </row>
    <row r="162" spans="1:22">
      <c r="A162" s="75">
        <v>139</v>
      </c>
      <c r="B162" s="143" t="s">
        <v>174</v>
      </c>
      <c r="C162" s="144" t="s">
        <v>45</v>
      </c>
      <c r="D162" s="4">
        <v>1634885642.3900001</v>
      </c>
      <c r="E162" s="3">
        <f t="shared" si="77"/>
        <v>3.3689295316294963E-2</v>
      </c>
      <c r="F162" s="4">
        <v>1.8310999999999999</v>
      </c>
      <c r="G162" s="4">
        <v>1.841</v>
      </c>
      <c r="H162" s="60">
        <v>2066</v>
      </c>
      <c r="I162" s="5">
        <v>-2.2499999999999999E-2</v>
      </c>
      <c r="J162" s="5">
        <v>-9.7999999999999997E-3</v>
      </c>
      <c r="K162" s="4">
        <v>1627106803.6199999</v>
      </c>
      <c r="L162" s="16">
        <f t="shared" si="84"/>
        <v>3.433810746775489E-2</v>
      </c>
      <c r="M162" s="4">
        <v>1.8369</v>
      </c>
      <c r="N162" s="4">
        <v>1.8469</v>
      </c>
      <c r="O162" s="60">
        <v>2068</v>
      </c>
      <c r="P162" s="5">
        <v>3.2000000000000002E-3</v>
      </c>
      <c r="Q162" s="5">
        <v>-6.8999999999999999E-3</v>
      </c>
      <c r="R162" s="81">
        <f t="shared" si="79"/>
        <v>-4.7580323469160338E-3</v>
      </c>
      <c r="S162" s="81">
        <f t="shared" si="80"/>
        <v>3.2047800108636702E-3</v>
      </c>
      <c r="T162" s="81">
        <f t="shared" si="81"/>
        <v>9.6805421103581804E-4</v>
      </c>
      <c r="U162" s="81">
        <f t="shared" si="82"/>
        <v>2.5700000000000001E-2</v>
      </c>
      <c r="V162" s="83">
        <f t="shared" si="83"/>
        <v>2.8999999999999998E-3</v>
      </c>
    </row>
    <row r="163" spans="1:22">
      <c r="A163" s="75">
        <v>140</v>
      </c>
      <c r="B163" s="143" t="s">
        <v>175</v>
      </c>
      <c r="C163" s="144" t="s">
        <v>45</v>
      </c>
      <c r="D163" s="4">
        <v>1037313881.87</v>
      </c>
      <c r="E163" s="3">
        <f t="shared" si="77"/>
        <v>2.137542394153237E-2</v>
      </c>
      <c r="F163" s="4">
        <v>1.6049</v>
      </c>
      <c r="G163" s="4">
        <v>1.6138999999999999</v>
      </c>
      <c r="H163" s="60">
        <v>662</v>
      </c>
      <c r="I163" s="5">
        <v>-7.1999999999999998E-3</v>
      </c>
      <c r="J163" s="5">
        <v>0.12809999999999999</v>
      </c>
      <c r="K163" s="4">
        <v>1021987407.36</v>
      </c>
      <c r="L163" s="16">
        <f t="shared" si="84"/>
        <v>2.1567799573171498E-2</v>
      </c>
      <c r="M163" s="4">
        <v>1.5838000000000001</v>
      </c>
      <c r="N163" s="4">
        <v>1.5928</v>
      </c>
      <c r="O163" s="60">
        <v>659</v>
      </c>
      <c r="P163" s="5">
        <v>-1.32E-2</v>
      </c>
      <c r="Q163" s="5">
        <v>0.1129</v>
      </c>
      <c r="R163" s="81">
        <f t="shared" si="79"/>
        <v>-1.4775156081368977E-2</v>
      </c>
      <c r="S163" s="81">
        <f t="shared" si="80"/>
        <v>-1.307392031724388E-2</v>
      </c>
      <c r="T163" s="81">
        <f t="shared" si="81"/>
        <v>-4.5317220543806651E-3</v>
      </c>
      <c r="U163" s="81">
        <f t="shared" si="82"/>
        <v>-6.0000000000000001E-3</v>
      </c>
      <c r="V163" s="83">
        <f t="shared" si="83"/>
        <v>-1.5199999999999991E-2</v>
      </c>
    </row>
    <row r="164" spans="1:22">
      <c r="A164" s="75">
        <v>141</v>
      </c>
      <c r="B164" s="143" t="s">
        <v>176</v>
      </c>
      <c r="C164" s="144" t="s">
        <v>87</v>
      </c>
      <c r="D164" s="2">
        <v>9012800401.6000004</v>
      </c>
      <c r="E164" s="3">
        <f t="shared" si="77"/>
        <v>0.18572240558211014</v>
      </c>
      <c r="F164" s="4">
        <v>432.61</v>
      </c>
      <c r="G164" s="4">
        <v>437.09</v>
      </c>
      <c r="H164" s="60">
        <v>32</v>
      </c>
      <c r="I164" s="5">
        <v>-1.8689999999999998E-2</v>
      </c>
      <c r="J164" s="5">
        <v>0.23860000000000001</v>
      </c>
      <c r="K164" s="2">
        <v>7877496458.8400002</v>
      </c>
      <c r="L164" s="16">
        <f t="shared" si="84"/>
        <v>0.16624496890966209</v>
      </c>
      <c r="M164" s="4">
        <v>428.2</v>
      </c>
      <c r="N164" s="4">
        <v>432.54</v>
      </c>
      <c r="O164" s="60">
        <v>32</v>
      </c>
      <c r="P164" s="5">
        <v>-1.035E-2</v>
      </c>
      <c r="Q164" s="5">
        <v>0.22578999999999999</v>
      </c>
      <c r="R164" s="81">
        <f t="shared" si="79"/>
        <v>-0.12596572565375519</v>
      </c>
      <c r="S164" s="81">
        <f t="shared" si="80"/>
        <v>-1.0409755427943798E-2</v>
      </c>
      <c r="T164" s="81">
        <f t="shared" si="81"/>
        <v>0</v>
      </c>
      <c r="U164" s="81">
        <f t="shared" si="82"/>
        <v>8.3399999999999985E-3</v>
      </c>
      <c r="V164" s="83">
        <f t="shared" si="83"/>
        <v>-1.2810000000000016E-2</v>
      </c>
    </row>
    <row r="165" spans="1:22">
      <c r="A165" s="75">
        <v>142</v>
      </c>
      <c r="B165" s="143" t="s">
        <v>177</v>
      </c>
      <c r="C165" s="144" t="s">
        <v>40</v>
      </c>
      <c r="D165" s="2">
        <v>420168609.17000002</v>
      </c>
      <c r="E165" s="3">
        <f t="shared" si="77"/>
        <v>8.6582106967872854E-3</v>
      </c>
      <c r="F165" s="4">
        <v>218.49</v>
      </c>
      <c r="G165" s="4">
        <v>221.21</v>
      </c>
      <c r="H165" s="60">
        <v>690</v>
      </c>
      <c r="I165" s="5">
        <v>-1.54E-2</v>
      </c>
      <c r="J165" s="5">
        <v>0.1323</v>
      </c>
      <c r="K165" s="2">
        <v>420131005.26999998</v>
      </c>
      <c r="L165" s="16">
        <f t="shared" si="84"/>
        <v>8.8663531966069829E-3</v>
      </c>
      <c r="M165" s="4">
        <v>218.48</v>
      </c>
      <c r="N165" s="4">
        <v>221.19</v>
      </c>
      <c r="O165" s="60">
        <v>690</v>
      </c>
      <c r="P165" s="5">
        <v>-1.9E-3</v>
      </c>
      <c r="Q165" s="5">
        <v>0.13220000000000001</v>
      </c>
      <c r="R165" s="81">
        <f t="shared" si="79"/>
        <v>-8.9497166564438051E-5</v>
      </c>
      <c r="S165" s="81">
        <f t="shared" si="80"/>
        <v>-9.0411825866869628E-5</v>
      </c>
      <c r="T165" s="81">
        <f t="shared" si="81"/>
        <v>0</v>
      </c>
      <c r="U165" s="81">
        <f t="shared" si="82"/>
        <v>1.35E-2</v>
      </c>
      <c r="V165" s="83">
        <f t="shared" si="83"/>
        <v>-9.9999999999988987E-5</v>
      </c>
    </row>
    <row r="166" spans="1:22">
      <c r="A166" s="84"/>
      <c r="B166" s="19"/>
      <c r="C166" s="71" t="s">
        <v>46</v>
      </c>
      <c r="D166" s="72">
        <f>SUM(D140:D165)</f>
        <v>48528341927.034386</v>
      </c>
      <c r="E166" s="100">
        <f>(D166/$D$192)</f>
        <v>1.68343495014836E-2</v>
      </c>
      <c r="F166" s="30"/>
      <c r="G166" s="36"/>
      <c r="H166" s="65">
        <f>SUM(H140:H165)</f>
        <v>69454</v>
      </c>
      <c r="I166" s="37"/>
      <c r="J166" s="37"/>
      <c r="K166" s="72">
        <f>SUM(K140:K165)</f>
        <v>47384871316.741325</v>
      </c>
      <c r="L166" s="100">
        <f>(K166/$K$192)</f>
        <v>1.6587172813618104E-2</v>
      </c>
      <c r="M166" s="30"/>
      <c r="N166" s="36"/>
      <c r="O166" s="65">
        <f>SUM(O140:O165)</f>
        <v>69444</v>
      </c>
      <c r="P166" s="37"/>
      <c r="Q166" s="37"/>
      <c r="R166" s="81">
        <f t="shared" si="79"/>
        <v>-2.3562944145347989E-2</v>
      </c>
      <c r="S166" s="81" t="e">
        <f t="shared" si="80"/>
        <v>#DIV/0!</v>
      </c>
      <c r="T166" s="81">
        <f t="shared" si="81"/>
        <v>-1.4398018832608632E-4</v>
      </c>
      <c r="U166" s="81">
        <f t="shared" si="82"/>
        <v>0</v>
      </c>
      <c r="V166" s="83">
        <f t="shared" si="83"/>
        <v>0</v>
      </c>
    </row>
    <row r="167" spans="1:22" ht="8.25" customHeight="1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</row>
    <row r="168" spans="1:22" ht="15" customHeight="1">
      <c r="A168" s="162" t="s">
        <v>178</v>
      </c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</row>
    <row r="169" spans="1:22">
      <c r="A169" s="75">
        <v>143</v>
      </c>
      <c r="B169" s="143" t="s">
        <v>179</v>
      </c>
      <c r="C169" s="144" t="s">
        <v>21</v>
      </c>
      <c r="D169" s="17">
        <v>928057933.20000005</v>
      </c>
      <c r="E169" s="3">
        <f>(D169/$D$172)</f>
        <v>0.19367817259086859</v>
      </c>
      <c r="F169" s="17">
        <v>64.238100000000003</v>
      </c>
      <c r="G169" s="17">
        <v>66.174899999999994</v>
      </c>
      <c r="H169" s="62">
        <v>1541</v>
      </c>
      <c r="I169" s="6">
        <v>0.30549999999999999</v>
      </c>
      <c r="J169" s="6">
        <v>0.4723</v>
      </c>
      <c r="K169" s="17">
        <v>931859130.61000001</v>
      </c>
      <c r="L169" s="16">
        <f>(K169/$K$172)</f>
        <v>0.19563564985949239</v>
      </c>
      <c r="M169" s="17">
        <v>64.597899999999996</v>
      </c>
      <c r="N169" s="17">
        <v>66.545599999999993</v>
      </c>
      <c r="O169" s="62">
        <v>1541</v>
      </c>
      <c r="P169" s="6">
        <v>0.29289999999999999</v>
      </c>
      <c r="Q169" s="6">
        <v>0.4662</v>
      </c>
      <c r="R169" s="81">
        <f>((K169-D169)/D169)</f>
        <v>4.0958622021506864E-3</v>
      </c>
      <c r="S169" s="81">
        <f t="shared" ref="S169:T172" si="85">((N169-G169)/G169)</f>
        <v>5.6018218387938537E-3</v>
      </c>
      <c r="T169" s="81">
        <f t="shared" si="85"/>
        <v>0</v>
      </c>
      <c r="U169" s="81">
        <f t="shared" ref="U169:V172" si="86">P169-I169</f>
        <v>-1.26E-2</v>
      </c>
      <c r="V169" s="83">
        <f t="shared" si="86"/>
        <v>-6.0999999999999943E-3</v>
      </c>
    </row>
    <row r="170" spans="1:22">
      <c r="A170" s="75">
        <v>144</v>
      </c>
      <c r="B170" s="143" t="s">
        <v>180</v>
      </c>
      <c r="C170" s="144" t="s">
        <v>181</v>
      </c>
      <c r="D170" s="98">
        <v>782973310.63999999</v>
      </c>
      <c r="E170" s="3">
        <f>(D170/$D$172)</f>
        <v>0.16340018717290319</v>
      </c>
      <c r="F170" s="17">
        <v>22.2103</v>
      </c>
      <c r="G170" s="17">
        <v>22.393899999999999</v>
      </c>
      <c r="H170" s="60">
        <v>1496</v>
      </c>
      <c r="I170" s="5">
        <v>-2.5899999999999999E-2</v>
      </c>
      <c r="J170" s="5">
        <v>1.8800000000000001E-2</v>
      </c>
      <c r="K170" s="98">
        <v>775344592.88999999</v>
      </c>
      <c r="L170" s="16">
        <f>(K170/$K$172)</f>
        <v>0.16277679566844494</v>
      </c>
      <c r="M170" s="17">
        <v>22.074000000000002</v>
      </c>
      <c r="N170" s="17">
        <v>22.254300000000001</v>
      </c>
      <c r="O170" s="60">
        <v>1495</v>
      </c>
      <c r="P170" s="5">
        <v>-5.4000000000000003E-3</v>
      </c>
      <c r="Q170" s="5">
        <v>1.2500000000000001E-2</v>
      </c>
      <c r="R170" s="81">
        <f>((K170-D170)/D170)</f>
        <v>-9.7432666558765705E-3</v>
      </c>
      <c r="S170" s="81">
        <f t="shared" si="85"/>
        <v>-6.233840465483813E-3</v>
      </c>
      <c r="T170" s="81">
        <f t="shared" si="85"/>
        <v>-6.6844919786096253E-4</v>
      </c>
      <c r="U170" s="81">
        <f t="shared" si="86"/>
        <v>2.0499999999999997E-2</v>
      </c>
      <c r="V170" s="83">
        <f t="shared" si="86"/>
        <v>-6.3E-3</v>
      </c>
    </row>
    <row r="171" spans="1:22">
      <c r="A171" s="75">
        <v>145</v>
      </c>
      <c r="B171" s="143" t="s">
        <v>182</v>
      </c>
      <c r="C171" s="144" t="s">
        <v>42</v>
      </c>
      <c r="D171" s="9">
        <v>3080721594.3099999</v>
      </c>
      <c r="E171" s="3">
        <f>(D171/$D$172)</f>
        <v>0.64292164023622833</v>
      </c>
      <c r="F171" s="17">
        <v>2.23</v>
      </c>
      <c r="G171" s="17">
        <v>2.25</v>
      </c>
      <c r="H171" s="60">
        <v>10079</v>
      </c>
      <c r="I171" s="5">
        <v>-3.0200000000000001E-2</v>
      </c>
      <c r="J171" s="5">
        <v>8.1699999999999995E-2</v>
      </c>
      <c r="K171" s="9">
        <v>3056034118.27</v>
      </c>
      <c r="L171" s="16">
        <f>(K171/$K$172)</f>
        <v>0.64158755447206262</v>
      </c>
      <c r="M171" s="17">
        <v>2.2000000000000002</v>
      </c>
      <c r="N171" s="17">
        <v>2.23</v>
      </c>
      <c r="O171" s="60">
        <v>10.083</v>
      </c>
      <c r="P171" s="5">
        <v>-8.8999999999999999E-3</v>
      </c>
      <c r="Q171" s="5">
        <v>7.2099999999999997E-2</v>
      </c>
      <c r="R171" s="81">
        <f>((K171-D171)/D171)</f>
        <v>-8.0135368562991825E-3</v>
      </c>
      <c r="S171" s="81">
        <f t="shared" si="85"/>
        <v>-8.8888888888888976E-3</v>
      </c>
      <c r="T171" s="81">
        <f t="shared" si="85"/>
        <v>-0.99899960313523162</v>
      </c>
      <c r="U171" s="81">
        <f t="shared" si="86"/>
        <v>2.1299999999999999E-2</v>
      </c>
      <c r="V171" s="83">
        <f t="shared" si="86"/>
        <v>-9.5999999999999974E-3</v>
      </c>
    </row>
    <row r="172" spans="1:22">
      <c r="A172" s="75"/>
      <c r="B172" s="19"/>
      <c r="C172" s="66" t="s">
        <v>46</v>
      </c>
      <c r="D172" s="72">
        <f>SUM(D169:D171)</f>
        <v>4791752838.1499996</v>
      </c>
      <c r="E172" s="100">
        <f>(D172/$D$192)</f>
        <v>1.6622459947926898E-3</v>
      </c>
      <c r="F172" s="30"/>
      <c r="G172" s="36"/>
      <c r="H172" s="65">
        <f>SUM(H169:H171)</f>
        <v>13116</v>
      </c>
      <c r="I172" s="37"/>
      <c r="J172" s="37"/>
      <c r="K172" s="72">
        <f>SUM(K169:K171)</f>
        <v>4763237841.7700005</v>
      </c>
      <c r="L172" s="100">
        <f>(K172/$K$192)</f>
        <v>1.667381318937763E-3</v>
      </c>
      <c r="M172" s="30"/>
      <c r="N172" s="36"/>
      <c r="O172" s="65">
        <f>SUM(O169:O171)</f>
        <v>3046.0830000000001</v>
      </c>
      <c r="P172" s="37"/>
      <c r="Q172" s="37"/>
      <c r="R172" s="81">
        <f>((K172-D172)/D172)</f>
        <v>-5.9508487484943471E-3</v>
      </c>
      <c r="S172" s="81" t="e">
        <f t="shared" si="85"/>
        <v>#DIV/0!</v>
      </c>
      <c r="T172" s="81">
        <f t="shared" si="85"/>
        <v>-0.76775823421774925</v>
      </c>
      <c r="U172" s="81">
        <f t="shared" si="86"/>
        <v>0</v>
      </c>
      <c r="V172" s="83">
        <f t="shared" si="86"/>
        <v>0</v>
      </c>
    </row>
    <row r="173" spans="1:22" ht="6" customHeight="1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</row>
    <row r="174" spans="1:22" ht="15" customHeight="1">
      <c r="A174" s="162" t="s">
        <v>183</v>
      </c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</row>
    <row r="175" spans="1:22">
      <c r="A175" s="166" t="s">
        <v>232</v>
      </c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</row>
    <row r="176" spans="1:22">
      <c r="A176" s="75">
        <v>146</v>
      </c>
      <c r="B176" s="143" t="s">
        <v>184</v>
      </c>
      <c r="C176" s="144" t="s">
        <v>185</v>
      </c>
      <c r="D176" s="13">
        <v>4105476083.9699998</v>
      </c>
      <c r="E176" s="3">
        <f>(D176/$D$191)</f>
        <v>8.0203218485337083E-2</v>
      </c>
      <c r="F176" s="18">
        <v>1.94</v>
      </c>
      <c r="G176" s="18">
        <v>1.98</v>
      </c>
      <c r="H176" s="61">
        <v>14973</v>
      </c>
      <c r="I176" s="12">
        <v>-6.9999999999999999E-4</v>
      </c>
      <c r="J176" s="12">
        <v>7.4399999999999994E-2</v>
      </c>
      <c r="K176" s="13">
        <v>4120248975</v>
      </c>
      <c r="L176" s="3">
        <f>(K176/$K$191)</f>
        <v>8.0824812979405691E-2</v>
      </c>
      <c r="M176" s="18">
        <v>1.95</v>
      </c>
      <c r="N176" s="18">
        <v>1.98</v>
      </c>
      <c r="O176" s="61">
        <v>14973</v>
      </c>
      <c r="P176" s="12">
        <v>3.5999999999999999E-3</v>
      </c>
      <c r="Q176" s="12">
        <v>7.8299999999999995E-2</v>
      </c>
      <c r="R176" s="81">
        <f>((K176-D176)/D176)</f>
        <v>3.5983381044847806E-3</v>
      </c>
      <c r="S176" s="81">
        <f>((N176-G176)/G176)</f>
        <v>0</v>
      </c>
      <c r="T176" s="81">
        <f>((O176-H176)/H176)</f>
        <v>0</v>
      </c>
      <c r="U176" s="81">
        <f>P176-I176</f>
        <v>4.3E-3</v>
      </c>
      <c r="V176" s="83">
        <f>Q176-J176</f>
        <v>3.9000000000000007E-3</v>
      </c>
    </row>
    <row r="177" spans="1:24">
      <c r="A177" s="75">
        <v>147</v>
      </c>
      <c r="B177" s="143" t="s">
        <v>186</v>
      </c>
      <c r="C177" s="144" t="s">
        <v>42</v>
      </c>
      <c r="D177" s="13">
        <v>713751623.11000001</v>
      </c>
      <c r="E177" s="3">
        <f>(D177/$D$191)</f>
        <v>1.3943614869922504E-2</v>
      </c>
      <c r="F177" s="18">
        <v>419.05</v>
      </c>
      <c r="G177" s="18">
        <v>424.58</v>
      </c>
      <c r="H177" s="61">
        <v>828</v>
      </c>
      <c r="I177" s="12">
        <v>-1.7399999999999999E-2</v>
      </c>
      <c r="J177" s="12">
        <v>0.1118</v>
      </c>
      <c r="K177" s="13">
        <v>661549732.98000002</v>
      </c>
      <c r="L177" s="3">
        <f>(K177/$K$191)</f>
        <v>1.2977282142199738E-2</v>
      </c>
      <c r="M177" s="18">
        <v>421.35</v>
      </c>
      <c r="N177" s="18">
        <v>426.96</v>
      </c>
      <c r="O177" s="61">
        <v>828</v>
      </c>
      <c r="P177" s="12">
        <v>5.5999999999999999E-3</v>
      </c>
      <c r="Q177" s="12">
        <v>0.1181</v>
      </c>
      <c r="R177" s="81">
        <f>((K177-D177)/D177)</f>
        <v>-7.3137332987829706E-2</v>
      </c>
      <c r="S177" s="81">
        <f>((N177-G177)/G177)</f>
        <v>5.6055395920674442E-3</v>
      </c>
      <c r="T177" s="81">
        <f>((O177-H177)/H177)</f>
        <v>0</v>
      </c>
      <c r="U177" s="81">
        <f>P177-I177</f>
        <v>2.3E-2</v>
      </c>
      <c r="V177" s="83">
        <f>Q177-J177</f>
        <v>6.3E-3</v>
      </c>
    </row>
    <row r="178" spans="1:24" ht="6" customHeight="1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</row>
    <row r="179" spans="1:24" ht="15" customHeight="1">
      <c r="A179" s="166" t="s">
        <v>231</v>
      </c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</row>
    <row r="180" spans="1:24">
      <c r="A180" s="75">
        <v>148</v>
      </c>
      <c r="B180" s="143" t="s">
        <v>187</v>
      </c>
      <c r="C180" s="144" t="s">
        <v>188</v>
      </c>
      <c r="D180" s="2">
        <v>402887000.24000001</v>
      </c>
      <c r="E180" s="3">
        <f t="shared" ref="E180:E190" si="87">(D180/$D$191)</f>
        <v>7.8706667495439964E-3</v>
      </c>
      <c r="F180" s="2">
        <v>1038.8800000000001</v>
      </c>
      <c r="G180" s="2">
        <v>1038.8800000000001</v>
      </c>
      <c r="H180" s="60">
        <v>19</v>
      </c>
      <c r="I180" s="5">
        <v>2.8E-3</v>
      </c>
      <c r="J180" s="5">
        <v>4.4699999999999997E-2</v>
      </c>
      <c r="K180" s="2">
        <v>403828053.50999999</v>
      </c>
      <c r="L180" s="3">
        <f t="shared" ref="L180:L190" si="88">(K180/$K$191)</f>
        <v>7.9216880093473437E-3</v>
      </c>
      <c r="M180" s="2">
        <v>1041.3</v>
      </c>
      <c r="N180" s="2">
        <v>1041.3</v>
      </c>
      <c r="O180" s="60">
        <v>19</v>
      </c>
      <c r="P180" s="5">
        <v>2.7000000000000001E-3</v>
      </c>
      <c r="Q180" s="5">
        <v>4.7399999999999998E-2</v>
      </c>
      <c r="R180" s="81">
        <f>((K180-D180)/D180)</f>
        <v>2.3357747195600627E-3</v>
      </c>
      <c r="S180" s="81">
        <f>((N180-G180)/G180)</f>
        <v>2.3294316956721135E-3</v>
      </c>
      <c r="T180" s="81">
        <f>((O180-H180)/H180)</f>
        <v>0</v>
      </c>
      <c r="U180" s="81">
        <f>P180-I180</f>
        <v>-9.9999999999999829E-5</v>
      </c>
      <c r="V180" s="83">
        <f>Q180-J180</f>
        <v>2.700000000000001E-3</v>
      </c>
      <c r="X180" s="70"/>
    </row>
    <row r="181" spans="1:24">
      <c r="A181" s="75">
        <v>149</v>
      </c>
      <c r="B181" s="143" t="s">
        <v>189</v>
      </c>
      <c r="C181" s="144" t="s">
        <v>58</v>
      </c>
      <c r="D181" s="2">
        <v>110887776.47</v>
      </c>
      <c r="E181" s="3">
        <f t="shared" si="87"/>
        <v>2.1662668060110951E-3</v>
      </c>
      <c r="F181" s="17">
        <v>110.75</v>
      </c>
      <c r="G181" s="17">
        <v>110.75</v>
      </c>
      <c r="H181" s="60">
        <v>71</v>
      </c>
      <c r="I181" s="5">
        <v>2.5000000000000001E-3</v>
      </c>
      <c r="J181" s="5">
        <v>0.13489999999999999</v>
      </c>
      <c r="K181" s="2">
        <v>111199403.45</v>
      </c>
      <c r="L181" s="3">
        <f t="shared" si="88"/>
        <v>2.1813417203186687E-3</v>
      </c>
      <c r="M181" s="17">
        <v>111.02</v>
      </c>
      <c r="N181" s="17">
        <v>111.02</v>
      </c>
      <c r="O181" s="60">
        <v>71</v>
      </c>
      <c r="P181" s="5">
        <v>2.3999999999999998E-3</v>
      </c>
      <c r="Q181" s="5">
        <v>0.13400000000000001</v>
      </c>
      <c r="R181" s="81">
        <f t="shared" ref="R181:R192" si="89">((K181-D181)/D181)</f>
        <v>2.8102915390707012E-3</v>
      </c>
      <c r="S181" s="81">
        <f t="shared" ref="S181:S191" si="90">((N181-G181)/G181)</f>
        <v>2.4379232505642983E-3</v>
      </c>
      <c r="T181" s="81">
        <f t="shared" ref="T181:T191" si="91">((O181-H181)/H181)</f>
        <v>0</v>
      </c>
      <c r="U181" s="81">
        <f t="shared" ref="U181:U191" si="92">P181-I181</f>
        <v>-1.0000000000000026E-4</v>
      </c>
      <c r="V181" s="83">
        <f t="shared" ref="V181:V191" si="93">Q181-J181</f>
        <v>-8.9999999999998415E-4</v>
      </c>
    </row>
    <row r="182" spans="1:24">
      <c r="A182" s="75">
        <v>150</v>
      </c>
      <c r="B182" s="154" t="s">
        <v>190</v>
      </c>
      <c r="C182" s="144" t="s">
        <v>64</v>
      </c>
      <c r="D182" s="9">
        <v>56729306.049999997</v>
      </c>
      <c r="E182" s="3">
        <f t="shared" si="87"/>
        <v>1.1082448989082826E-3</v>
      </c>
      <c r="F182" s="17">
        <v>102.21</v>
      </c>
      <c r="G182" s="17">
        <v>103.72</v>
      </c>
      <c r="H182" s="60">
        <v>12</v>
      </c>
      <c r="I182" s="5">
        <v>2E-3</v>
      </c>
      <c r="J182" s="5">
        <v>6.8000000000000005E-2</v>
      </c>
      <c r="K182" s="9">
        <v>56817627.619999997</v>
      </c>
      <c r="L182" s="3">
        <f t="shared" si="88"/>
        <v>1.1145622883918114E-3</v>
      </c>
      <c r="M182" s="17">
        <v>102.37</v>
      </c>
      <c r="N182" s="17">
        <v>104</v>
      </c>
      <c r="O182" s="60">
        <v>12</v>
      </c>
      <c r="P182" s="5">
        <v>2.3E-3</v>
      </c>
      <c r="Q182" s="5">
        <v>7.0300000000000001E-2</v>
      </c>
      <c r="R182" s="81">
        <f t="shared" si="89"/>
        <v>1.5568949481270854E-3</v>
      </c>
      <c r="S182" s="81">
        <f t="shared" si="90"/>
        <v>2.699575780948719E-3</v>
      </c>
      <c r="T182" s="81">
        <f t="shared" si="91"/>
        <v>0</v>
      </c>
      <c r="U182" s="81">
        <f t="shared" si="92"/>
        <v>2.9999999999999992E-4</v>
      </c>
      <c r="V182" s="83">
        <f t="shared" si="93"/>
        <v>2.2999999999999965E-3</v>
      </c>
    </row>
    <row r="183" spans="1:24">
      <c r="A183" s="75">
        <v>151</v>
      </c>
      <c r="B183" s="143" t="s">
        <v>191</v>
      </c>
      <c r="C183" s="144" t="s">
        <v>27</v>
      </c>
      <c r="D183" s="2">
        <v>9600735956.4899998</v>
      </c>
      <c r="E183" s="3">
        <f t="shared" si="87"/>
        <v>0.187556791901659</v>
      </c>
      <c r="F183" s="17">
        <v>140.69</v>
      </c>
      <c r="G183" s="17">
        <v>140.69</v>
      </c>
      <c r="H183" s="60">
        <v>696</v>
      </c>
      <c r="I183" s="5">
        <v>2.8999999999999998E-3</v>
      </c>
      <c r="J183" s="5">
        <v>5.2200000000000003E-2</v>
      </c>
      <c r="K183" s="2">
        <v>9703421843.0799999</v>
      </c>
      <c r="L183" s="3">
        <f t="shared" si="88"/>
        <v>0.19034705438576588</v>
      </c>
      <c r="M183" s="17">
        <v>141.03</v>
      </c>
      <c r="N183" s="17">
        <v>141.03</v>
      </c>
      <c r="O183" s="60">
        <v>693</v>
      </c>
      <c r="P183" s="5">
        <v>2.3999999999999998E-3</v>
      </c>
      <c r="Q183" s="5">
        <v>5.4699999999999999E-2</v>
      </c>
      <c r="R183" s="81">
        <f t="shared" si="89"/>
        <v>1.0695626570230331E-2</v>
      </c>
      <c r="S183" s="81">
        <f t="shared" si="90"/>
        <v>2.4166607434785944E-3</v>
      </c>
      <c r="T183" s="81">
        <f t="shared" si="91"/>
        <v>-4.3103448275862068E-3</v>
      </c>
      <c r="U183" s="81">
        <f t="shared" si="92"/>
        <v>-5.0000000000000001E-4</v>
      </c>
      <c r="V183" s="83">
        <f t="shared" si="93"/>
        <v>2.4999999999999953E-3</v>
      </c>
    </row>
    <row r="184" spans="1:24">
      <c r="A184" s="75">
        <v>152</v>
      </c>
      <c r="B184" s="143" t="s">
        <v>249</v>
      </c>
      <c r="C184" s="144" t="s">
        <v>56</v>
      </c>
      <c r="D184" s="2">
        <v>273409735.43635398</v>
      </c>
      <c r="E184" s="3">
        <f t="shared" si="87"/>
        <v>5.3412418678652675E-3</v>
      </c>
      <c r="F184" s="4">
        <v>1077.29803229547</v>
      </c>
      <c r="G184" s="4">
        <v>1077.29803229547</v>
      </c>
      <c r="H184" s="60">
        <v>73</v>
      </c>
      <c r="I184" s="5">
        <v>0.13972193958228843</v>
      </c>
      <c r="J184" s="5">
        <v>0.12366867446793464</v>
      </c>
      <c r="K184" s="2">
        <v>278523152.95507598</v>
      </c>
      <c r="L184" s="3">
        <f t="shared" si="88"/>
        <v>5.4636459797986897E-3</v>
      </c>
      <c r="M184" s="4">
        <v>1080.16307961456</v>
      </c>
      <c r="N184" s="4">
        <v>1080.16307961456</v>
      </c>
      <c r="O184" s="60">
        <v>78</v>
      </c>
      <c r="P184" s="5">
        <v>0.13905255653517226</v>
      </c>
      <c r="Q184" s="5">
        <v>0.12472436077022425</v>
      </c>
      <c r="R184" s="81">
        <f t="shared" si="89"/>
        <v>1.8702397376454544E-2</v>
      </c>
      <c r="S184" s="81">
        <f t="shared" si="90"/>
        <v>2.6594751249896333E-3</v>
      </c>
      <c r="T184" s="81">
        <f t="shared" si="91"/>
        <v>6.8493150684931503E-2</v>
      </c>
      <c r="U184" s="81">
        <f t="shared" si="92"/>
        <v>-6.693830471161677E-4</v>
      </c>
      <c r="V184" s="83">
        <f t="shared" si="93"/>
        <v>1.0556863022896101E-3</v>
      </c>
    </row>
    <row r="185" spans="1:24">
      <c r="A185" s="75">
        <v>153</v>
      </c>
      <c r="B185" s="143" t="s">
        <v>192</v>
      </c>
      <c r="C185" s="144" t="s">
        <v>185</v>
      </c>
      <c r="D185" s="2">
        <v>20223087751.59</v>
      </c>
      <c r="E185" s="3">
        <f t="shared" si="87"/>
        <v>0.39507153183084265</v>
      </c>
      <c r="F185" s="7">
        <v>1215.17</v>
      </c>
      <c r="G185" s="7">
        <v>1215.17</v>
      </c>
      <c r="H185" s="60">
        <v>8410</v>
      </c>
      <c r="I185" s="5">
        <v>2.5000000000000001E-3</v>
      </c>
      <c r="J185" s="5">
        <v>5.5300000000000002E-2</v>
      </c>
      <c r="K185" s="2">
        <v>20528429287.59</v>
      </c>
      <c r="L185" s="3">
        <f t="shared" si="88"/>
        <v>0.40269567882858737</v>
      </c>
      <c r="M185" s="7">
        <v>1218.3</v>
      </c>
      <c r="N185" s="7">
        <v>1215.3</v>
      </c>
      <c r="O185" s="60">
        <v>8410</v>
      </c>
      <c r="P185" s="5">
        <v>2.5999999999999999E-3</v>
      </c>
      <c r="Q185" s="5">
        <v>5.79E-2</v>
      </c>
      <c r="R185" s="81">
        <f t="shared" si="89"/>
        <v>1.5098660488974694E-2</v>
      </c>
      <c r="S185" s="81">
        <f t="shared" si="90"/>
        <v>1.0698091625030387E-4</v>
      </c>
      <c r="T185" s="81">
        <f t="shared" si="91"/>
        <v>0</v>
      </c>
      <c r="U185" s="81">
        <f t="shared" si="92"/>
        <v>9.9999999999999829E-5</v>
      </c>
      <c r="V185" s="83">
        <f t="shared" si="93"/>
        <v>2.5999999999999981E-3</v>
      </c>
    </row>
    <row r="186" spans="1:24" ht="13.5" customHeight="1">
      <c r="A186" s="75">
        <v>154</v>
      </c>
      <c r="B186" s="143" t="s">
        <v>193</v>
      </c>
      <c r="C186" s="144" t="s">
        <v>78</v>
      </c>
      <c r="D186" s="2">
        <v>1057413134.45</v>
      </c>
      <c r="E186" s="3">
        <f t="shared" si="87"/>
        <v>2.0657272120691322E-2</v>
      </c>
      <c r="F186" s="14">
        <v>104.02</v>
      </c>
      <c r="G186" s="14">
        <v>104.02</v>
      </c>
      <c r="H186" s="60">
        <v>552</v>
      </c>
      <c r="I186" s="5">
        <v>2.3E-3</v>
      </c>
      <c r="J186" s="5">
        <v>4.2700000000000002E-2</v>
      </c>
      <c r="K186" s="2">
        <v>1079806607.9000001</v>
      </c>
      <c r="L186" s="3">
        <f t="shared" si="88"/>
        <v>2.1182012948002486E-2</v>
      </c>
      <c r="M186" s="14">
        <v>104.25</v>
      </c>
      <c r="N186" s="14">
        <v>104.25</v>
      </c>
      <c r="O186" s="60">
        <v>552</v>
      </c>
      <c r="P186" s="5">
        <v>2.2000000000000001E-3</v>
      </c>
      <c r="Q186" s="5">
        <v>4.4999999999999998E-2</v>
      </c>
      <c r="R186" s="81">
        <f t="shared" si="89"/>
        <v>2.1177600996650874E-2</v>
      </c>
      <c r="S186" s="81">
        <f t="shared" si="90"/>
        <v>2.2111132474524511E-3</v>
      </c>
      <c r="T186" s="81">
        <f t="shared" si="91"/>
        <v>0</v>
      </c>
      <c r="U186" s="81">
        <f t="shared" si="92"/>
        <v>-9.9999999999999829E-5</v>
      </c>
      <c r="V186" s="83">
        <f t="shared" si="93"/>
        <v>2.2999999999999965E-3</v>
      </c>
    </row>
    <row r="187" spans="1:24" ht="15.75" customHeight="1">
      <c r="A187" s="75">
        <v>155</v>
      </c>
      <c r="B187" s="143" t="s">
        <v>194</v>
      </c>
      <c r="C187" s="144" t="s">
        <v>42</v>
      </c>
      <c r="D187" s="2">
        <v>9820689228.9899998</v>
      </c>
      <c r="E187" s="3">
        <f t="shared" si="87"/>
        <v>0.19185372604767978</v>
      </c>
      <c r="F187" s="14">
        <v>130.84</v>
      </c>
      <c r="G187" s="14">
        <v>130.84</v>
      </c>
      <c r="H187" s="60">
        <v>1207</v>
      </c>
      <c r="I187" s="5">
        <v>6.9999999999999999E-4</v>
      </c>
      <c r="J187" s="5">
        <v>1.9900000000000001E-2</v>
      </c>
      <c r="K187" s="2">
        <v>9346398531.1399994</v>
      </c>
      <c r="L187" s="3">
        <f t="shared" si="88"/>
        <v>0.18334351100964294</v>
      </c>
      <c r="M187" s="14">
        <v>130.91</v>
      </c>
      <c r="N187" s="14">
        <v>130.91</v>
      </c>
      <c r="O187" s="60">
        <v>1212</v>
      </c>
      <c r="P187" s="5">
        <v>5.0000000000000001E-4</v>
      </c>
      <c r="Q187" s="5">
        <v>2.0400000000000001E-2</v>
      </c>
      <c r="R187" s="81">
        <f t="shared" si="89"/>
        <v>-4.8295052087579234E-2</v>
      </c>
      <c r="S187" s="81">
        <f t="shared" si="90"/>
        <v>5.3500458575354002E-4</v>
      </c>
      <c r="T187" s="81">
        <f t="shared" si="91"/>
        <v>4.1425020712510356E-3</v>
      </c>
      <c r="U187" s="81">
        <f t="shared" si="92"/>
        <v>-1.9999999999999998E-4</v>
      </c>
      <c r="V187" s="83">
        <f t="shared" si="93"/>
        <v>5.0000000000000044E-4</v>
      </c>
    </row>
    <row r="188" spans="1:24">
      <c r="A188" s="75">
        <v>156</v>
      </c>
      <c r="B188" s="143" t="s">
        <v>195</v>
      </c>
      <c r="C188" s="144" t="s">
        <v>45</v>
      </c>
      <c r="D188" s="2">
        <v>4237794255.0799999</v>
      </c>
      <c r="E188" s="3">
        <f t="shared" si="87"/>
        <v>8.2788142369938894E-2</v>
      </c>
      <c r="F188" s="14">
        <v>1.2222</v>
      </c>
      <c r="G188" s="14">
        <v>1.2222</v>
      </c>
      <c r="H188" s="60">
        <v>670</v>
      </c>
      <c r="I188" s="5">
        <v>0.127</v>
      </c>
      <c r="J188" s="5">
        <v>9.8100000000000007E-2</v>
      </c>
      <c r="K188" s="2">
        <v>4191246191.4000001</v>
      </c>
      <c r="L188" s="3">
        <f t="shared" si="88"/>
        <v>8.2217528995453829E-2</v>
      </c>
      <c r="M188" s="14">
        <v>1.2250000000000001</v>
      </c>
      <c r="N188" s="14">
        <v>1.2250000000000001</v>
      </c>
      <c r="O188" s="60">
        <v>671</v>
      </c>
      <c r="P188" s="5">
        <v>0.12670000000000001</v>
      </c>
      <c r="Q188" s="5">
        <v>9.9500000000000005E-2</v>
      </c>
      <c r="R188" s="81">
        <f t="shared" si="89"/>
        <v>-1.0984031049690757E-2</v>
      </c>
      <c r="S188" s="81">
        <f t="shared" si="90"/>
        <v>2.2909507445591031E-3</v>
      </c>
      <c r="T188" s="81">
        <f t="shared" si="91"/>
        <v>1.4925373134328358E-3</v>
      </c>
      <c r="U188" s="81">
        <f t="shared" si="92"/>
        <v>-2.9999999999999472E-4</v>
      </c>
      <c r="V188" s="83">
        <f t="shared" si="93"/>
        <v>1.3999999999999985E-3</v>
      </c>
    </row>
    <row r="189" spans="1:24">
      <c r="A189" s="75">
        <v>157</v>
      </c>
      <c r="B189" s="143" t="s">
        <v>196</v>
      </c>
      <c r="C189" s="144" t="s">
        <v>197</v>
      </c>
      <c r="D189" s="2">
        <v>430534234.54000002</v>
      </c>
      <c r="E189" s="3">
        <f t="shared" si="87"/>
        <v>8.4107739448425201E-3</v>
      </c>
      <c r="F189" s="18">
        <v>112.8536</v>
      </c>
      <c r="G189" s="18">
        <v>113.3796</v>
      </c>
      <c r="H189" s="61">
        <v>165</v>
      </c>
      <c r="I189" s="5">
        <v>4.0000000000000001E-3</v>
      </c>
      <c r="J189" s="5">
        <v>0.1389</v>
      </c>
      <c r="K189" s="2">
        <v>335397032.50999999</v>
      </c>
      <c r="L189" s="3">
        <f t="shared" si="88"/>
        <v>6.5793117335751295E-3</v>
      </c>
      <c r="M189" s="18">
        <v>112.7967</v>
      </c>
      <c r="N189" s="18">
        <v>113.4686</v>
      </c>
      <c r="O189" s="61">
        <v>167</v>
      </c>
      <c r="P189" s="5">
        <v>6.9999999999999999E-4</v>
      </c>
      <c r="Q189" s="5">
        <v>0.13980000000000001</v>
      </c>
      <c r="R189" s="81">
        <f>((K189-D189)/D189)</f>
        <v>-0.22097476669108188</v>
      </c>
      <c r="S189" s="81">
        <f>((N189-G189)/G189)</f>
        <v>7.8497366369257465E-4</v>
      </c>
      <c r="T189" s="81">
        <f>((O189-H189)/H189)</f>
        <v>1.2121212121212121E-2</v>
      </c>
      <c r="U189" s="81">
        <f>P189-I189</f>
        <v>-3.3E-3</v>
      </c>
      <c r="V189" s="83">
        <f>Q189-J189</f>
        <v>9.000000000000119E-4</v>
      </c>
    </row>
    <row r="190" spans="1:24">
      <c r="A190" s="75">
        <v>158</v>
      </c>
      <c r="B190" s="143" t="s">
        <v>244</v>
      </c>
      <c r="C190" s="144" t="s">
        <v>197</v>
      </c>
      <c r="D190" s="2">
        <v>155024546.86000001</v>
      </c>
      <c r="E190" s="3">
        <f t="shared" si="87"/>
        <v>3.0285081067576896E-3</v>
      </c>
      <c r="F190" s="18">
        <v>104.5397</v>
      </c>
      <c r="G190" s="18">
        <v>104.5397</v>
      </c>
      <c r="H190" s="61">
        <v>67</v>
      </c>
      <c r="I190" s="5">
        <v>1.4302E-2</v>
      </c>
      <c r="J190" s="5">
        <v>4.3878E-2</v>
      </c>
      <c r="K190" s="2">
        <v>160659188.41999999</v>
      </c>
      <c r="L190" s="3">
        <f t="shared" si="88"/>
        <v>3.1515689795104189E-3</v>
      </c>
      <c r="M190" s="18">
        <v>104.8287</v>
      </c>
      <c r="N190" s="18">
        <v>104.8287</v>
      </c>
      <c r="O190" s="61">
        <v>67</v>
      </c>
      <c r="P190" s="5">
        <v>2.764E-3</v>
      </c>
      <c r="Q190" s="5">
        <v>4.6764E-2</v>
      </c>
      <c r="R190" s="81">
        <f t="shared" si="89"/>
        <v>3.6346770070474835E-2</v>
      </c>
      <c r="S190" s="81">
        <f t="shared" si="90"/>
        <v>2.7644999937822805E-3</v>
      </c>
      <c r="T190" s="81">
        <f t="shared" si="91"/>
        <v>0</v>
      </c>
      <c r="U190" s="81">
        <f t="shared" si="92"/>
        <v>-1.1538E-2</v>
      </c>
      <c r="V190" s="83">
        <f t="shared" si="93"/>
        <v>2.8859999999999997E-3</v>
      </c>
    </row>
    <row r="191" spans="1:24">
      <c r="A191" s="85"/>
      <c r="B191" s="19"/>
      <c r="C191" s="66" t="s">
        <v>46</v>
      </c>
      <c r="D191" s="59">
        <f>SUM(D176:D190)</f>
        <v>51188420633.276352</v>
      </c>
      <c r="E191" s="100">
        <f>(D191/$D$192)</f>
        <v>1.7757123551948011E-2</v>
      </c>
      <c r="F191" s="30"/>
      <c r="G191" s="34"/>
      <c r="H191" s="68">
        <f>SUM(H176:H190)</f>
        <v>27743</v>
      </c>
      <c r="I191" s="35"/>
      <c r="J191" s="35"/>
      <c r="K191" s="59">
        <f>SUM(K176:K190)</f>
        <v>50977525627.555077</v>
      </c>
      <c r="L191" s="100">
        <f>(K191/$K$192)</f>
        <v>1.7844788931528792E-2</v>
      </c>
      <c r="M191" s="30"/>
      <c r="N191" s="34"/>
      <c r="O191" s="68">
        <f>SUM(O176:O190)</f>
        <v>27753</v>
      </c>
      <c r="P191" s="35"/>
      <c r="Q191" s="35"/>
      <c r="R191" s="81">
        <f t="shared" si="89"/>
        <v>-4.1199748519722369E-3</v>
      </c>
      <c r="S191" s="81" t="e">
        <f t="shared" si="90"/>
        <v>#DIV/0!</v>
      </c>
      <c r="T191" s="81">
        <f t="shared" si="91"/>
        <v>3.6045128500883107E-4</v>
      </c>
      <c r="U191" s="81">
        <f t="shared" si="92"/>
        <v>0</v>
      </c>
      <c r="V191" s="83">
        <f t="shared" si="93"/>
        <v>0</v>
      </c>
    </row>
    <row r="192" spans="1:24">
      <c r="A192" s="86"/>
      <c r="B192" s="38"/>
      <c r="C192" s="67" t="s">
        <v>198</v>
      </c>
      <c r="D192" s="69">
        <f>SUM(D23,D58,D96,D129,D137,D166,D172,D191)</f>
        <v>2882697779486.9722</v>
      </c>
      <c r="E192" s="39"/>
      <c r="F192" s="39"/>
      <c r="G192" s="40"/>
      <c r="H192" s="69">
        <f>SUM(H23,H58,H96,H129,H137,H166,H172,H191)</f>
        <v>732970</v>
      </c>
      <c r="I192" s="41"/>
      <c r="J192" s="41"/>
      <c r="K192" s="69">
        <f>SUM(K23,K58,K96,K129,K137,K166,K172,K191)</f>
        <v>2856717769157.0347</v>
      </c>
      <c r="L192" s="39"/>
      <c r="M192" s="39"/>
      <c r="N192" s="40"/>
      <c r="O192" s="69">
        <f>SUM(O23,O58,O96,O129,O137,O166,O172,O191)</f>
        <v>724299.08299999998</v>
      </c>
      <c r="P192" s="42"/>
      <c r="Q192" s="69"/>
      <c r="R192" s="25">
        <f t="shared" si="89"/>
        <v>-9.0123947486999874E-3</v>
      </c>
      <c r="S192" s="25"/>
      <c r="T192" s="25"/>
      <c r="U192" s="25"/>
      <c r="V192" s="25"/>
    </row>
    <row r="193" spans="1:22" ht="6.75" customHeight="1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9"/>
    </row>
    <row r="194" spans="1:22" ht="15.75">
      <c r="A194" s="162" t="s">
        <v>199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</row>
    <row r="195" spans="1:22">
      <c r="A195" s="75">
        <v>1</v>
      </c>
      <c r="B195" s="143" t="s">
        <v>200</v>
      </c>
      <c r="C195" s="144" t="s">
        <v>201</v>
      </c>
      <c r="D195" s="2">
        <v>103175705234</v>
      </c>
      <c r="E195" s="3">
        <f>(D195/$D$197)</f>
        <v>0.97918812170037672</v>
      </c>
      <c r="F195" s="14">
        <v>107.39</v>
      </c>
      <c r="G195" s="14">
        <v>107.39</v>
      </c>
      <c r="H195" s="64">
        <v>0</v>
      </c>
      <c r="I195" s="20">
        <v>0</v>
      </c>
      <c r="J195" s="20">
        <v>0.13800000000000001</v>
      </c>
      <c r="K195" s="2">
        <v>103175705234</v>
      </c>
      <c r="L195" s="3">
        <f>(K195/$K$197)</f>
        <v>0.97913195520513507</v>
      </c>
      <c r="M195" s="14">
        <v>107.39</v>
      </c>
      <c r="N195" s="14">
        <v>107.39</v>
      </c>
      <c r="O195" s="64">
        <v>0</v>
      </c>
      <c r="P195" s="20">
        <v>0</v>
      </c>
      <c r="Q195" s="20">
        <v>0.13800000000000001</v>
      </c>
      <c r="R195" s="81">
        <f>((K195-D195)/D195)</f>
        <v>0</v>
      </c>
      <c r="S195" s="81">
        <f>((N195-G195)/G195)</f>
        <v>0</v>
      </c>
      <c r="T195" s="81" t="e">
        <f>((O195-H195)/H195)</f>
        <v>#DIV/0!</v>
      </c>
      <c r="U195" s="81">
        <f>P195-I195</f>
        <v>0</v>
      </c>
      <c r="V195" s="83">
        <f>Q195-J195</f>
        <v>0</v>
      </c>
    </row>
    <row r="196" spans="1:22">
      <c r="A196" s="75">
        <v>2</v>
      </c>
      <c r="B196" s="143" t="s">
        <v>202</v>
      </c>
      <c r="C196" s="144" t="s">
        <v>45</v>
      </c>
      <c r="D196" s="2">
        <v>2192918983.8200002</v>
      </c>
      <c r="E196" s="3">
        <f>(D196/$D$197)</f>
        <v>2.0811878299623204E-2</v>
      </c>
      <c r="F196" s="21">
        <v>1000000</v>
      </c>
      <c r="G196" s="21">
        <v>1000000</v>
      </c>
      <c r="H196" s="64">
        <v>0</v>
      </c>
      <c r="I196" s="20">
        <v>0.16389999999999999</v>
      </c>
      <c r="J196" s="20">
        <v>0.16389999999999999</v>
      </c>
      <c r="K196" s="2">
        <v>2198963303.2800002</v>
      </c>
      <c r="L196" s="3">
        <f>(K196/$K$197)</f>
        <v>2.0868044794864902E-2</v>
      </c>
      <c r="M196" s="21">
        <v>1000000</v>
      </c>
      <c r="N196" s="21">
        <v>1000000</v>
      </c>
      <c r="O196" s="64">
        <v>0</v>
      </c>
      <c r="P196" s="20">
        <v>0.16389999999999999</v>
      </c>
      <c r="Q196" s="20">
        <v>0.16389999999999999</v>
      </c>
      <c r="R196" s="81">
        <f>((K196-D196)/D196)</f>
        <v>2.7562894500876688E-3</v>
      </c>
      <c r="S196" s="81">
        <f>((N196-G196)/G196)</f>
        <v>0</v>
      </c>
      <c r="T196" s="81" t="e">
        <f>((O196-H196)/H196)</f>
        <v>#DIV/0!</v>
      </c>
      <c r="U196" s="81">
        <f>P196-I196</f>
        <v>0</v>
      </c>
      <c r="V196" s="83">
        <f>Q196-J196</f>
        <v>0</v>
      </c>
    </row>
    <row r="197" spans="1:22">
      <c r="A197" s="38"/>
      <c r="B197" s="38"/>
      <c r="C197" s="67" t="s">
        <v>203</v>
      </c>
      <c r="D197" s="73">
        <f>SUM(D195:D196)</f>
        <v>105368624217.82001</v>
      </c>
      <c r="E197" s="24"/>
      <c r="F197" s="22"/>
      <c r="G197" s="22"/>
      <c r="H197" s="73">
        <f>SUM(H195:H196)</f>
        <v>0</v>
      </c>
      <c r="I197" s="23"/>
      <c r="J197" s="23"/>
      <c r="K197" s="73">
        <f>SUM(K195:K196)</f>
        <v>105374668537.28</v>
      </c>
      <c r="L197" s="24"/>
      <c r="M197" s="22"/>
      <c r="N197" s="22"/>
      <c r="O197" s="23"/>
      <c r="P197" s="23"/>
      <c r="Q197" s="73"/>
      <c r="R197" s="25">
        <f>((K197-D197)/D197)</f>
        <v>5.7363560593678472E-5</v>
      </c>
      <c r="S197" s="26"/>
      <c r="T197" s="26"/>
      <c r="U197" s="25"/>
      <c r="V197" s="87"/>
    </row>
    <row r="198" spans="1:22" ht="8.25" customHeight="1">
      <c r="A198" s="167"/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</row>
    <row r="199" spans="1:22" ht="15.75">
      <c r="A199" s="162" t="s">
        <v>204</v>
      </c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</row>
    <row r="200" spans="1:22">
      <c r="A200" s="75">
        <v>1</v>
      </c>
      <c r="B200" s="143" t="s">
        <v>205</v>
      </c>
      <c r="C200" s="144" t="s">
        <v>74</v>
      </c>
      <c r="D200" s="27">
        <v>955094413.04750597</v>
      </c>
      <c r="E200" s="10">
        <f t="shared" ref="E200:E211" si="94">(D200/$D$212)</f>
        <v>7.330107893183993E-2</v>
      </c>
      <c r="F200" s="21">
        <v>225.07232545010157</v>
      </c>
      <c r="G200" s="21">
        <v>227.34424382938613</v>
      </c>
      <c r="H200" s="63">
        <v>61</v>
      </c>
      <c r="I200" s="28">
        <v>-1.3651368794853624E-3</v>
      </c>
      <c r="J200" s="28">
        <v>0.28737816993709053</v>
      </c>
      <c r="K200" s="27">
        <v>950985096.92282999</v>
      </c>
      <c r="L200" s="10">
        <f t="shared" ref="L200:L211" si="95">(K200/$K$212)</f>
        <v>7.3929275270896336E-2</v>
      </c>
      <c r="M200" s="21">
        <v>224.10394648823612</v>
      </c>
      <c r="N200" s="21">
        <v>226.47925611170029</v>
      </c>
      <c r="O200" s="63">
        <v>61</v>
      </c>
      <c r="P200" s="28">
        <v>-4.3025234663074396E-3</v>
      </c>
      <c r="Q200" s="28">
        <v>0.2801550696231927</v>
      </c>
      <c r="R200" s="81">
        <f>((K200-D200)/D200)</f>
        <v>-4.3025234663074024E-3</v>
      </c>
      <c r="S200" s="81">
        <f>((N200-G200)/G200)</f>
        <v>-3.8047487067012714E-3</v>
      </c>
      <c r="T200" s="81">
        <f>((O200-H200)/H200)</f>
        <v>0</v>
      </c>
      <c r="U200" s="81">
        <f>P200-I200</f>
        <v>-2.9373865868220772E-3</v>
      </c>
      <c r="V200" s="83">
        <f>Q200-J200</f>
        <v>-7.2231003138978345E-3</v>
      </c>
    </row>
    <row r="201" spans="1:22">
      <c r="A201" s="75">
        <v>2</v>
      </c>
      <c r="B201" s="143" t="s">
        <v>206</v>
      </c>
      <c r="C201" s="144" t="s">
        <v>185</v>
      </c>
      <c r="D201" s="27">
        <v>991417534.38</v>
      </c>
      <c r="E201" s="10">
        <f t="shared" si="94"/>
        <v>7.6088786563118377E-2</v>
      </c>
      <c r="F201" s="21">
        <v>28.2</v>
      </c>
      <c r="G201" s="21">
        <v>31.17</v>
      </c>
      <c r="H201" s="63">
        <v>211</v>
      </c>
      <c r="I201" s="28">
        <v>1.34E-2</v>
      </c>
      <c r="J201" s="28">
        <v>0.31559999999999999</v>
      </c>
      <c r="K201" s="27">
        <v>996363098.94000006</v>
      </c>
      <c r="L201" s="10">
        <f t="shared" si="95"/>
        <v>7.7456946538538601E-2</v>
      </c>
      <c r="M201" s="21">
        <v>28.2</v>
      </c>
      <c r="N201" s="21">
        <v>31.17</v>
      </c>
      <c r="O201" s="63">
        <v>211</v>
      </c>
      <c r="P201" s="28">
        <v>5.0000000000000001E-3</v>
      </c>
      <c r="Q201" s="28">
        <v>0.3221</v>
      </c>
      <c r="R201" s="81">
        <f t="shared" ref="R201:R212" si="96">((K201-D201)/D201)</f>
        <v>4.9883771352630512E-3</v>
      </c>
      <c r="S201" s="81">
        <f t="shared" ref="S201:S212" si="97">((N201-G201)/G201)</f>
        <v>0</v>
      </c>
      <c r="T201" s="81">
        <f t="shared" ref="T201:T212" si="98">((O201-H201)/H201)</f>
        <v>0</v>
      </c>
      <c r="U201" s="81">
        <f t="shared" ref="U201:U212" si="99">P201-I201</f>
        <v>-8.4000000000000012E-3</v>
      </c>
      <c r="V201" s="83">
        <f t="shared" ref="V201:V212" si="100">Q201-J201</f>
        <v>6.5000000000000058E-3</v>
      </c>
    </row>
    <row r="202" spans="1:22">
      <c r="A202" s="75">
        <v>3</v>
      </c>
      <c r="B202" s="143" t="s">
        <v>207</v>
      </c>
      <c r="C202" s="144" t="s">
        <v>36</v>
      </c>
      <c r="D202" s="27">
        <v>247946419.97</v>
      </c>
      <c r="E202" s="10">
        <f t="shared" si="94"/>
        <v>1.9029260199623949E-2</v>
      </c>
      <c r="F202" s="21">
        <v>18.7</v>
      </c>
      <c r="G202" s="21">
        <v>19.18</v>
      </c>
      <c r="H202" s="63">
        <v>107</v>
      </c>
      <c r="I202" s="28">
        <v>-5.4502232259497463E-2</v>
      </c>
      <c r="J202" s="28">
        <v>-0.20030000000000001</v>
      </c>
      <c r="K202" s="27">
        <v>237822538.94</v>
      </c>
      <c r="L202" s="10">
        <f t="shared" si="95"/>
        <v>1.8488247611671525E-2</v>
      </c>
      <c r="M202" s="21">
        <v>17.969580000000001</v>
      </c>
      <c r="N202" s="21">
        <v>18.419589999999999</v>
      </c>
      <c r="O202" s="63">
        <v>107</v>
      </c>
      <c r="P202" s="28">
        <v>-5.4502232259497463E-2</v>
      </c>
      <c r="Q202" s="28">
        <v>1.3644681719034546E-2</v>
      </c>
      <c r="R202" s="81">
        <f t="shared" si="96"/>
        <v>-4.083092238728403E-2</v>
      </c>
      <c r="S202" s="81">
        <f t="shared" si="97"/>
        <v>-3.9645985401459867E-2</v>
      </c>
      <c r="T202" s="81">
        <f t="shared" si="98"/>
        <v>0</v>
      </c>
      <c r="U202" s="81">
        <f t="shared" si="99"/>
        <v>0</v>
      </c>
      <c r="V202" s="83">
        <f t="shared" si="100"/>
        <v>0.21394468171903455</v>
      </c>
    </row>
    <row r="203" spans="1:22">
      <c r="A203" s="75">
        <v>4</v>
      </c>
      <c r="B203" s="143" t="s">
        <v>208</v>
      </c>
      <c r="C203" s="144" t="s">
        <v>36</v>
      </c>
      <c r="D203" s="27">
        <v>507225301.20999998</v>
      </c>
      <c r="E203" s="10">
        <f t="shared" si="94"/>
        <v>3.8928258120143742E-2</v>
      </c>
      <c r="F203" s="21">
        <v>38.36</v>
      </c>
      <c r="G203" s="21">
        <v>38.869999999999997</v>
      </c>
      <c r="H203" s="63">
        <v>98</v>
      </c>
      <c r="I203" s="28">
        <v>-5.3036812573749037E-3</v>
      </c>
      <c r="J203" s="28">
        <v>1.9400000000000001E-2</v>
      </c>
      <c r="K203" s="27">
        <v>519206197.68000001</v>
      </c>
      <c r="L203" s="10">
        <f t="shared" si="95"/>
        <v>4.0362922652356713E-2</v>
      </c>
      <c r="M203" s="21">
        <v>39.200789999999998</v>
      </c>
      <c r="N203" s="21">
        <v>39.684060000000002</v>
      </c>
      <c r="O203" s="63">
        <v>98</v>
      </c>
      <c r="P203" s="28">
        <v>-5.3036812573749037E-3</v>
      </c>
      <c r="Q203" s="28">
        <v>4.1287603905876713E-2</v>
      </c>
      <c r="R203" s="81">
        <f t="shared" si="96"/>
        <v>2.3620463019922842E-2</v>
      </c>
      <c r="S203" s="81">
        <f t="shared" si="97"/>
        <v>2.0943143812709158E-2</v>
      </c>
      <c r="T203" s="81">
        <f t="shared" si="98"/>
        <v>0</v>
      </c>
      <c r="U203" s="81">
        <f t="shared" si="99"/>
        <v>0</v>
      </c>
      <c r="V203" s="83">
        <f t="shared" si="100"/>
        <v>2.1887603905876712E-2</v>
      </c>
    </row>
    <row r="204" spans="1:22">
      <c r="A204" s="75">
        <v>5</v>
      </c>
      <c r="B204" s="143" t="s">
        <v>209</v>
      </c>
      <c r="C204" s="144" t="s">
        <v>210</v>
      </c>
      <c r="D204" s="27">
        <v>1140089677.25</v>
      </c>
      <c r="E204" s="10">
        <f t="shared" si="94"/>
        <v>8.7498997250779059E-2</v>
      </c>
      <c r="F204" s="21">
        <v>31300</v>
      </c>
      <c r="G204" s="21">
        <v>40400</v>
      </c>
      <c r="H204" s="63">
        <v>227</v>
      </c>
      <c r="I204" s="28">
        <v>7.0000000000000007E-2</v>
      </c>
      <c r="J204" s="28">
        <v>0.95</v>
      </c>
      <c r="K204" s="27">
        <v>1081137228.96</v>
      </c>
      <c r="L204" s="10">
        <f t="shared" si="95"/>
        <v>8.4047260113776376E-2</v>
      </c>
      <c r="M204" s="21">
        <v>25300</v>
      </c>
      <c r="N204" s="21">
        <v>34200</v>
      </c>
      <c r="O204" s="63">
        <v>227</v>
      </c>
      <c r="P204" s="28">
        <v>-0.05</v>
      </c>
      <c r="Q204" s="28">
        <v>0.85</v>
      </c>
      <c r="R204" s="81">
        <f t="shared" si="96"/>
        <v>-5.1708606319634989E-2</v>
      </c>
      <c r="S204" s="81">
        <f t="shared" si="97"/>
        <v>-0.15346534653465346</v>
      </c>
      <c r="T204" s="81">
        <f t="shared" si="98"/>
        <v>0</v>
      </c>
      <c r="U204" s="81">
        <f t="shared" si="99"/>
        <v>-0.12000000000000001</v>
      </c>
      <c r="V204" s="83">
        <f t="shared" si="100"/>
        <v>-9.9999999999999978E-2</v>
      </c>
    </row>
    <row r="205" spans="1:22">
      <c r="A205" s="75">
        <v>6</v>
      </c>
      <c r="B205" s="143" t="s">
        <v>211</v>
      </c>
      <c r="C205" s="144" t="s">
        <v>212</v>
      </c>
      <c r="D205" s="27">
        <v>1002814170.47</v>
      </c>
      <c r="E205" s="10">
        <f t="shared" si="94"/>
        <v>7.6963449539027756E-2</v>
      </c>
      <c r="F205" s="21">
        <v>844</v>
      </c>
      <c r="G205" s="21">
        <v>844</v>
      </c>
      <c r="H205" s="63">
        <v>119</v>
      </c>
      <c r="I205" s="28">
        <v>-1.78E-2</v>
      </c>
      <c r="J205" s="28">
        <v>5.1299999999999998E-2</v>
      </c>
      <c r="K205" s="27">
        <v>975447338.63</v>
      </c>
      <c r="L205" s="10">
        <f t="shared" si="95"/>
        <v>7.5830962065741372E-2</v>
      </c>
      <c r="M205" s="21">
        <v>933.9</v>
      </c>
      <c r="N205" s="21">
        <v>933.9</v>
      </c>
      <c r="O205" s="63">
        <v>119</v>
      </c>
      <c r="P205" s="28">
        <v>-6.88E-2</v>
      </c>
      <c r="Q205" s="28">
        <v>-1.9E-2</v>
      </c>
      <c r="R205" s="81">
        <f t="shared" si="96"/>
        <v>-2.729003303490787E-2</v>
      </c>
      <c r="S205" s="81">
        <f t="shared" si="97"/>
        <v>0.10651658767772509</v>
      </c>
      <c r="T205" s="81">
        <f t="shared" si="98"/>
        <v>0</v>
      </c>
      <c r="U205" s="81">
        <f t="shared" si="99"/>
        <v>-5.1000000000000004E-2</v>
      </c>
      <c r="V205" s="83">
        <f t="shared" si="100"/>
        <v>-7.0300000000000001E-2</v>
      </c>
    </row>
    <row r="206" spans="1:22">
      <c r="A206" s="75">
        <v>7</v>
      </c>
      <c r="B206" s="143" t="s">
        <v>213</v>
      </c>
      <c r="C206" s="144" t="s">
        <v>212</v>
      </c>
      <c r="D206" s="27">
        <v>914553308.75</v>
      </c>
      <c r="E206" s="10">
        <f t="shared" si="94"/>
        <v>7.0189651783383114E-2</v>
      </c>
      <c r="F206" s="21">
        <v>596.69000000000005</v>
      </c>
      <c r="G206" s="21">
        <v>596.69000000000005</v>
      </c>
      <c r="H206" s="63">
        <v>554</v>
      </c>
      <c r="I206" s="28">
        <v>-5.9999999999999995E-4</v>
      </c>
      <c r="J206" s="28">
        <v>0.36880000000000002</v>
      </c>
      <c r="K206" s="27">
        <v>908660686.47000003</v>
      </c>
      <c r="L206" s="10">
        <f t="shared" si="95"/>
        <v>7.0638989228380591E-2</v>
      </c>
      <c r="M206" s="21">
        <v>577.98</v>
      </c>
      <c r="N206" s="21">
        <v>577.98</v>
      </c>
      <c r="O206" s="63">
        <v>554</v>
      </c>
      <c r="P206" s="28">
        <v>-6.4000000000000003E-3</v>
      </c>
      <c r="Q206" s="28">
        <v>0.36009999999999998</v>
      </c>
      <c r="R206" s="81">
        <f t="shared" si="96"/>
        <v>-6.4431698224939275E-3</v>
      </c>
      <c r="S206" s="81">
        <f t="shared" si="97"/>
        <v>-3.1356315674806068E-2</v>
      </c>
      <c r="T206" s="81">
        <f t="shared" si="98"/>
        <v>0</v>
      </c>
      <c r="U206" s="81">
        <f t="shared" si="99"/>
        <v>-5.8000000000000005E-3</v>
      </c>
      <c r="V206" s="83">
        <f t="shared" si="100"/>
        <v>-8.700000000000041E-3</v>
      </c>
    </row>
    <row r="207" spans="1:22">
      <c r="A207" s="75">
        <v>8</v>
      </c>
      <c r="B207" s="143" t="s">
        <v>214</v>
      </c>
      <c r="C207" s="144" t="s">
        <v>215</v>
      </c>
      <c r="D207" s="27">
        <v>342716893.94</v>
      </c>
      <c r="E207" s="10">
        <f t="shared" si="94"/>
        <v>2.6302654220134593E-2</v>
      </c>
      <c r="F207" s="21">
        <v>15.23</v>
      </c>
      <c r="G207" s="21">
        <v>15.33</v>
      </c>
      <c r="H207" s="63">
        <v>61</v>
      </c>
      <c r="I207" s="28">
        <v>0</v>
      </c>
      <c r="J207" s="28">
        <v>0.44109999999999999</v>
      </c>
      <c r="K207" s="27">
        <v>343774192.20999998</v>
      </c>
      <c r="L207" s="10">
        <f t="shared" si="95"/>
        <v>2.6724895026389122E-2</v>
      </c>
      <c r="M207" s="21">
        <v>15.28</v>
      </c>
      <c r="N207" s="21">
        <v>15.38</v>
      </c>
      <c r="O207" s="63">
        <v>61</v>
      </c>
      <c r="P207" s="28">
        <v>-3.6600000000000001E-2</v>
      </c>
      <c r="Q207" s="28">
        <v>0.38840000000000002</v>
      </c>
      <c r="R207" s="81">
        <f t="shared" si="96"/>
        <v>3.0850485887780128E-3</v>
      </c>
      <c r="S207" s="81">
        <f t="shared" si="97"/>
        <v>3.2615786040444037E-3</v>
      </c>
      <c r="T207" s="81">
        <f t="shared" si="98"/>
        <v>0</v>
      </c>
      <c r="U207" s="81">
        <f t="shared" si="99"/>
        <v>-3.6600000000000001E-2</v>
      </c>
      <c r="V207" s="83">
        <f t="shared" si="100"/>
        <v>-5.2699999999999969E-2</v>
      </c>
    </row>
    <row r="208" spans="1:22">
      <c r="A208" s="75">
        <v>9</v>
      </c>
      <c r="B208" s="143" t="s">
        <v>216</v>
      </c>
      <c r="C208" s="144" t="s">
        <v>215</v>
      </c>
      <c r="D208" s="29">
        <v>670017667.19000006</v>
      </c>
      <c r="E208" s="10">
        <f t="shared" si="94"/>
        <v>5.1422160194312214E-2</v>
      </c>
      <c r="F208" s="21">
        <v>7.87</v>
      </c>
      <c r="G208" s="21">
        <v>7.97</v>
      </c>
      <c r="H208" s="63">
        <v>101</v>
      </c>
      <c r="I208" s="28">
        <v>-3.85E-2</v>
      </c>
      <c r="J208" s="28">
        <v>-9.4E-2</v>
      </c>
      <c r="K208" s="29">
        <v>623071007.89999998</v>
      </c>
      <c r="L208" s="10">
        <f t="shared" si="95"/>
        <v>4.8437339560213781E-2</v>
      </c>
      <c r="M208" s="21">
        <v>7.28</v>
      </c>
      <c r="N208" s="21">
        <v>7.38</v>
      </c>
      <c r="O208" s="63">
        <v>101</v>
      </c>
      <c r="P208" s="28">
        <v>-6.25E-2</v>
      </c>
      <c r="Q208" s="28">
        <v>-0.15060000000000001</v>
      </c>
      <c r="R208" s="81">
        <f t="shared" si="96"/>
        <v>-7.0067793117889826E-2</v>
      </c>
      <c r="S208" s="81">
        <f t="shared" si="97"/>
        <v>-7.4027603513174389E-2</v>
      </c>
      <c r="T208" s="81">
        <f t="shared" si="98"/>
        <v>0</v>
      </c>
      <c r="U208" s="81">
        <f t="shared" si="99"/>
        <v>-2.4E-2</v>
      </c>
      <c r="V208" s="83">
        <f t="shared" si="100"/>
        <v>-5.6600000000000011E-2</v>
      </c>
    </row>
    <row r="209" spans="1:22" ht="15" customHeight="1">
      <c r="A209" s="75">
        <v>10</v>
      </c>
      <c r="B209" s="143" t="s">
        <v>217</v>
      </c>
      <c r="C209" s="144" t="s">
        <v>215</v>
      </c>
      <c r="D209" s="27">
        <v>448594789.42000002</v>
      </c>
      <c r="E209" s="10">
        <f t="shared" si="94"/>
        <v>3.4428514729519182E-2</v>
      </c>
      <c r="F209" s="21">
        <v>126.43</v>
      </c>
      <c r="G209" s="21">
        <v>128.43</v>
      </c>
      <c r="H209" s="63">
        <v>252</v>
      </c>
      <c r="I209" s="28">
        <v>-0.5</v>
      </c>
      <c r="J209" s="28">
        <v>1.0269999999999999</v>
      </c>
      <c r="K209" s="27">
        <v>449728737.63</v>
      </c>
      <c r="L209" s="10">
        <f t="shared" si="95"/>
        <v>3.4961767275916614E-2</v>
      </c>
      <c r="M209" s="21">
        <v>126.75</v>
      </c>
      <c r="N209" s="21">
        <v>128.75</v>
      </c>
      <c r="O209" s="63">
        <v>255</v>
      </c>
      <c r="P209" s="28">
        <v>-1.67E-2</v>
      </c>
      <c r="Q209" s="28">
        <v>0.99319999999999997</v>
      </c>
      <c r="R209" s="81">
        <f t="shared" si="96"/>
        <v>2.5277783798293555E-3</v>
      </c>
      <c r="S209" s="81">
        <f t="shared" si="97"/>
        <v>2.4916296815385283E-3</v>
      </c>
      <c r="T209" s="81">
        <f t="shared" si="98"/>
        <v>1.1904761904761904E-2</v>
      </c>
      <c r="U209" s="81">
        <f t="shared" si="99"/>
        <v>0.48330000000000001</v>
      </c>
      <c r="V209" s="83">
        <f t="shared" si="100"/>
        <v>-3.3799999999999941E-2</v>
      </c>
    </row>
    <row r="210" spans="1:22">
      <c r="A210" s="75">
        <v>11</v>
      </c>
      <c r="B210" s="143" t="s">
        <v>218</v>
      </c>
      <c r="C210" s="144" t="s">
        <v>215</v>
      </c>
      <c r="D210" s="27">
        <v>5311900657.46</v>
      </c>
      <c r="E210" s="10">
        <f t="shared" si="94"/>
        <v>0.40767493145329592</v>
      </c>
      <c r="F210" s="21">
        <v>36.57</v>
      </c>
      <c r="G210" s="21">
        <v>36.770000000000003</v>
      </c>
      <c r="H210" s="63">
        <v>268</v>
      </c>
      <c r="I210" s="28">
        <v>0</v>
      </c>
      <c r="J210" s="28">
        <v>0.40739999999999998</v>
      </c>
      <c r="K210" s="27">
        <v>5279057297.5900002</v>
      </c>
      <c r="L210" s="10">
        <f t="shared" si="95"/>
        <v>0.41039221475416582</v>
      </c>
      <c r="M210" s="21">
        <v>36.340000000000003</v>
      </c>
      <c r="N210" s="21">
        <v>36.54</v>
      </c>
      <c r="O210" s="63">
        <v>272</v>
      </c>
      <c r="P210" s="28">
        <v>-5.2600000000000001E-2</v>
      </c>
      <c r="Q210" s="28">
        <v>0.33329999999999999</v>
      </c>
      <c r="R210" s="81">
        <f t="shared" si="96"/>
        <v>-6.1829770524557681E-3</v>
      </c>
      <c r="S210" s="81">
        <f t="shared" si="97"/>
        <v>-6.2550992657058463E-3</v>
      </c>
      <c r="T210" s="81">
        <f t="shared" si="98"/>
        <v>1.4925373134328358E-2</v>
      </c>
      <c r="U210" s="81">
        <f t="shared" si="99"/>
        <v>-5.2600000000000001E-2</v>
      </c>
      <c r="V210" s="83">
        <f t="shared" si="100"/>
        <v>-7.4099999999999999E-2</v>
      </c>
    </row>
    <row r="211" spans="1:22">
      <c r="A211" s="75">
        <v>12</v>
      </c>
      <c r="B211" s="143" t="s">
        <v>219</v>
      </c>
      <c r="C211" s="144" t="s">
        <v>215</v>
      </c>
      <c r="D211" s="29">
        <v>497374799.11000001</v>
      </c>
      <c r="E211" s="10">
        <f t="shared" si="94"/>
        <v>3.8172257014822186E-2</v>
      </c>
      <c r="F211" s="21">
        <v>46.82</v>
      </c>
      <c r="G211" s="21">
        <v>47.02</v>
      </c>
      <c r="H211" s="63">
        <v>58</v>
      </c>
      <c r="I211" s="28">
        <v>0</v>
      </c>
      <c r="J211" s="28">
        <v>0.81130000000000002</v>
      </c>
      <c r="K211" s="29">
        <v>498190639.19999999</v>
      </c>
      <c r="L211" s="10">
        <f t="shared" si="95"/>
        <v>3.8729179901953112E-2</v>
      </c>
      <c r="M211" s="21">
        <v>46.91</v>
      </c>
      <c r="N211" s="21">
        <v>47.11</v>
      </c>
      <c r="O211" s="63">
        <v>58</v>
      </c>
      <c r="P211" s="28">
        <v>-1.8700000000000001E-2</v>
      </c>
      <c r="Q211" s="28">
        <v>0.77739999999999998</v>
      </c>
      <c r="R211" s="81">
        <f t="shared" si="96"/>
        <v>1.6402923740001182E-3</v>
      </c>
      <c r="S211" s="81">
        <f t="shared" si="97"/>
        <v>1.9140791152700192E-3</v>
      </c>
      <c r="T211" s="81">
        <f t="shared" si="98"/>
        <v>0</v>
      </c>
      <c r="U211" s="81">
        <f t="shared" si="99"/>
        <v>-1.8700000000000001E-2</v>
      </c>
      <c r="V211" s="83">
        <f t="shared" si="100"/>
        <v>-3.3900000000000041E-2</v>
      </c>
    </row>
    <row r="212" spans="1:22">
      <c r="A212" s="43"/>
      <c r="B212" s="43"/>
      <c r="C212" s="74" t="s">
        <v>220</v>
      </c>
      <c r="D212" s="73">
        <f>SUM(D200:D211)</f>
        <v>13029745632.197506</v>
      </c>
      <c r="E212" s="24"/>
      <c r="F212" s="24"/>
      <c r="G212" s="22"/>
      <c r="H212" s="73">
        <f>SUM(H200:H211)</f>
        <v>2117</v>
      </c>
      <c r="I212" s="23"/>
      <c r="J212" s="23"/>
      <c r="K212" s="73">
        <f>SUM(K200:K211)</f>
        <v>12863444061.07283</v>
      </c>
      <c r="L212" s="24"/>
      <c r="M212" s="24"/>
      <c r="N212" s="22"/>
      <c r="O212" s="73">
        <f>SUM(O200:O211)</f>
        <v>2124</v>
      </c>
      <c r="P212" s="23"/>
      <c r="Q212" s="23"/>
      <c r="R212" s="81">
        <f t="shared" si="96"/>
        <v>-1.2763224687497486E-2</v>
      </c>
      <c r="S212" s="81" t="e">
        <f t="shared" si="97"/>
        <v>#DIV/0!</v>
      </c>
      <c r="T212" s="81">
        <f t="shared" si="98"/>
        <v>3.3065658951346244E-3</v>
      </c>
      <c r="U212" s="81">
        <f t="shared" si="99"/>
        <v>0</v>
      </c>
      <c r="V212" s="83">
        <f t="shared" si="100"/>
        <v>0</v>
      </c>
    </row>
    <row r="213" spans="1:22">
      <c r="A213" s="88"/>
      <c r="B213" s="88"/>
      <c r="C213" s="89" t="s">
        <v>221</v>
      </c>
      <c r="D213" s="90">
        <f>SUM(D192,D197,D212)</f>
        <v>3001096149336.9893</v>
      </c>
      <c r="E213" s="91"/>
      <c r="F213" s="91"/>
      <c r="G213" s="92"/>
      <c r="H213" s="90">
        <f>SUM(H192,H197,H212)</f>
        <v>735087</v>
      </c>
      <c r="I213" s="93"/>
      <c r="J213" s="93"/>
      <c r="K213" s="90">
        <f>SUM(K192,K197,K212)</f>
        <v>2974955881755.3872</v>
      </c>
      <c r="L213" s="91"/>
      <c r="M213" s="91"/>
      <c r="N213" s="92"/>
      <c r="O213" s="90">
        <f>SUM(O192,O197,O212)</f>
        <v>726423.08299999998</v>
      </c>
      <c r="P213" s="94"/>
      <c r="Q213" s="90"/>
      <c r="R213" s="95"/>
      <c r="S213" s="96"/>
      <c r="T213" s="96"/>
      <c r="U213" s="97"/>
      <c r="V213" s="97"/>
    </row>
    <row r="214" spans="1:22">
      <c r="A214" s="109" t="s">
        <v>250</v>
      </c>
      <c r="B214" s="110" t="s">
        <v>278</v>
      </c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</row>
    <row r="216" spans="1:22">
      <c r="B216" s="113"/>
      <c r="C216" s="113"/>
      <c r="D216" s="112"/>
      <c r="K216" s="112"/>
    </row>
    <row r="217" spans="1:22">
      <c r="B217" s="113"/>
      <c r="D217" s="112"/>
    </row>
  </sheetData>
  <sheetProtection algorithmName="SHA-512" hashValue="CetisDSlUc9qJ2PFvBfnPsMZCFUnMQGPI9vXXd5QiHBJDUx+ykhvoOUV99aD6lneKa3DnaE2c4uj1l/CZUgASw==" saltValue="yjSx+O+qb4cWsLafyiiJlw==" spinCount="100000" sheet="1" objects="1" scenarios="1"/>
  <mergeCells count="31">
    <mergeCell ref="A198:V198"/>
    <mergeCell ref="A199:V199"/>
    <mergeCell ref="A175:V175"/>
    <mergeCell ref="A178:V178"/>
    <mergeCell ref="A179:V179"/>
    <mergeCell ref="A193:U193"/>
    <mergeCell ref="A194:V194"/>
    <mergeCell ref="A174:V174"/>
    <mergeCell ref="A98:V98"/>
    <mergeCell ref="A99:V99"/>
    <mergeCell ref="A115:V115"/>
    <mergeCell ref="A116:V116"/>
    <mergeCell ref="A130:V130"/>
    <mergeCell ref="A131:V131"/>
    <mergeCell ref="A138:V138"/>
    <mergeCell ref="A139:V139"/>
    <mergeCell ref="A167:V167"/>
    <mergeCell ref="A168:V168"/>
    <mergeCell ref="A173:V173"/>
    <mergeCell ref="A97:V97"/>
    <mergeCell ref="A1:V1"/>
    <mergeCell ref="U2:V2"/>
    <mergeCell ref="A4:V4"/>
    <mergeCell ref="A5:V5"/>
    <mergeCell ref="A24:V24"/>
    <mergeCell ref="A25:V25"/>
    <mergeCell ref="A59:V59"/>
    <mergeCell ref="A60:V60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3 E83 E65" formula="1"/>
    <ignoredError sqref="S137 S23 T35 S58 S96 S129 T147 S166 S172 S191 S212 T195:T19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I2" sqref="I2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29" t="s">
        <v>222</v>
      </c>
      <c r="B2" s="146" t="s">
        <v>275</v>
      </c>
      <c r="C2" s="146" t="s">
        <v>280</v>
      </c>
      <c r="D2" s="99"/>
    </row>
    <row r="3" spans="1:4" ht="16.5">
      <c r="A3" s="130" t="s">
        <v>15</v>
      </c>
      <c r="B3" s="131">
        <f t="shared" ref="B3:C10" si="0">B12</f>
        <v>27.187812730463602</v>
      </c>
      <c r="C3" s="131">
        <f t="shared" si="0"/>
        <v>26.745861363273004</v>
      </c>
      <c r="D3" s="99"/>
    </row>
    <row r="4" spans="1:4" ht="17.25" customHeight="1">
      <c r="A4" s="132" t="s">
        <v>47</v>
      </c>
      <c r="B4" s="133">
        <f t="shared" si="0"/>
        <v>974.78864850033574</v>
      </c>
      <c r="C4" s="133">
        <f t="shared" si="0"/>
        <v>984.56612172851305</v>
      </c>
      <c r="D4" s="99"/>
    </row>
    <row r="5" spans="1:4" ht="19.5" customHeight="1">
      <c r="A5" s="132" t="s">
        <v>223</v>
      </c>
      <c r="B5" s="131">
        <f t="shared" si="0"/>
        <v>244.01717118790228</v>
      </c>
      <c r="C5" s="131">
        <f t="shared" si="0"/>
        <v>239.7472082621791</v>
      </c>
      <c r="D5" s="99"/>
    </row>
    <row r="6" spans="1:4" ht="16.5">
      <c r="A6" s="132" t="s">
        <v>128</v>
      </c>
      <c r="B6" s="133">
        <f t="shared" si="0"/>
        <v>1433.1002934685864</v>
      </c>
      <c r="C6" s="133">
        <f t="shared" si="0"/>
        <v>1403.9426416315687</v>
      </c>
      <c r="D6" s="99"/>
    </row>
    <row r="7" spans="1:4" ht="16.5">
      <c r="A7" s="132" t="s">
        <v>224</v>
      </c>
      <c r="B7" s="131">
        <f t="shared" si="0"/>
        <v>99.095338201223825</v>
      </c>
      <c r="C7" s="131">
        <f t="shared" si="0"/>
        <v>98.590301385434415</v>
      </c>
      <c r="D7" s="99"/>
    </row>
    <row r="8" spans="1:4" ht="16.5">
      <c r="A8" s="132" t="s">
        <v>154</v>
      </c>
      <c r="B8" s="134">
        <f t="shared" si="0"/>
        <v>48.528341927034383</v>
      </c>
      <c r="C8" s="134">
        <f t="shared" si="0"/>
        <v>47.384871316741325</v>
      </c>
      <c r="D8" s="99"/>
    </row>
    <row r="9" spans="1:4" ht="16.5">
      <c r="A9" s="132" t="s">
        <v>178</v>
      </c>
      <c r="B9" s="131">
        <f t="shared" si="0"/>
        <v>4.7917528381499999</v>
      </c>
      <c r="C9" s="131">
        <f t="shared" si="0"/>
        <v>4.7632378417700005</v>
      </c>
      <c r="D9" s="99"/>
    </row>
    <row r="10" spans="1:4" ht="16.5">
      <c r="A10" s="132" t="s">
        <v>225</v>
      </c>
      <c r="B10" s="131">
        <f t="shared" si="0"/>
        <v>51.188420633276351</v>
      </c>
      <c r="C10" s="131">
        <f t="shared" si="0"/>
        <v>50.977525627555075</v>
      </c>
      <c r="D10" s="99"/>
    </row>
    <row r="11" spans="1:4">
      <c r="A11" s="99"/>
      <c r="B11" s="99"/>
      <c r="C11" s="99"/>
      <c r="D11" s="99"/>
    </row>
    <row r="12" spans="1:4">
      <c r="A12" s="135" t="s">
        <v>15</v>
      </c>
      <c r="B12" s="136">
        <f>'Weekly Valuation'!D23/1000000000</f>
        <v>27.187812730463602</v>
      </c>
      <c r="C12" s="137">
        <f>'Weekly Valuation'!K23/1000000000</f>
        <v>26.745861363273004</v>
      </c>
      <c r="D12" s="99"/>
    </row>
    <row r="13" spans="1:4">
      <c r="A13" s="138" t="s">
        <v>47</v>
      </c>
      <c r="B13" s="136">
        <f>'Weekly Valuation'!D58/1000000000</f>
        <v>974.78864850033574</v>
      </c>
      <c r="C13" s="139">
        <f>'Weekly Valuation'!K58/1000000000</f>
        <v>984.56612172851305</v>
      </c>
      <c r="D13" s="99"/>
    </row>
    <row r="14" spans="1:4">
      <c r="A14" s="138" t="s">
        <v>223</v>
      </c>
      <c r="B14" s="136">
        <f>'Weekly Valuation'!D96/1000000000</f>
        <v>244.01717118790228</v>
      </c>
      <c r="C14" s="137">
        <f>'Weekly Valuation'!K96/1000000000</f>
        <v>239.7472082621791</v>
      </c>
      <c r="D14" s="99"/>
    </row>
    <row r="15" spans="1:4">
      <c r="A15" s="138" t="s">
        <v>128</v>
      </c>
      <c r="B15" s="136">
        <f>'Weekly Valuation'!D129/1000000000</f>
        <v>1433.1002934685864</v>
      </c>
      <c r="C15" s="139">
        <f>'Weekly Valuation'!K129/1000000000</f>
        <v>1403.9426416315687</v>
      </c>
      <c r="D15" s="99"/>
    </row>
    <row r="16" spans="1:4">
      <c r="A16" s="138" t="s">
        <v>224</v>
      </c>
      <c r="B16" s="136">
        <f>'Weekly Valuation'!D137/1000000000</f>
        <v>99.095338201223825</v>
      </c>
      <c r="C16" s="137">
        <f>'Weekly Valuation'!K137/1000000000</f>
        <v>98.590301385434415</v>
      </c>
      <c r="D16" s="99"/>
    </row>
    <row r="17" spans="1:4">
      <c r="A17" s="138" t="s">
        <v>154</v>
      </c>
      <c r="B17" s="136">
        <f>'Weekly Valuation'!D166/1000000000</f>
        <v>48.528341927034383</v>
      </c>
      <c r="C17" s="140">
        <f>'Weekly Valuation'!K166/1000000000</f>
        <v>47.384871316741325</v>
      </c>
      <c r="D17" s="99"/>
    </row>
    <row r="18" spans="1:4">
      <c r="A18" s="138" t="s">
        <v>178</v>
      </c>
      <c r="B18" s="136">
        <f>'Weekly Valuation'!D172/1000000000</f>
        <v>4.7917528381499999</v>
      </c>
      <c r="C18" s="137">
        <f>'Weekly Valuation'!K172/1000000000</f>
        <v>4.7632378417700005</v>
      </c>
      <c r="D18" s="99"/>
    </row>
    <row r="19" spans="1:4">
      <c r="A19" s="138" t="s">
        <v>225</v>
      </c>
      <c r="B19" s="136">
        <f>'Weekly Valuation'!D191/1000000000</f>
        <v>51.188420633276351</v>
      </c>
      <c r="C19" s="137">
        <f>'Weekly Valuation'!K191/1000000000</f>
        <v>50.977525627555075</v>
      </c>
      <c r="D19" s="99"/>
    </row>
    <row r="20" spans="1:4" ht="16.5">
      <c r="A20" s="141"/>
      <c r="B20" s="99"/>
      <c r="C20" s="142"/>
      <c r="D20" s="99"/>
    </row>
    <row r="21" spans="1:4" ht="16.5">
      <c r="A21" s="141"/>
      <c r="B21" s="99"/>
      <c r="C21" s="149"/>
      <c r="D21" s="99"/>
    </row>
    <row r="22" spans="1:4" ht="16.5">
      <c r="A22" s="115"/>
      <c r="B22" s="106"/>
      <c r="C22" s="124"/>
      <c r="D22" s="101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d/RR0Eg+tUDJXG75N2LECwwtr3JDsAsZKmEmzC6PX6Ua+Vqeq7njL9y/C3n8RYy8JXs7zVpi5Yko7whwWmgW3w==" saltValue="wzJJG2hREcSXstNjUqWVc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L2" sqref="L2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9" t="s">
        <v>222</v>
      </c>
      <c r="B1" s="147">
        <v>45436</v>
      </c>
      <c r="C1" s="99"/>
      <c r="D1" s="99"/>
    </row>
    <row r="2" spans="1:4" ht="16.5">
      <c r="A2" s="132" t="s">
        <v>178</v>
      </c>
      <c r="B2" s="131">
        <f>'Weekly Valuation'!K172</f>
        <v>4763237841.7700005</v>
      </c>
      <c r="C2" s="99"/>
      <c r="D2" s="99"/>
    </row>
    <row r="3" spans="1:4" ht="16.5">
      <c r="A3" s="132" t="s">
        <v>15</v>
      </c>
      <c r="B3" s="131">
        <f>'Weekly Valuation'!K23</f>
        <v>26745861363.273003</v>
      </c>
      <c r="C3" s="99"/>
      <c r="D3" s="99"/>
    </row>
    <row r="4" spans="1:4" ht="16.5">
      <c r="A4" s="132" t="s">
        <v>154</v>
      </c>
      <c r="B4" s="134">
        <f>'Weekly Valuation'!K166</f>
        <v>47384871316.741325</v>
      </c>
      <c r="C4" s="99"/>
      <c r="D4" s="99"/>
    </row>
    <row r="5" spans="1:4" ht="16.5">
      <c r="A5" s="132" t="s">
        <v>225</v>
      </c>
      <c r="B5" s="131">
        <f>'Weekly Valuation'!K191</f>
        <v>50977525627.555077</v>
      </c>
      <c r="C5" s="99"/>
      <c r="D5" s="99"/>
    </row>
    <row r="6" spans="1:4" ht="16.5">
      <c r="A6" s="132" t="s">
        <v>224</v>
      </c>
      <c r="B6" s="131">
        <f>'Weekly Valuation'!K137</f>
        <v>98590301385.434418</v>
      </c>
      <c r="C6" s="99"/>
      <c r="D6" s="99"/>
    </row>
    <row r="7" spans="1:4" ht="16.5">
      <c r="A7" s="132" t="s">
        <v>223</v>
      </c>
      <c r="B7" s="131">
        <f>'Weekly Valuation'!K96</f>
        <v>239747208262.17911</v>
      </c>
      <c r="C7" s="99"/>
      <c r="D7" s="99"/>
    </row>
    <row r="8" spans="1:4" ht="16.5">
      <c r="A8" s="132" t="s">
        <v>47</v>
      </c>
      <c r="B8" s="133">
        <f>'Weekly Valuation'!K58</f>
        <v>984566121728.51306</v>
      </c>
      <c r="C8" s="99"/>
      <c r="D8" s="99"/>
    </row>
    <row r="9" spans="1:4" ht="16.5">
      <c r="A9" s="132" t="s">
        <v>128</v>
      </c>
      <c r="B9" s="133">
        <f>'Weekly Valuation'!K129</f>
        <v>1403942641631.5686</v>
      </c>
      <c r="C9" s="99"/>
      <c r="D9" s="99"/>
    </row>
    <row r="10" spans="1:4">
      <c r="A10" s="99"/>
      <c r="B10" s="99"/>
      <c r="C10" s="99"/>
      <c r="D10" s="99"/>
    </row>
    <row r="11" spans="1:4" ht="16.5">
      <c r="A11" s="148"/>
      <c r="B11" s="99"/>
      <c r="C11" s="99"/>
      <c r="D11" s="99"/>
    </row>
    <row r="12" spans="1:4" ht="16.5">
      <c r="A12" s="149"/>
      <c r="B12" s="99"/>
      <c r="C12" s="99"/>
      <c r="D12" s="99"/>
    </row>
    <row r="13" spans="1:4" ht="16.5">
      <c r="A13" s="106"/>
      <c r="B13" s="106"/>
      <c r="C13" s="101"/>
      <c r="D13" s="101"/>
    </row>
    <row r="14" spans="1:4" ht="16.5">
      <c r="A14" s="106"/>
      <c r="B14" s="106"/>
      <c r="C14" s="101"/>
      <c r="D14" s="101"/>
    </row>
    <row r="15" spans="1:4" ht="16.5" customHeight="1">
      <c r="A15" s="124"/>
      <c r="B15" s="124"/>
      <c r="C15" s="101"/>
    </row>
    <row r="16" spans="1:4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68" t="s">
        <v>279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07"/>
    </row>
    <row r="33" spans="1:17" ht="15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07"/>
    </row>
  </sheetData>
  <sheetProtection algorithmName="SHA-512" hashValue="HmtnY1zmAh1z/Io7uXY+kEvpADLyESuPFdDSqXJ1j+aSW4z+kXQcHjqZFItpsTtIcbpvOpB/StcGGmBS2M/F4Q==" saltValue="AVv3KPzUn/RCk8zLoACSCg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F1" sqref="F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69" t="s">
        <v>233</v>
      </c>
      <c r="B2" s="170">
        <v>45387</v>
      </c>
      <c r="C2" s="170">
        <v>45394</v>
      </c>
      <c r="D2" s="170">
        <v>45401</v>
      </c>
      <c r="E2" s="170">
        <v>45408</v>
      </c>
      <c r="F2" s="170">
        <v>45415</v>
      </c>
      <c r="G2" s="170">
        <v>45422</v>
      </c>
      <c r="H2" s="170">
        <v>45429</v>
      </c>
      <c r="I2" s="170">
        <v>45436</v>
      </c>
      <c r="J2" s="99"/>
      <c r="K2" s="101"/>
      <c r="L2" s="101"/>
      <c r="M2" s="101"/>
    </row>
    <row r="3" spans="1:13">
      <c r="A3" s="169" t="s">
        <v>234</v>
      </c>
      <c r="B3" s="171">
        <f t="shared" ref="B3:I3" si="0">B4</f>
        <v>2589.6638814860466</v>
      </c>
      <c r="C3" s="171">
        <f t="shared" si="0"/>
        <v>2515.3217074592571</v>
      </c>
      <c r="D3" s="171">
        <f t="shared" si="0"/>
        <v>2510.7979153396032</v>
      </c>
      <c r="E3" s="171">
        <f t="shared" si="0"/>
        <v>2662.1939749035823</v>
      </c>
      <c r="F3" s="171">
        <f t="shared" si="0"/>
        <v>2732.0956989192559</v>
      </c>
      <c r="G3" s="171">
        <f t="shared" si="0"/>
        <v>2805.3798287181139</v>
      </c>
      <c r="H3" s="171">
        <f t="shared" si="0"/>
        <v>2882.6977794869722</v>
      </c>
      <c r="I3" s="171">
        <f t="shared" si="0"/>
        <v>2856.7177691570346</v>
      </c>
      <c r="J3" s="99"/>
      <c r="K3" s="101"/>
      <c r="L3" s="101"/>
      <c r="M3" s="101"/>
    </row>
    <row r="4" spans="1:13">
      <c r="A4" s="99"/>
      <c r="B4" s="172">
        <f>'NAV Trend'!C10/1000000000</f>
        <v>2589.6638814860466</v>
      </c>
      <c r="C4" s="172">
        <f>'NAV Trend'!D10/1000000000</f>
        <v>2515.3217074592571</v>
      </c>
      <c r="D4" s="172">
        <f>'NAV Trend'!E10/1000000000</f>
        <v>2510.7979153396032</v>
      </c>
      <c r="E4" s="172">
        <f>'NAV Trend'!F10/1000000000</f>
        <v>2662.1939749035823</v>
      </c>
      <c r="F4" s="172">
        <f>'NAV Trend'!G10/1000000000</f>
        <v>2732.0956989192559</v>
      </c>
      <c r="G4" s="172">
        <f>'NAV Trend'!H10/1000000000</f>
        <v>2805.3798287181139</v>
      </c>
      <c r="H4" s="173">
        <f>'NAV Trend'!I10/1000000000</f>
        <v>2882.6977794869722</v>
      </c>
      <c r="I4" s="173">
        <f>'NAV Trend'!J10/1000000000</f>
        <v>2856.7177691570346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wrocotNAkNwQYy2O3tvKCEIiGr0nEBu2goTkVqHuBfaX46yPlwaxgH+JE/5XnZJ6Iesk+a4C2AOcQhQg81oShA==" saltValue="WTqT6Up6DwxVa4w2LRlAP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D6" sqref="D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101"/>
      <c r="K1" s="101"/>
      <c r="L1" s="101"/>
    </row>
    <row r="2" spans="1:12">
      <c r="A2" s="169" t="s">
        <v>233</v>
      </c>
      <c r="B2" s="170">
        <v>45387</v>
      </c>
      <c r="C2" s="170">
        <v>45394</v>
      </c>
      <c r="D2" s="170">
        <v>45401</v>
      </c>
      <c r="E2" s="170">
        <v>45408</v>
      </c>
      <c r="F2" s="170">
        <v>45415</v>
      </c>
      <c r="G2" s="170">
        <v>45422</v>
      </c>
      <c r="H2" s="170">
        <v>45429</v>
      </c>
      <c r="I2" s="170">
        <v>45436</v>
      </c>
      <c r="J2" s="101"/>
      <c r="K2" s="101"/>
      <c r="L2" s="101"/>
    </row>
    <row r="3" spans="1:12">
      <c r="A3" s="169" t="s">
        <v>265</v>
      </c>
      <c r="B3" s="171">
        <f t="shared" ref="B3:I3" si="0">B4</f>
        <v>13.392488443196084</v>
      </c>
      <c r="C3" s="171">
        <f t="shared" si="0"/>
        <v>13.204581677229028</v>
      </c>
      <c r="D3" s="171">
        <f t="shared" si="0"/>
        <v>12.730402807627465</v>
      </c>
      <c r="E3" s="171">
        <f t="shared" si="0"/>
        <v>12.735357486958618</v>
      </c>
      <c r="F3" s="171">
        <f t="shared" si="0"/>
        <v>13.067918239830002</v>
      </c>
      <c r="G3" s="171">
        <f t="shared" si="0"/>
        <v>13.03449671834</v>
      </c>
      <c r="H3" s="171">
        <f t="shared" si="0"/>
        <v>13.029745632197505</v>
      </c>
      <c r="I3" s="171">
        <f t="shared" si="0"/>
        <v>12.86344406107283</v>
      </c>
      <c r="J3" s="101"/>
      <c r="K3" s="101"/>
      <c r="L3" s="101"/>
    </row>
    <row r="4" spans="1:12">
      <c r="A4" s="99"/>
      <c r="B4" s="172">
        <f>'NAV Trend'!C16/1000000000</f>
        <v>13.392488443196084</v>
      </c>
      <c r="C4" s="172">
        <f>'NAV Trend'!D16/1000000000</f>
        <v>13.204581677229028</v>
      </c>
      <c r="D4" s="172">
        <f>'NAV Trend'!E16/1000000000</f>
        <v>12.730402807627465</v>
      </c>
      <c r="E4" s="172">
        <f>'NAV Trend'!F16/1000000000</f>
        <v>12.735357486958618</v>
      </c>
      <c r="F4" s="172">
        <f>'NAV Trend'!G16/1000000000</f>
        <v>13.067918239830002</v>
      </c>
      <c r="G4" s="172">
        <f>'NAV Trend'!H16/1000000000</f>
        <v>13.03449671834</v>
      </c>
      <c r="H4" s="172">
        <f>'NAV Trend'!I16/1000000000</f>
        <v>13.029745632197505</v>
      </c>
      <c r="I4" s="173">
        <f>'NAV Trend'!J16/1000000000</f>
        <v>12.86344406107283</v>
      </c>
      <c r="J4" s="101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101"/>
      <c r="K5" s="101"/>
      <c r="L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</sheetData>
  <sheetProtection algorithmName="SHA-512" hashValue="wfuq65n6dqOYU5kUZK2jhjRshz6wu2PqepH8Ma2kkGgFTkjcNX/vrSCaT91NTcuuYySkjqebFEfWVgM8O2t0RA==" saltValue="/xdwbrMXV334m1njNHOnU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45379</v>
      </c>
      <c r="C1" s="45">
        <v>45387</v>
      </c>
      <c r="D1" s="45">
        <v>45394</v>
      </c>
      <c r="E1" s="45">
        <v>45401</v>
      </c>
      <c r="F1" s="45">
        <v>45408</v>
      </c>
      <c r="G1" s="45">
        <v>45415</v>
      </c>
      <c r="H1" s="45">
        <v>45422</v>
      </c>
      <c r="I1" s="45">
        <v>45429</v>
      </c>
      <c r="J1" s="45">
        <v>45436</v>
      </c>
    </row>
    <row r="2" spans="1:11" ht="16.5">
      <c r="A2" s="46" t="s">
        <v>15</v>
      </c>
      <c r="B2" s="47">
        <v>28499552255.214199</v>
      </c>
      <c r="C2" s="47">
        <v>27852455758.705902</v>
      </c>
      <c r="D2" s="47">
        <v>27759764748.77</v>
      </c>
      <c r="E2" s="47">
        <v>26572100101.452099</v>
      </c>
      <c r="F2" s="47">
        <v>26264049012.868401</v>
      </c>
      <c r="G2" s="47">
        <v>27319052490.226498</v>
      </c>
      <c r="H2" s="128">
        <v>27676372012.243797</v>
      </c>
      <c r="I2" s="128">
        <v>27187812730.4636</v>
      </c>
      <c r="J2" s="128">
        <v>26745861363.273003</v>
      </c>
    </row>
    <row r="3" spans="1:11" ht="16.5">
      <c r="A3" s="46" t="s">
        <v>47</v>
      </c>
      <c r="B3" s="48">
        <v>919496006574.40955</v>
      </c>
      <c r="C3" s="48">
        <v>932135468254.62366</v>
      </c>
      <c r="D3" s="128">
        <v>934334906874.48413</v>
      </c>
      <c r="E3" s="128">
        <v>933193021103.14502</v>
      </c>
      <c r="F3" s="128">
        <v>929998159930.67285</v>
      </c>
      <c r="G3" s="128">
        <v>943173062252.88904</v>
      </c>
      <c r="H3" s="128">
        <v>959754142868.04614</v>
      </c>
      <c r="I3" s="128">
        <v>974788648500.33569</v>
      </c>
      <c r="J3" s="128">
        <v>984566121728.51306</v>
      </c>
    </row>
    <row r="4" spans="1:11" ht="16.5">
      <c r="A4" s="46" t="s">
        <v>223</v>
      </c>
      <c r="B4" s="47">
        <v>271658696513.58481</v>
      </c>
      <c r="C4" s="47">
        <v>269472046413.53357</v>
      </c>
      <c r="D4" s="127">
        <v>268371629137.21021</v>
      </c>
      <c r="E4" s="127">
        <v>263752465697.42932</v>
      </c>
      <c r="F4" s="127">
        <v>259455612091.81857</v>
      </c>
      <c r="G4" s="127">
        <v>257291528161.24875</v>
      </c>
      <c r="H4" s="127">
        <v>246839006741.43805</v>
      </c>
      <c r="I4" s="127">
        <v>244017171187.90228</v>
      </c>
      <c r="J4" s="127">
        <v>239747208262.17911</v>
      </c>
    </row>
    <row r="5" spans="1:11" ht="16.5">
      <c r="A5" s="46" t="s">
        <v>128</v>
      </c>
      <c r="B5" s="48">
        <v>1220986424851.5159</v>
      </c>
      <c r="C5" s="48">
        <v>1156417308460.8564</v>
      </c>
      <c r="D5" s="128">
        <v>1082391359671.3127</v>
      </c>
      <c r="E5" s="128">
        <v>1084163633164.5548</v>
      </c>
      <c r="F5" s="128">
        <v>1242707828226.4185</v>
      </c>
      <c r="G5" s="128">
        <v>1300480857237.7634</v>
      </c>
      <c r="H5" s="128">
        <v>1366888956827.947</v>
      </c>
      <c r="I5" s="128">
        <v>1433100293468.5864</v>
      </c>
      <c r="J5" s="128">
        <v>1403942641631.5686</v>
      </c>
    </row>
    <row r="6" spans="1:11" ht="16.5">
      <c r="A6" s="46" t="s">
        <v>224</v>
      </c>
      <c r="B6" s="47">
        <v>99892436477.227188</v>
      </c>
      <c r="C6" s="47">
        <v>99837132151.759857</v>
      </c>
      <c r="D6" s="47">
        <v>99870092317.262451</v>
      </c>
      <c r="E6" s="47">
        <v>99918187898.83699</v>
      </c>
      <c r="F6" s="47">
        <v>100037877390.68518</v>
      </c>
      <c r="G6" s="47">
        <v>99185326803.116425</v>
      </c>
      <c r="H6" s="47">
        <v>99061132410.269897</v>
      </c>
      <c r="I6" s="47">
        <v>99095338201.223831</v>
      </c>
      <c r="J6" s="47">
        <v>98590301385.434418</v>
      </c>
    </row>
    <row r="7" spans="1:11" ht="16.5">
      <c r="A7" s="46" t="s">
        <v>154</v>
      </c>
      <c r="B7" s="49">
        <v>49905453494.100525</v>
      </c>
      <c r="C7" s="49">
        <v>49320093297.825478</v>
      </c>
      <c r="D7" s="49">
        <v>48079052440.593132</v>
      </c>
      <c r="E7" s="49">
        <v>47213858445.276672</v>
      </c>
      <c r="F7" s="49">
        <v>47381646798.600899</v>
      </c>
      <c r="G7" s="49">
        <v>48298812075.103348</v>
      </c>
      <c r="H7" s="49">
        <v>49028772091.292122</v>
      </c>
      <c r="I7" s="49">
        <v>48528341927.034386</v>
      </c>
      <c r="J7" s="49">
        <v>47384871316.741325</v>
      </c>
    </row>
    <row r="8" spans="1:11" ht="16.5">
      <c r="A8" s="46" t="s">
        <v>178</v>
      </c>
      <c r="B8" s="47">
        <v>5216241473.6000004</v>
      </c>
      <c r="C8" s="47">
        <v>5149295610.3599997</v>
      </c>
      <c r="D8" s="47">
        <v>5005243623.0900002</v>
      </c>
      <c r="E8" s="47">
        <v>4752808696.8699999</v>
      </c>
      <c r="F8" s="47">
        <v>4722955841.5799999</v>
      </c>
      <c r="G8" s="47">
        <v>4807945930.6199999</v>
      </c>
      <c r="H8" s="47">
        <v>4887347689.7399998</v>
      </c>
      <c r="I8" s="47">
        <v>4791752838.1499996</v>
      </c>
      <c r="J8" s="47">
        <v>4763237841.7700005</v>
      </c>
    </row>
    <row r="9" spans="1:11" ht="16.5">
      <c r="A9" s="46" t="s">
        <v>225</v>
      </c>
      <c r="B9" s="47">
        <v>49193398720.121994</v>
      </c>
      <c r="C9" s="47">
        <v>49480081538.382065</v>
      </c>
      <c r="D9" s="47">
        <v>49509658646.534012</v>
      </c>
      <c r="E9" s="47">
        <v>51231840232.037872</v>
      </c>
      <c r="F9" s="47">
        <v>51625845610.938026</v>
      </c>
      <c r="G9" s="47">
        <v>51539113968.28791</v>
      </c>
      <c r="H9" s="47">
        <v>51244098077.136551</v>
      </c>
      <c r="I9" s="47">
        <v>51188420633.276352</v>
      </c>
      <c r="J9" s="47">
        <v>50977525627.555077</v>
      </c>
    </row>
    <row r="10" spans="1:11" ht="15.75">
      <c r="A10" s="50" t="s">
        <v>226</v>
      </c>
      <c r="B10" s="51">
        <f t="shared" ref="B10:I10" si="0">SUM(B2:B9)</f>
        <v>2644848210359.7744</v>
      </c>
      <c r="C10" s="51">
        <f t="shared" si="0"/>
        <v>2589663881486.0469</v>
      </c>
      <c r="D10" s="51">
        <f t="shared" si="0"/>
        <v>2515321707459.2573</v>
      </c>
      <c r="E10" s="51">
        <f t="shared" si="0"/>
        <v>2510797915339.603</v>
      </c>
      <c r="F10" s="51">
        <f t="shared" si="0"/>
        <v>2662193974903.5825</v>
      </c>
      <c r="G10" s="51">
        <f t="shared" si="0"/>
        <v>2732095698919.2559</v>
      </c>
      <c r="H10" s="51">
        <f t="shared" si="0"/>
        <v>2805379828718.1138</v>
      </c>
      <c r="I10" s="51">
        <f t="shared" si="0"/>
        <v>2882697779486.9722</v>
      </c>
      <c r="J10" s="51">
        <f t="shared" ref="J10" si="1">SUM(J2:J9)</f>
        <v>2856717769157.0347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2617256045922.9106</v>
      </c>
      <c r="D12" s="57">
        <f t="shared" ref="D12:J12" si="2">(C10+D10)/2</f>
        <v>2552492794472.6523</v>
      </c>
      <c r="E12" s="57">
        <f t="shared" si="2"/>
        <v>2513059811399.4302</v>
      </c>
      <c r="F12" s="57">
        <f t="shared" si="2"/>
        <v>2586495945121.5928</v>
      </c>
      <c r="G12" s="57">
        <f>(F10+G10)/2</f>
        <v>2697144836911.4189</v>
      </c>
      <c r="H12" s="57">
        <f t="shared" si="2"/>
        <v>2768737763818.6846</v>
      </c>
      <c r="I12" s="57">
        <f t="shared" si="2"/>
        <v>2844038804102.543</v>
      </c>
      <c r="J12" s="57">
        <f t="shared" si="2"/>
        <v>2869707774322.0034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45379</v>
      </c>
      <c r="C15" s="45">
        <v>45387</v>
      </c>
      <c r="D15" s="45">
        <v>45394</v>
      </c>
      <c r="E15" s="45">
        <v>45401</v>
      </c>
      <c r="F15" s="45">
        <v>45408</v>
      </c>
      <c r="G15" s="45">
        <v>45415</v>
      </c>
      <c r="H15" s="45">
        <v>45422</v>
      </c>
      <c r="I15" s="45">
        <v>45429</v>
      </c>
      <c r="J15" s="45">
        <v>45436</v>
      </c>
      <c r="K15" s="101"/>
    </row>
    <row r="16" spans="1:11" ht="16.5">
      <c r="A16" s="123" t="s">
        <v>264</v>
      </c>
      <c r="B16" s="126">
        <v>13637941626.835819</v>
      </c>
      <c r="C16" s="126">
        <v>13392488443.196085</v>
      </c>
      <c r="D16" s="126">
        <v>13204581677.229027</v>
      </c>
      <c r="E16" s="126">
        <v>12730402807.627464</v>
      </c>
      <c r="F16" s="126">
        <v>12735357486.958618</v>
      </c>
      <c r="G16" s="126">
        <v>13067918239.830002</v>
      </c>
      <c r="H16" s="126">
        <v>13034496718.34</v>
      </c>
      <c r="I16" s="126">
        <v>13029745632.197506</v>
      </c>
      <c r="J16" s="126">
        <v>12863444061.07283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5"/>
      <c r="D18" s="125"/>
      <c r="E18" s="125"/>
      <c r="F18" s="125"/>
      <c r="G18" s="125"/>
      <c r="H18" s="125"/>
      <c r="I18" s="125"/>
      <c r="J18" s="125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Jgn9vF/gldnVLqAZLJzMN7Zf6lw/q+6rgfsru3qW+R1MS0H38/qLP2y9od/8EWLTevChLN1P7IAYsnXNHBf6CQ==" saltValue="UI24e2gDvLse2tp8yYY9q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2024-05-31T15:28:53Z</dcterms:modified>
</cp:coreProperties>
</file>