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xr:revisionPtr revIDLastSave="0" documentId="13_ncr:1_{B3827C52-2BD4-430E-B8CC-31B5AAFE3E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8" i="1" l="1"/>
  <c r="M118" i="1"/>
  <c r="N102" i="1"/>
  <c r="M102" i="1"/>
  <c r="K102" i="1"/>
  <c r="N120" i="1"/>
  <c r="M120" i="1"/>
  <c r="N107" i="1"/>
  <c r="M107" i="1"/>
  <c r="K107" i="1"/>
  <c r="N101" i="1"/>
  <c r="M101" i="1"/>
  <c r="K101" i="1"/>
  <c r="N103" i="1" l="1"/>
  <c r="M103" i="1"/>
  <c r="K103" i="1"/>
  <c r="N100" i="1"/>
  <c r="M100" i="1"/>
  <c r="K100" i="1"/>
  <c r="N125" i="1"/>
  <c r="M125" i="1"/>
  <c r="K125" i="1"/>
  <c r="N98" i="1"/>
  <c r="M98" i="1"/>
  <c r="N110" i="1" l="1"/>
  <c r="M110" i="1"/>
  <c r="K110" i="1"/>
  <c r="N119" i="1" l="1"/>
  <c r="M119" i="1"/>
  <c r="K119" i="1"/>
  <c r="N108" i="1"/>
  <c r="M108" i="1"/>
  <c r="K108" i="1"/>
  <c r="R99" i="1"/>
  <c r="S99" i="1"/>
  <c r="T99" i="1"/>
  <c r="U99" i="1"/>
  <c r="V99" i="1"/>
  <c r="N99" i="1"/>
  <c r="M99" i="1"/>
  <c r="K99" i="1"/>
  <c r="E99" i="1"/>
  <c r="N109" i="1"/>
  <c r="M109" i="1"/>
  <c r="K109" i="1"/>
  <c r="N124" i="1"/>
  <c r="M124" i="1"/>
  <c r="N115" i="1"/>
  <c r="M115" i="1"/>
  <c r="K115" i="1"/>
  <c r="N121" i="1"/>
  <c r="M121" i="1"/>
  <c r="G125" i="1"/>
  <c r="F125" i="1"/>
  <c r="G124" i="1"/>
  <c r="F124" i="1"/>
  <c r="G121" i="1"/>
  <c r="F121" i="1"/>
  <c r="G120" i="1"/>
  <c r="F120" i="1"/>
  <c r="G119" i="1"/>
  <c r="F119" i="1"/>
  <c r="G118" i="1"/>
  <c r="F118" i="1"/>
  <c r="G115" i="1"/>
  <c r="F115" i="1"/>
  <c r="D125" i="1"/>
  <c r="D119" i="1"/>
  <c r="D115" i="1"/>
  <c r="G110" i="1"/>
  <c r="F110" i="1"/>
  <c r="G109" i="1"/>
  <c r="F109" i="1"/>
  <c r="G108" i="1"/>
  <c r="F108" i="1"/>
  <c r="G107" i="1"/>
  <c r="F107" i="1"/>
  <c r="G103" i="1"/>
  <c r="F103" i="1"/>
  <c r="G102" i="1"/>
  <c r="F102" i="1"/>
  <c r="G101" i="1"/>
  <c r="F101" i="1"/>
  <c r="G100" i="1"/>
  <c r="F100" i="1"/>
  <c r="G98" i="1"/>
  <c r="F98" i="1"/>
  <c r="D110" i="1"/>
  <c r="D109" i="1"/>
  <c r="D108" i="1"/>
  <c r="D107" i="1"/>
  <c r="D103" i="1"/>
  <c r="D102" i="1"/>
  <c r="D101" i="1"/>
  <c r="D100" i="1"/>
  <c r="R84" i="1" l="1"/>
  <c r="O126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1" i="1"/>
  <c r="S101" i="1"/>
  <c r="T101" i="1"/>
  <c r="U101" i="1"/>
  <c r="V101" i="1"/>
  <c r="R151" i="1" l="1"/>
  <c r="S55" i="1" l="1"/>
  <c r="D134" i="1" l="1"/>
  <c r="I4" i="6"/>
  <c r="H4" i="6"/>
  <c r="G4" i="6"/>
  <c r="F4" i="6"/>
  <c r="E4" i="6"/>
  <c r="D4" i="6"/>
  <c r="C4" i="6"/>
  <c r="B4" i="6"/>
  <c r="I3" i="6"/>
  <c r="H3" i="6"/>
  <c r="G3" i="6"/>
  <c r="F3" i="6"/>
  <c r="E3" i="6"/>
  <c r="D3" i="6"/>
  <c r="C3" i="6"/>
  <c r="B3" i="6"/>
  <c r="R103" i="1" l="1"/>
  <c r="S103" i="1"/>
  <c r="T103" i="1"/>
  <c r="U103" i="1"/>
  <c r="V103" i="1"/>
  <c r="R104" i="1"/>
  <c r="S104" i="1"/>
  <c r="T104" i="1"/>
  <c r="U104" i="1"/>
  <c r="V104" i="1"/>
  <c r="R199" i="1" l="1"/>
  <c r="R200" i="1"/>
  <c r="V124" i="1" l="1"/>
  <c r="U124" i="1"/>
  <c r="T124" i="1"/>
  <c r="R124" i="1"/>
  <c r="R92" i="1"/>
  <c r="S92" i="1"/>
  <c r="T92" i="1"/>
  <c r="U92" i="1"/>
  <c r="V92" i="1"/>
  <c r="R55" i="1"/>
  <c r="V55" i="1"/>
  <c r="U55" i="1"/>
  <c r="T55" i="1"/>
  <c r="R179" i="1"/>
  <c r="S124" i="1" l="1"/>
  <c r="R140" i="1" l="1"/>
  <c r="R119" i="1" l="1"/>
  <c r="S119" i="1"/>
  <c r="T119" i="1"/>
  <c r="U119" i="1"/>
  <c r="V119" i="1"/>
  <c r="R78" i="1"/>
  <c r="S78" i="1"/>
  <c r="T78" i="1"/>
  <c r="U78" i="1"/>
  <c r="V78" i="1"/>
  <c r="V193" i="1" l="1"/>
  <c r="T156" i="1"/>
  <c r="S156" i="1"/>
  <c r="R122" i="1" l="1"/>
  <c r="V152" i="1" l="1"/>
  <c r="T144" i="1" l="1"/>
  <c r="R138" i="1"/>
  <c r="S138" i="1"/>
  <c r="T138" i="1"/>
  <c r="U138" i="1"/>
  <c r="V138" i="1"/>
  <c r="R158" i="1"/>
  <c r="S158" i="1"/>
  <c r="T158" i="1"/>
  <c r="U158" i="1"/>
  <c r="V158" i="1"/>
  <c r="R118" i="1" l="1"/>
  <c r="S118" i="1"/>
  <c r="S180" i="1" l="1"/>
  <c r="V118" i="1"/>
  <c r="U118" i="1"/>
  <c r="T118" i="1"/>
  <c r="R67" i="1" l="1"/>
  <c r="V75" i="1" l="1"/>
  <c r="U75" i="1"/>
  <c r="T75" i="1"/>
  <c r="S75" i="1"/>
  <c r="R75" i="1"/>
  <c r="V81" i="1" l="1"/>
  <c r="U81" i="1"/>
  <c r="T81" i="1"/>
  <c r="S81" i="1"/>
  <c r="R81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81" i="1"/>
  <c r="U181" i="1"/>
  <c r="T181" i="1"/>
  <c r="S181" i="1"/>
  <c r="R181" i="1"/>
  <c r="T33" i="1" l="1"/>
  <c r="S22" i="1" l="1"/>
  <c r="T22" i="1"/>
  <c r="V102" i="1" l="1"/>
  <c r="R102" i="1"/>
  <c r="S102" i="1"/>
  <c r="T102" i="1"/>
  <c r="U102" i="1"/>
  <c r="R13" i="1" l="1"/>
  <c r="R49" i="1" l="1"/>
  <c r="V49" i="1"/>
  <c r="U49" i="1"/>
  <c r="T49" i="1"/>
  <c r="S49" i="1"/>
  <c r="V130" i="1" l="1"/>
  <c r="U130" i="1"/>
  <c r="T130" i="1"/>
  <c r="S130" i="1"/>
  <c r="R130" i="1"/>
  <c r="R72" i="1" l="1"/>
  <c r="V186" i="1" l="1"/>
  <c r="U186" i="1"/>
  <c r="T186" i="1"/>
  <c r="S186" i="1"/>
  <c r="R186" i="1"/>
  <c r="S174" i="1" l="1"/>
  <c r="D169" i="1" l="1"/>
  <c r="B18" i="2" s="1"/>
  <c r="B9" i="2" s="1"/>
  <c r="D126" i="1"/>
  <c r="E101" i="1" s="1"/>
  <c r="E124" i="1" l="1"/>
  <c r="B15" i="2"/>
  <c r="B6" i="2" s="1"/>
  <c r="E115" i="1"/>
  <c r="E119" i="1"/>
  <c r="E103" i="1"/>
  <c r="E118" i="1"/>
  <c r="R91" i="1"/>
  <c r="S91" i="1"/>
  <c r="T91" i="1"/>
  <c r="U91" i="1"/>
  <c r="V91" i="1"/>
  <c r="D209" i="1"/>
  <c r="D188" i="1"/>
  <c r="B19" i="2" s="1"/>
  <c r="B10" i="2" s="1"/>
  <c r="D57" i="1"/>
  <c r="B13" i="2" s="1"/>
  <c r="B4" i="2" s="1"/>
  <c r="E130" i="1" l="1"/>
  <c r="B16" i="2"/>
  <c r="B7" i="2" s="1"/>
  <c r="E178" i="1"/>
  <c r="E179" i="1"/>
  <c r="E180" i="1"/>
  <c r="E181" i="1"/>
  <c r="E182" i="1"/>
  <c r="E183" i="1"/>
  <c r="E184" i="1"/>
  <c r="E185" i="1"/>
  <c r="E186" i="1"/>
  <c r="E187" i="1"/>
  <c r="R167" i="1"/>
  <c r="R83" i="1" l="1"/>
  <c r="S83" i="1"/>
  <c r="T83" i="1"/>
  <c r="V83" i="1"/>
  <c r="U83" i="1"/>
  <c r="D23" i="1" l="1"/>
  <c r="B12" i="2" l="1"/>
  <c r="B3" i="2" s="1"/>
  <c r="E10" i="1"/>
  <c r="R116" i="1"/>
  <c r="R20" i="1" l="1"/>
  <c r="R198" i="1" l="1"/>
  <c r="S198" i="1"/>
  <c r="T198" i="1"/>
  <c r="U198" i="1"/>
  <c r="V198" i="1"/>
  <c r="S199" i="1"/>
  <c r="T199" i="1"/>
  <c r="U199" i="1"/>
  <c r="V199" i="1"/>
  <c r="S200" i="1"/>
  <c r="T200" i="1"/>
  <c r="U200" i="1"/>
  <c r="V200" i="1"/>
  <c r="R201" i="1"/>
  <c r="S201" i="1"/>
  <c r="T201" i="1"/>
  <c r="U201" i="1"/>
  <c r="V201" i="1"/>
  <c r="R202" i="1"/>
  <c r="S202" i="1"/>
  <c r="T202" i="1"/>
  <c r="U202" i="1"/>
  <c r="V202" i="1"/>
  <c r="R203" i="1"/>
  <c r="S203" i="1"/>
  <c r="T203" i="1"/>
  <c r="U203" i="1"/>
  <c r="V203" i="1"/>
  <c r="R204" i="1"/>
  <c r="S204" i="1"/>
  <c r="T204" i="1"/>
  <c r="U204" i="1"/>
  <c r="V204" i="1"/>
  <c r="R205" i="1"/>
  <c r="S205" i="1"/>
  <c r="T205" i="1"/>
  <c r="U205" i="1"/>
  <c r="V205" i="1"/>
  <c r="R206" i="1"/>
  <c r="S206" i="1"/>
  <c r="T206" i="1"/>
  <c r="U206" i="1"/>
  <c r="V206" i="1"/>
  <c r="R207" i="1"/>
  <c r="S207" i="1"/>
  <c r="T207" i="1"/>
  <c r="U207" i="1"/>
  <c r="V207" i="1"/>
  <c r="R208" i="1"/>
  <c r="S208" i="1"/>
  <c r="T208" i="1"/>
  <c r="U208" i="1"/>
  <c r="V208" i="1"/>
  <c r="S209" i="1"/>
  <c r="U209" i="1"/>
  <c r="V209" i="1"/>
  <c r="V197" i="1"/>
  <c r="U197" i="1"/>
  <c r="T197" i="1"/>
  <c r="S197" i="1"/>
  <c r="R197" i="1"/>
  <c r="U193" i="1"/>
  <c r="T193" i="1"/>
  <c r="S193" i="1"/>
  <c r="R193" i="1"/>
  <c r="V192" i="1"/>
  <c r="U192" i="1"/>
  <c r="T192" i="1"/>
  <c r="S192" i="1"/>
  <c r="R192" i="1"/>
  <c r="R178" i="1"/>
  <c r="S178" i="1"/>
  <c r="T178" i="1"/>
  <c r="U178" i="1"/>
  <c r="V178" i="1"/>
  <c r="S179" i="1"/>
  <c r="T179" i="1"/>
  <c r="U179" i="1"/>
  <c r="V179" i="1"/>
  <c r="R180" i="1"/>
  <c r="T180" i="1"/>
  <c r="U180" i="1"/>
  <c r="V180" i="1"/>
  <c r="R182" i="1"/>
  <c r="S182" i="1"/>
  <c r="T182" i="1"/>
  <c r="U182" i="1"/>
  <c r="V182" i="1"/>
  <c r="R183" i="1"/>
  <c r="S183" i="1"/>
  <c r="T183" i="1"/>
  <c r="U183" i="1"/>
  <c r="V183" i="1"/>
  <c r="R184" i="1"/>
  <c r="S184" i="1"/>
  <c r="T184" i="1"/>
  <c r="U184" i="1"/>
  <c r="V184" i="1"/>
  <c r="R185" i="1"/>
  <c r="S185" i="1"/>
  <c r="T185" i="1"/>
  <c r="U185" i="1"/>
  <c r="V185" i="1"/>
  <c r="R187" i="1"/>
  <c r="S187" i="1"/>
  <c r="T187" i="1"/>
  <c r="U187" i="1"/>
  <c r="V187" i="1"/>
  <c r="S188" i="1"/>
  <c r="U188" i="1"/>
  <c r="V188" i="1"/>
  <c r="V177" i="1"/>
  <c r="U177" i="1"/>
  <c r="T177" i="1"/>
  <c r="S177" i="1"/>
  <c r="R177" i="1"/>
  <c r="V174" i="1"/>
  <c r="U174" i="1"/>
  <c r="T174" i="1"/>
  <c r="R174" i="1"/>
  <c r="V173" i="1"/>
  <c r="U173" i="1"/>
  <c r="T173" i="1"/>
  <c r="S173" i="1"/>
  <c r="R173" i="1"/>
  <c r="S167" i="1"/>
  <c r="T167" i="1"/>
  <c r="U167" i="1"/>
  <c r="V167" i="1"/>
  <c r="R168" i="1"/>
  <c r="S168" i="1"/>
  <c r="T168" i="1"/>
  <c r="U168" i="1"/>
  <c r="V168" i="1"/>
  <c r="S169" i="1"/>
  <c r="U169" i="1"/>
  <c r="V169" i="1"/>
  <c r="V166" i="1"/>
  <c r="U166" i="1"/>
  <c r="T166" i="1"/>
  <c r="S166" i="1"/>
  <c r="R166" i="1"/>
  <c r="R139" i="1"/>
  <c r="S139" i="1"/>
  <c r="T139" i="1"/>
  <c r="U139" i="1"/>
  <c r="V139" i="1"/>
  <c r="S140" i="1"/>
  <c r="T140" i="1"/>
  <c r="U140" i="1"/>
  <c r="V140" i="1"/>
  <c r="R141" i="1"/>
  <c r="S141" i="1"/>
  <c r="T141" i="1"/>
  <c r="U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S151" i="1"/>
  <c r="T151" i="1"/>
  <c r="U151" i="1"/>
  <c r="V151" i="1"/>
  <c r="R152" i="1"/>
  <c r="S152" i="1"/>
  <c r="T152" i="1"/>
  <c r="U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U156" i="1"/>
  <c r="V156" i="1"/>
  <c r="R157" i="1"/>
  <c r="S157" i="1"/>
  <c r="T157" i="1"/>
  <c r="U157" i="1"/>
  <c r="V157" i="1"/>
  <c r="R159" i="1"/>
  <c r="S159" i="1"/>
  <c r="T159" i="1"/>
  <c r="U159" i="1"/>
  <c r="V159" i="1"/>
  <c r="R160" i="1"/>
  <c r="S160" i="1"/>
  <c r="T160" i="1"/>
  <c r="U160" i="1"/>
  <c r="V160" i="1"/>
  <c r="R161" i="1"/>
  <c r="S161" i="1"/>
  <c r="T161" i="1"/>
  <c r="U161" i="1"/>
  <c r="V161" i="1"/>
  <c r="R162" i="1"/>
  <c r="S162" i="1"/>
  <c r="T162" i="1"/>
  <c r="U162" i="1"/>
  <c r="V162" i="1"/>
  <c r="S163" i="1"/>
  <c r="U163" i="1"/>
  <c r="V163" i="1"/>
  <c r="V137" i="1"/>
  <c r="U137" i="1"/>
  <c r="T137" i="1"/>
  <c r="S137" i="1"/>
  <c r="R137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S134" i="1"/>
  <c r="U134" i="1"/>
  <c r="V134" i="1"/>
  <c r="V129" i="1"/>
  <c r="U129" i="1"/>
  <c r="T129" i="1"/>
  <c r="S129" i="1"/>
  <c r="R129" i="1"/>
  <c r="R115" i="1"/>
  <c r="S115" i="1"/>
  <c r="T115" i="1"/>
  <c r="U115" i="1"/>
  <c r="V115" i="1"/>
  <c r="S116" i="1"/>
  <c r="T116" i="1"/>
  <c r="U116" i="1"/>
  <c r="V116" i="1"/>
  <c r="R117" i="1"/>
  <c r="S117" i="1"/>
  <c r="T117" i="1"/>
  <c r="U117" i="1"/>
  <c r="V117" i="1"/>
  <c r="R120" i="1"/>
  <c r="S120" i="1"/>
  <c r="T120" i="1"/>
  <c r="U120" i="1"/>
  <c r="V120" i="1"/>
  <c r="R121" i="1"/>
  <c r="S121" i="1"/>
  <c r="T121" i="1"/>
  <c r="U121" i="1"/>
  <c r="V121" i="1"/>
  <c r="S122" i="1"/>
  <c r="T122" i="1"/>
  <c r="U122" i="1"/>
  <c r="V122" i="1"/>
  <c r="R123" i="1"/>
  <c r="S123" i="1"/>
  <c r="T123" i="1"/>
  <c r="U123" i="1"/>
  <c r="V123" i="1"/>
  <c r="R125" i="1"/>
  <c r="S125" i="1"/>
  <c r="T125" i="1"/>
  <c r="U125" i="1"/>
  <c r="V125" i="1"/>
  <c r="S126" i="1"/>
  <c r="U126" i="1"/>
  <c r="V126" i="1"/>
  <c r="V114" i="1"/>
  <c r="U114" i="1"/>
  <c r="T114" i="1"/>
  <c r="S114" i="1"/>
  <c r="R114" i="1"/>
  <c r="R100" i="1"/>
  <c r="S100" i="1"/>
  <c r="T100" i="1"/>
  <c r="U100" i="1"/>
  <c r="V100" i="1"/>
  <c r="R105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V98" i="1"/>
  <c r="U98" i="1"/>
  <c r="T98" i="1"/>
  <c r="S98" i="1"/>
  <c r="R98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V63" i="1"/>
  <c r="R64" i="1"/>
  <c r="S64" i="1"/>
  <c r="T64" i="1"/>
  <c r="U64" i="1"/>
  <c r="R65" i="1"/>
  <c r="S65" i="1"/>
  <c r="T65" i="1"/>
  <c r="U65" i="1"/>
  <c r="R66" i="1"/>
  <c r="S66" i="1"/>
  <c r="T66" i="1"/>
  <c r="U66" i="1"/>
  <c r="V66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S84" i="1"/>
  <c r="T84" i="1"/>
  <c r="U84" i="1"/>
  <c r="V84" i="1"/>
  <c r="R85" i="1"/>
  <c r="S85" i="1"/>
  <c r="T85" i="1"/>
  <c r="U85" i="1"/>
  <c r="V85" i="1"/>
  <c r="R86" i="1"/>
  <c r="S86" i="1"/>
  <c r="T86" i="1"/>
  <c r="U86" i="1"/>
  <c r="V86" i="1"/>
  <c r="R87" i="1"/>
  <c r="S87" i="1"/>
  <c r="T87" i="1"/>
  <c r="U87" i="1"/>
  <c r="V87" i="1"/>
  <c r="R88" i="1"/>
  <c r="S88" i="1"/>
  <c r="T88" i="1"/>
  <c r="U88" i="1"/>
  <c r="V88" i="1"/>
  <c r="R89" i="1"/>
  <c r="S89" i="1"/>
  <c r="T89" i="1"/>
  <c r="U89" i="1"/>
  <c r="V89" i="1"/>
  <c r="R90" i="1"/>
  <c r="S90" i="1"/>
  <c r="T90" i="1"/>
  <c r="U90" i="1"/>
  <c r="V90" i="1"/>
  <c r="R93" i="1"/>
  <c r="S93" i="1"/>
  <c r="T93" i="1"/>
  <c r="U93" i="1"/>
  <c r="V93" i="1"/>
  <c r="S94" i="1"/>
  <c r="U94" i="1"/>
  <c r="V94" i="1"/>
  <c r="V60" i="1"/>
  <c r="U60" i="1"/>
  <c r="T60" i="1"/>
  <c r="S60" i="1"/>
  <c r="R60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R56" i="1"/>
  <c r="S56" i="1"/>
  <c r="T56" i="1"/>
  <c r="U56" i="1"/>
  <c r="V56" i="1"/>
  <c r="S57" i="1"/>
  <c r="U57" i="1"/>
  <c r="V57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5" i="1" l="1"/>
  <c r="V141" i="1"/>
  <c r="O188" i="1" l="1"/>
  <c r="O209" i="1"/>
  <c r="K209" i="1"/>
  <c r="H209" i="1"/>
  <c r="K194" i="1"/>
  <c r="H194" i="1"/>
  <c r="D194" i="1"/>
  <c r="H188" i="1"/>
  <c r="K188" i="1"/>
  <c r="B5" i="3" s="1"/>
  <c r="H169" i="1"/>
  <c r="O169" i="1"/>
  <c r="K169" i="1"/>
  <c r="O163" i="1"/>
  <c r="K163" i="1"/>
  <c r="H163" i="1"/>
  <c r="D163" i="1"/>
  <c r="B17" i="2" s="1"/>
  <c r="B8" i="2" s="1"/>
  <c r="O134" i="1"/>
  <c r="K134" i="1"/>
  <c r="H134" i="1"/>
  <c r="T134" i="1" s="1"/>
  <c r="H126" i="1"/>
  <c r="K126" i="1"/>
  <c r="L99" i="1" s="1"/>
  <c r="O94" i="1"/>
  <c r="K94" i="1"/>
  <c r="H94" i="1"/>
  <c r="D94" i="1"/>
  <c r="O57" i="1"/>
  <c r="K57" i="1"/>
  <c r="H57" i="1"/>
  <c r="O23" i="1"/>
  <c r="H23" i="1"/>
  <c r="L156" i="1" l="1"/>
  <c r="L157" i="1"/>
  <c r="L158" i="1"/>
  <c r="E56" i="1"/>
  <c r="E55" i="1"/>
  <c r="C17" i="2"/>
  <c r="C8" i="2" s="1"/>
  <c r="B4" i="3"/>
  <c r="C15" i="2"/>
  <c r="C6" i="2" s="1"/>
  <c r="L101" i="1"/>
  <c r="L130" i="1"/>
  <c r="C16" i="2"/>
  <c r="C7" i="2" s="1"/>
  <c r="B6" i="3"/>
  <c r="C18" i="2"/>
  <c r="C9" i="2" s="1"/>
  <c r="B2" i="3"/>
  <c r="C19" i="2"/>
  <c r="C10" i="2" s="1"/>
  <c r="B7" i="3"/>
  <c r="C14" i="2"/>
  <c r="C5" i="2" s="1"/>
  <c r="B8" i="3"/>
  <c r="C13" i="2"/>
  <c r="C4" i="2" s="1"/>
  <c r="E92" i="1"/>
  <c r="B14" i="2"/>
  <c r="B5" i="2" s="1"/>
  <c r="L124" i="1"/>
  <c r="B9" i="3"/>
  <c r="L78" i="1"/>
  <c r="L92" i="1"/>
  <c r="L55" i="1"/>
  <c r="L178" i="1"/>
  <c r="L179" i="1"/>
  <c r="L180" i="1"/>
  <c r="L181" i="1"/>
  <c r="L182" i="1"/>
  <c r="L183" i="1"/>
  <c r="L184" i="1"/>
  <c r="L185" i="1"/>
  <c r="L186" i="1"/>
  <c r="L187" i="1"/>
  <c r="L118" i="1"/>
  <c r="L119" i="1"/>
  <c r="E75" i="1"/>
  <c r="E78" i="1"/>
  <c r="E157" i="1"/>
  <c r="E158" i="1"/>
  <c r="L85" i="1"/>
  <c r="L93" i="1"/>
  <c r="L75" i="1"/>
  <c r="L138" i="1"/>
  <c r="E138" i="1"/>
  <c r="L103" i="1"/>
  <c r="L116" i="1"/>
  <c r="L177" i="1"/>
  <c r="E81" i="1"/>
  <c r="L81" i="1"/>
  <c r="L53" i="1"/>
  <c r="L36" i="1"/>
  <c r="L207" i="1"/>
  <c r="L208" i="1"/>
  <c r="E49" i="1"/>
  <c r="L48" i="1"/>
  <c r="L50" i="1"/>
  <c r="L49" i="1"/>
  <c r="L51" i="1"/>
  <c r="L98" i="1"/>
  <c r="L114" i="1"/>
  <c r="L153" i="1"/>
  <c r="L159" i="1"/>
  <c r="L86" i="1"/>
  <c r="L63" i="1"/>
  <c r="L102" i="1"/>
  <c r="L26" i="1"/>
  <c r="L39" i="1"/>
  <c r="T188" i="1"/>
  <c r="L90" i="1"/>
  <c r="L91" i="1"/>
  <c r="E83" i="1"/>
  <c r="E91" i="1"/>
  <c r="T209" i="1"/>
  <c r="L83" i="1"/>
  <c r="T57" i="1"/>
  <c r="T169" i="1"/>
  <c r="R169" i="1"/>
  <c r="T94" i="1"/>
  <c r="T163" i="1"/>
  <c r="T23" i="1"/>
  <c r="R134" i="1"/>
  <c r="R209" i="1"/>
  <c r="T126" i="1"/>
  <c r="O189" i="1"/>
  <c r="O210" i="1" s="1"/>
  <c r="R163" i="1"/>
  <c r="L152" i="1"/>
  <c r="R126" i="1"/>
  <c r="R94" i="1"/>
  <c r="L62" i="1"/>
  <c r="L64" i="1"/>
  <c r="L66" i="1"/>
  <c r="L68" i="1"/>
  <c r="L70" i="1"/>
  <c r="L72" i="1"/>
  <c r="L74" i="1"/>
  <c r="L77" i="1"/>
  <c r="L80" i="1"/>
  <c r="L84" i="1"/>
  <c r="L88" i="1"/>
  <c r="L61" i="1"/>
  <c r="L65" i="1"/>
  <c r="L67" i="1"/>
  <c r="L69" i="1"/>
  <c r="L71" i="1"/>
  <c r="L73" i="1"/>
  <c r="L76" i="1"/>
  <c r="L79" i="1"/>
  <c r="L82" i="1"/>
  <c r="L87" i="1"/>
  <c r="L89" i="1"/>
  <c r="E28" i="1"/>
  <c r="E30" i="1"/>
  <c r="E32" i="1"/>
  <c r="E34" i="1"/>
  <c r="E36" i="1"/>
  <c r="E38" i="1"/>
  <c r="E40" i="1"/>
  <c r="E42" i="1"/>
  <c r="E44" i="1"/>
  <c r="E46" i="1"/>
  <c r="E48" i="1"/>
  <c r="E51" i="1"/>
  <c r="E53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R188" i="1"/>
  <c r="H189" i="1"/>
  <c r="H210" i="1" s="1"/>
  <c r="J10" i="4"/>
  <c r="I12" i="4"/>
  <c r="H12" i="4"/>
  <c r="G12" i="4"/>
  <c r="F12" i="4"/>
  <c r="E12" i="4"/>
  <c r="C12" i="4"/>
  <c r="E205" i="1"/>
  <c r="L206" i="1"/>
  <c r="L205" i="1"/>
  <c r="L203" i="1"/>
  <c r="L202" i="1"/>
  <c r="L201" i="1"/>
  <c r="L199" i="1"/>
  <c r="L198" i="1"/>
  <c r="L197" i="1"/>
  <c r="L192" i="1"/>
  <c r="E192" i="1"/>
  <c r="L174" i="1"/>
  <c r="L166" i="1"/>
  <c r="E168" i="1"/>
  <c r="E162" i="1"/>
  <c r="E159" i="1"/>
  <c r="L151" i="1"/>
  <c r="L149" i="1"/>
  <c r="L146" i="1"/>
  <c r="L143" i="1"/>
  <c r="L141" i="1"/>
  <c r="L137" i="1"/>
  <c r="L132" i="1"/>
  <c r="E133" i="1"/>
  <c r="L133" i="1"/>
  <c r="E90" i="1"/>
  <c r="E89" i="1"/>
  <c r="E87" i="1"/>
  <c r="E85" i="1"/>
  <c r="E82" i="1"/>
  <c r="E79" i="1"/>
  <c r="E76" i="1"/>
  <c r="E73" i="1"/>
  <c r="E71" i="1"/>
  <c r="E69" i="1"/>
  <c r="E67" i="1"/>
  <c r="E65" i="1"/>
  <c r="E63" i="1"/>
  <c r="E61" i="1"/>
  <c r="L52" i="1"/>
  <c r="R57" i="1"/>
  <c r="L33" i="1"/>
  <c r="K23" i="1"/>
  <c r="L10" i="1" s="1"/>
  <c r="E15" i="1"/>
  <c r="S6" i="1"/>
  <c r="R6" i="1"/>
  <c r="C12" i="2" l="1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1" i="1"/>
  <c r="L129" i="1"/>
  <c r="L139" i="1"/>
  <c r="L142" i="1"/>
  <c r="L145" i="1"/>
  <c r="L147" i="1"/>
  <c r="L150" i="1"/>
  <c r="L154" i="1"/>
  <c r="E19" i="1"/>
  <c r="L60" i="1"/>
  <c r="E64" i="1"/>
  <c r="E129" i="1"/>
  <c r="E137" i="1"/>
  <c r="E139" i="1"/>
  <c r="E140" i="1"/>
  <c r="E145" i="1"/>
  <c r="E146" i="1"/>
  <c r="E147" i="1"/>
  <c r="E148" i="1"/>
  <c r="E153" i="1"/>
  <c r="E156" i="1"/>
  <c r="E161" i="1"/>
  <c r="E12" i="1"/>
  <c r="E14" i="1"/>
  <c r="E17" i="1"/>
  <c r="E21" i="1"/>
  <c r="L30" i="1"/>
  <c r="L38" i="1"/>
  <c r="L44" i="1"/>
  <c r="K189" i="1"/>
  <c r="L131" i="1"/>
  <c r="E141" i="1"/>
  <c r="E142" i="1"/>
  <c r="E143" i="1"/>
  <c r="E144" i="1"/>
  <c r="E149" i="1"/>
  <c r="E150" i="1"/>
  <c r="E151" i="1"/>
  <c r="E152" i="1"/>
  <c r="E154" i="1"/>
  <c r="E155" i="1"/>
  <c r="E160" i="1"/>
  <c r="L173" i="1"/>
  <c r="L107" i="1"/>
  <c r="L106" i="1"/>
  <c r="L34" i="1"/>
  <c r="L45" i="1"/>
  <c r="L54" i="1"/>
  <c r="E132" i="1"/>
  <c r="L161" i="1"/>
  <c r="L168" i="1"/>
  <c r="E200" i="1"/>
  <c r="E204" i="1"/>
  <c r="E208" i="1"/>
  <c r="D12" i="4"/>
  <c r="E100" i="1"/>
  <c r="L37" i="1"/>
  <c r="L40" i="1"/>
  <c r="L31" i="1"/>
  <c r="L42" i="1"/>
  <c r="L140" i="1"/>
  <c r="L144" i="1"/>
  <c r="L148" i="1"/>
  <c r="E167" i="1"/>
  <c r="E177" i="1"/>
  <c r="E193" i="1"/>
  <c r="L200" i="1"/>
  <c r="L204" i="1"/>
  <c r="L29" i="1"/>
  <c r="E7" i="1"/>
  <c r="E18" i="1"/>
  <c r="E22" i="1"/>
  <c r="L28" i="1"/>
  <c r="L47" i="1"/>
  <c r="E60" i="1"/>
  <c r="E68" i="1"/>
  <c r="E72" i="1"/>
  <c r="E77" i="1"/>
  <c r="E84" i="1"/>
  <c r="E88" i="1"/>
  <c r="E93" i="1"/>
  <c r="E131" i="1"/>
  <c r="L155" i="1"/>
  <c r="L160" i="1"/>
  <c r="L167" i="1"/>
  <c r="L193" i="1"/>
  <c r="R194" i="1"/>
  <c r="E199" i="1"/>
  <c r="E203" i="1"/>
  <c r="E207" i="1"/>
  <c r="E166" i="1"/>
  <c r="E174" i="1"/>
  <c r="E198" i="1"/>
  <c r="E202" i="1"/>
  <c r="E206" i="1"/>
  <c r="L46" i="1"/>
  <c r="L56" i="1"/>
  <c r="L27" i="1"/>
  <c r="L35" i="1"/>
  <c r="E173" i="1"/>
  <c r="E13" i="1"/>
  <c r="E16" i="1"/>
  <c r="L32" i="1"/>
  <c r="L43" i="1"/>
  <c r="E62" i="1"/>
  <c r="E66" i="1"/>
  <c r="E70" i="1"/>
  <c r="E74" i="1"/>
  <c r="E80" i="1"/>
  <c r="E86" i="1"/>
  <c r="L162" i="1"/>
  <c r="E197" i="1"/>
  <c r="E201" i="1"/>
  <c r="L117" i="1" l="1"/>
  <c r="L100" i="1"/>
  <c r="L104" i="1"/>
  <c r="L110" i="1"/>
  <c r="L121" i="1"/>
  <c r="L105" i="1"/>
  <c r="K210" i="1"/>
  <c r="L23" i="1"/>
  <c r="L163" i="1"/>
  <c r="L57" i="1"/>
  <c r="L134" i="1"/>
  <c r="L94" i="1"/>
  <c r="L126" i="1"/>
  <c r="L188" i="1"/>
  <c r="L169" i="1"/>
  <c r="L109" i="1"/>
  <c r="L108" i="1"/>
  <c r="L125" i="1"/>
  <c r="L120" i="1"/>
  <c r="L122" i="1"/>
  <c r="L111" i="1"/>
  <c r="L123" i="1"/>
  <c r="L115" i="1"/>
  <c r="E123" i="1"/>
  <c r="E120" i="1"/>
  <c r="E111" i="1"/>
  <c r="E108" i="1"/>
  <c r="E105" i="1"/>
  <c r="E110" i="1"/>
  <c r="E106" i="1"/>
  <c r="E116" i="1"/>
  <c r="E107" i="1"/>
  <c r="D189" i="1"/>
  <c r="E125" i="1"/>
  <c r="E98" i="1"/>
  <c r="E109" i="1"/>
  <c r="E104" i="1"/>
  <c r="E122" i="1"/>
  <c r="E121" i="1"/>
  <c r="E117" i="1"/>
  <c r="E114" i="1"/>
  <c r="E126" i="1" l="1"/>
  <c r="R189" i="1"/>
  <c r="E57" i="1"/>
  <c r="E163" i="1"/>
  <c r="D210" i="1"/>
  <c r="E94" i="1"/>
  <c r="E23" i="1"/>
  <c r="E188" i="1"/>
  <c r="E134" i="1"/>
  <c r="E169" i="1"/>
</calcChain>
</file>

<file path=xl/sharedStrings.xml><?xml version="1.0" encoding="utf-8"?>
<sst xmlns="http://schemas.openxmlformats.org/spreadsheetml/2006/main" count="440" uniqueCount="277">
  <si>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</si>
  <si>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</si>
  <si>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</si>
  <si>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</si>
  <si>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</si>
  <si>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</si>
  <si>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</si>
  <si>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</si>
  <si>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</si>
  <si>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</si>
  <si>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</si>
  <si>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</si>
  <si>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</si>
  <si>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</si>
  <si>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</si>
  <si>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</si>
  <si>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</si>
  <si>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</si>
  <si>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</si>
  <si>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</si>
  <si>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</si>
  <si>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</si>
  <si>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</si>
  <si>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</si>
  <si>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</si>
  <si>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</si>
  <si>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</si>
  <si>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</si>
  <si>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</si>
  <si>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</si>
  <si>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</si>
  <si>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</si>
  <si>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</si>
  <si>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</si>
  <si>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</si>
  <si>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</si>
  <si>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</si>
  <si>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</si>
  <si>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</si>
  <si>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</si>
  <si>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</si>
  <si>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</si>
  <si>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</si>
  <si>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</si>
  <si>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</si>
  <si>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</si>
  <si>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</si>
  <si>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</si>
  <si>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</si>
  <si>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</si>
  <si>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</si>
  <si>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</si>
  <si>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</si>
  <si>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</si>
  <si>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</si>
  <si>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</si>
  <si>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</si>
  <si>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</si>
  <si>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</si>
  <si>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</si>
  <si>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</si>
  <si>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</si>
  <si>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</si>
  <si>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</si>
  <si>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</si>
  <si>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</si>
  <si>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</si>
  <si>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</si>
  <si>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</si>
  <si>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</si>
  <si>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</si>
  <si>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</si>
  <si>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</si>
  <si>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</si>
  <si>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</si>
  <si>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</si>
  <si>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</si>
  <si>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</si>
  <si>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</si>
  <si>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</si>
  <si>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</si>
  <si>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</si>
  <si>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</si>
  <si>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</si>
  <si>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</si>
  <si>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</si>
  <si>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</si>
  <si>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</si>
  <si>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</si>
  <si>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</si>
  <si>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</si>
  <si>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</si>
  <si>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</si>
  <si>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</si>
  <si>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</si>
  <si>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</si>
  <si>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</si>
  <si>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</si>
  <si>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</si>
  <si>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</si>
  <si>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</si>
  <si>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</si>
  <si>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</si>
  <si>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</si>
  <si>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</si>
  <si>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</si>
  <si>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</si>
  <si>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</si>
  <si>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</si>
  <si>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</si>
  <si>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</si>
  <si>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</si>
  <si>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</si>
  <si>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</si>
  <si>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</si>
  <si>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</si>
  <si>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</si>
  <si>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</si>
  <si>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</si>
  <si>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</si>
  <si>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</si>
  <si>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</si>
  <si>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</si>
  <si>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</si>
  <si>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</si>
  <si>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</si>
  <si>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</si>
  <si>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</si>
  <si>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</si>
  <si>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</si>
  <si>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</si>
  <si>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</si>
  <si>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</si>
  <si>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</si>
  <si>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</si>
  <si>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</si>
  <si>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</si>
  <si>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</si>
  <si>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</si>
  <si>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</si>
  <si>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</si>
  <si>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</si>
  <si>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</si>
  <si>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</si>
  <si>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</si>
  <si>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</si>
  <si>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</si>
  <si>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</si>
  <si>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</si>
  <si>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</si>
  <si>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</si>
  <si>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</si>
  <si>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</si>
  <si>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</si>
  <si>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</si>
  <si>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</si>
  <si>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</si>
  <si>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</si>
  <si>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</si>
  <si>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</si>
  <si>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</si>
  <si>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</si>
  <si>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</si>
  <si>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</si>
  <si>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</si>
  <si>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</si>
  <si>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</si>
  <si>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</si>
  <si>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</si>
  <si>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</si>
  <si>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</si>
  <si>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</si>
  <si>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</si>
  <si>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</si>
  <si>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</si>
  <si>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</si>
  <si>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</si>
  <si>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</si>
  <si>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</si>
  <si>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</si>
  <si>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</si>
  <si>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</si>
  <si>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</si>
  <si>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</si>
  <si>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</si>
  <si>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</si>
  <si>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</si>
  <si>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</si>
  <si>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</si>
  <si>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</si>
  <si>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</si>
  <si>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</si>
  <si>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</si>
  <si>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</si>
  <si>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</si>
  <si>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</si>
  <si>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</si>
  <si>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</si>
  <si>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</si>
  <si>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</si>
  <si>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</si>
  <si>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</si>
  <si>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</si>
  <si>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</si>
  <si>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</si>
  <si>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</si>
  <si>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</si>
  <si>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</si>
  <si>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</si>
  <si>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</si>
  <si>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</si>
  <si>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</si>
  <si>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</si>
  <si>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</si>
  <si>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</si>
  <si>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</si>
  <si>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</si>
  <si>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</si>
  <si>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</si>
  <si>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</si>
  <si>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</si>
  <si>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</si>
  <si>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</si>
  <si>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</si>
  <si>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</si>
  <si>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</si>
  <si>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</si>
  <si>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</si>
  <si>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</si>
  <si>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</si>
  <si>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</si>
  <si>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</si>
  <si>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</si>
  <si>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</si>
  <si>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</si>
  <si>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</si>
  <si>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</si>
  <si>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</si>
  <si>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</si>
  <si>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</si>
  <si>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</si>
  <si>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</si>
  <si>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</si>
  <si>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</si>
  <si>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</si>
  <si>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</si>
  <si>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</si>
  <si>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</si>
  <si>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</si>
  <si>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</si>
  <si>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</si>
  <si>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</si>
  <si>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</si>
  <si>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</si>
  <si>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</si>
  <si>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</si>
  <si>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</si>
  <si>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</si>
  <si>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</si>
  <si>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</si>
  <si>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</si>
  <si>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</si>
  <si>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</si>
  <si>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</si>
  <si>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</si>
  <si>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</si>
  <si>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</si>
  <si>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</si>
  <si>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NAV, Unit Price and Yield as at Week Ended May 3, 2024</t>
  </si>
  <si>
    <t>Week Ended May 3, 2024</t>
  </si>
  <si>
    <t>WEEKLY VALUATION REPORT OF COLLECTIVE INVESTMENT SCHEMES AS AT WEEK ENDED FRIDAY, MAY 10, 2024</t>
  </si>
  <si>
    <t>NAV, Unit Price and Yield as at Week Ended May 10,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</si>
  <si>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10th May, 2024 = N1,457.514</t>
    </r>
  </si>
  <si>
    <t>AIICO Eurobond Fund</t>
  </si>
  <si>
    <t>s</t>
  </si>
  <si>
    <t>The chart above shows that the Dollar Fund category (Eurobonds and Fixed Income) has the highest share of the Aggregate Net Asset Value (NAV) at 48.72%, followed by Money Market Fund with 34.21%, Bond/Fixed Income Fund at 8.80%, Real Estate Investment Trust at 3.53%.  Next is Shari'ah Compliant Fund at 1.83%, Balanced Fund at 1.75%, Equity Fund at 0.99% and Ethical Fund at 0.17%.</t>
  </si>
  <si>
    <t>Week Ended May 10,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</si>
</sst>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8"/>
      <color theme="1"/>
      <name val="Segoe UI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4" applyNumberFormat="0" applyAlignment="0" applyProtection="0"/>
    <xf numFmtId="0" fontId="36" fillId="18" borderId="15" applyNumberFormat="0" applyAlignment="0" applyProtection="0"/>
    <xf numFmtId="0" fontId="37" fillId="18" borderId="14" applyNumberFormat="0" applyAlignment="0" applyProtection="0"/>
    <xf numFmtId="0" fontId="38" fillId="0" borderId="16" applyNumberFormat="0" applyFill="0" applyAlignment="0" applyProtection="0"/>
    <xf numFmtId="0" fontId="39" fillId="19" borderId="17" applyNumberFormat="0" applyAlignment="0" applyProtection="0"/>
    <xf numFmtId="0" fontId="40" fillId="0" borderId="0" applyNumberFormat="0" applyFill="0" applyBorder="0" applyAlignment="0" applyProtection="0"/>
    <xf numFmtId="0" fontId="1" fillId="20" borderId="18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72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23" fillId="3" borderId="5" xfId="0" applyFont="1" applyFill="1" applyBorder="1"/>
    <xf numFmtId="0" fontId="19" fillId="3" borderId="5" xfId="0" applyFont="1" applyFill="1" applyBorder="1" applyAlignment="1">
      <alignment horizontal="right"/>
    </xf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12" fillId="3" borderId="0" xfId="1" applyFont="1" applyFill="1" applyBorder="1" applyAlignment="1">
      <alignment horizontal="right" vertical="top" wrapText="1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16" fontId="49" fillId="3" borderId="5" xfId="0" applyNumberFormat="1" applyFont="1" applyFill="1" applyBorder="1" applyAlignment="1">
      <alignment wrapText="1"/>
    </xf>
    <xf numFmtId="0" fontId="49" fillId="0" borderId="5" xfId="0" applyFont="1" applyBorder="1" applyAlignment="1">
      <alignment horizontal="right" wrapText="1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51" fillId="0" borderId="5" xfId="0" applyFont="1" applyBorder="1" applyAlignment="1">
      <alignment horizontal="right" wrapText="1"/>
    </xf>
    <xf numFmtId="164" fontId="52" fillId="0" borderId="0" xfId="1" applyFont="1"/>
    <xf numFmtId="4" fontId="52" fillId="3" borderId="5" xfId="0" applyNumberFormat="1" applyFont="1" applyFill="1" applyBorder="1"/>
    <xf numFmtId="0" fontId="51" fillId="0" borderId="5" xfId="0" applyFont="1" applyBorder="1" applyAlignment="1">
      <alignment horizontal="right"/>
    </xf>
    <xf numFmtId="4" fontId="52" fillId="3" borderId="5" xfId="0" applyNumberFormat="1" applyFont="1" applyFill="1" applyBorder="1" applyAlignment="1">
      <alignment horizontal="right"/>
    </xf>
    <xf numFmtId="164" fontId="52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4" fontId="50" fillId="3" borderId="0" xfId="0" applyNumberFormat="1" applyFont="1" applyFill="1" applyAlignment="1">
      <alignment horizontal="right"/>
    </xf>
    <xf numFmtId="0" fontId="39" fillId="0" borderId="0" xfId="0" applyFont="1"/>
    <xf numFmtId="16" fontId="53" fillId="3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55" fillId="0" borderId="0" xfId="0" applyNumberFormat="1" applyFont="1"/>
    <xf numFmtId="4" fontId="6" fillId="0" borderId="5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23" fillId="13" borderId="0" xfId="0" applyFont="1" applyFill="1" applyAlignment="1">
      <alignment horizontal="center" wrapText="1"/>
    </xf>
    <xf numFmtId="0" fontId="13" fillId="0" borderId="5" xfId="0" applyFont="1" applyBorder="1" applyAlignment="1">
      <alignment horizontal="right"/>
    </xf>
    <xf numFmtId="16" fontId="45" fillId="3" borderId="5" xfId="0" applyNumberFormat="1" applyFont="1" applyFill="1" applyBorder="1"/>
    <xf numFmtId="0" fontId="45" fillId="0" borderId="10" xfId="0" applyFont="1" applyBorder="1" applyAlignment="1">
      <alignment horizontal="right"/>
    </xf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 xr:uid="{3E2F10A3-2931-47B9-9037-A926F090663B}"/>
    <cellStyle name="60% - Accent2 2" xfId="49" xr:uid="{7FDA209E-90DD-4F22-BA51-BAAF09033C88}"/>
    <cellStyle name="60% - Accent3 2" xfId="50" xr:uid="{6559FD3E-55FB-4384-B79B-375CB83EE83A}"/>
    <cellStyle name="60% - Accent4 2" xfId="51" xr:uid="{C278CF58-7B61-4265-BD37-E951024486D1}"/>
    <cellStyle name="60% - Accent5 2" xfId="52" xr:uid="{7400C4F0-C71C-4F86-9EB1-93161B660D96}"/>
    <cellStyle name="60% - Accent6 2" xfId="53" xr:uid="{9482E2F4-C0F8-4C05-9696-FE40E0AE3EE9}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 xr:uid="{00000000-0005-0000-0000-000001000000}"/>
    <cellStyle name="Comma 2" xfId="7" xr:uid="{00000000-0005-0000-0000-000002000000}"/>
    <cellStyle name="Comma 2 2" xfId="43" xr:uid="{7FDEEF4F-409F-4574-BF1F-11F6886F052E}"/>
    <cellStyle name="Comma 3" xfId="54" xr:uid="{9D6EB6E4-FDCC-4865-9F62-1335F0BDF101}"/>
    <cellStyle name="Comma 3 2" xfId="4" xr:uid="{00000000-0005-0000-0000-000003000000}"/>
    <cellStyle name="Comma 3 2 2" xfId="44" xr:uid="{0B2E002E-CCC3-4E39-B06E-0A234DE2B917}"/>
    <cellStyle name="Comma 4" xfId="9" xr:uid="{7E9A854F-1E87-4896-8102-790EF57093D9}"/>
    <cellStyle name="Comma 5" xfId="55" xr:uid="{D2975A73-C7C2-43F9-B839-6A818D0DA01D}"/>
    <cellStyle name="Comma 6" xfId="57" xr:uid="{C3684CE0-A1E3-46A2-BB48-FBDC7D9C1F4E}"/>
    <cellStyle name="Comma 8" xfId="59" xr:uid="{9F382DD6-A311-454E-98B2-DDC2BEC7740F}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 xr:uid="{4FFB5546-03D1-4007-AD06-C80F9706DDB8}"/>
    <cellStyle name="Normal" xfId="0" builtinId="0"/>
    <cellStyle name="Normal 2" xfId="8" xr:uid="{6E835889-8A32-48B2-8C41-226AFE52856D}"/>
    <cellStyle name="Normal 2 2" xfId="45" xr:uid="{AB75C98A-BA03-437B-BC9F-4D0C9A93CC4B}"/>
    <cellStyle name="Normal 27 2" xfId="6" xr:uid="{00000000-0005-0000-0000-000005000000}"/>
    <cellStyle name="Note" xfId="22" builtinId="10" customBuiltin="1"/>
    <cellStyle name="Output" xfId="17" builtinId="21" customBuiltin="1"/>
    <cellStyle name="Percent" xfId="2" builtinId="5"/>
    <cellStyle name="Percent 2 2" xfId="5" xr:uid="{00000000-0005-0000-0000-000007000000}"/>
    <cellStyle name="Percent 5" xfId="56" xr:uid="{D11B0100-E898-4AB2-A152-5E22447C24BA}"/>
    <cellStyle name="Percent 6" xfId="58" xr:uid="{80D5C716-5C3E-47A5-972E-C7B1C79EA500}"/>
    <cellStyle name="Title 2" xfId="46" xr:uid="{75225FE6-AD44-4FD3-AD7C-4F10A4B75329}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May 3,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27.319052490226497</c:v>
                </c:pt>
                <c:pt idx="1">
                  <c:v>943.17306225288905</c:v>
                </c:pt>
                <c:pt idx="2">
                  <c:v>257.29152816124872</c:v>
                </c:pt>
                <c:pt idx="3">
                  <c:v>1300.4808572377635</c:v>
                </c:pt>
                <c:pt idx="4">
                  <c:v>99.185326803116425</c:v>
                </c:pt>
                <c:pt idx="5" formatCode="_-* #,##0.00_-;\-* #,##0.00_-;_-* &quot;-&quot;??_-;_-@_-">
                  <c:v>48.298812075103349</c:v>
                </c:pt>
                <c:pt idx="6">
                  <c:v>4.8079459306199999</c:v>
                </c:pt>
                <c:pt idx="7">
                  <c:v>51.539113968287907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May 10,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27.676372012243796</c:v>
                </c:pt>
                <c:pt idx="1">
                  <c:v>959.75414286804619</c:v>
                </c:pt>
                <c:pt idx="2">
                  <c:v>246.83900674143806</c:v>
                </c:pt>
                <c:pt idx="3">
                  <c:v>1366.8889568279469</c:v>
                </c:pt>
                <c:pt idx="4">
                  <c:v>99.061132410269892</c:v>
                </c:pt>
                <c:pt idx="5" formatCode="_-* #,##0.00_-;\-* #,##0.00_-;_-* &quot;-&quot;??_-;_-@_-">
                  <c:v>49.028772091292119</c:v>
                </c:pt>
                <c:pt idx="6">
                  <c:v>4.8873476897399994</c:v>
                </c:pt>
                <c:pt idx="7">
                  <c:v>51.244098077136549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10TH MAY,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10-May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4887347689.7399998</c:v>
                </c:pt>
                <c:pt idx="1">
                  <c:v>27676372012.243797</c:v>
                </c:pt>
                <c:pt idx="2" formatCode="_-* #,##0.00_-;\-* #,##0.00_-;_-* &quot;-&quot;??_-;_-@_-">
                  <c:v>49028772091.292122</c:v>
                </c:pt>
                <c:pt idx="3">
                  <c:v>51244098077.136551</c:v>
                </c:pt>
                <c:pt idx="4">
                  <c:v>99061132410.269897</c:v>
                </c:pt>
                <c:pt idx="5">
                  <c:v>246839006741.43805</c:v>
                </c:pt>
                <c:pt idx="6">
                  <c:v>959754142868.04614</c:v>
                </c:pt>
                <c:pt idx="7">
                  <c:v>1366888956827.947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45373</c:v>
                </c:pt>
                <c:pt idx="1">
                  <c:v>45379</c:v>
                </c:pt>
                <c:pt idx="2">
                  <c:v>45387</c:v>
                </c:pt>
                <c:pt idx="3">
                  <c:v>45394</c:v>
                </c:pt>
                <c:pt idx="4">
                  <c:v>45401</c:v>
                </c:pt>
                <c:pt idx="5">
                  <c:v>45408</c:v>
                </c:pt>
                <c:pt idx="6">
                  <c:v>45415</c:v>
                </c:pt>
                <c:pt idx="7">
                  <c:v>45422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2726.590314934399</c:v>
                </c:pt>
                <c:pt idx="1">
                  <c:v>2644.8482103597744</c:v>
                </c:pt>
                <c:pt idx="2">
                  <c:v>2589.6638814860466</c:v>
                </c:pt>
                <c:pt idx="3">
                  <c:v>2515.3217074592571</c:v>
                </c:pt>
                <c:pt idx="4">
                  <c:v>2510.7979153396032</c:v>
                </c:pt>
                <c:pt idx="5">
                  <c:v>2662.1939749035823</c:v>
                </c:pt>
                <c:pt idx="6">
                  <c:v>2732.0956989192559</c:v>
                </c:pt>
                <c:pt idx="7">
                  <c:v>2805.3798287181139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45373</c:v>
                </c:pt>
                <c:pt idx="1">
                  <c:v>45379</c:v>
                </c:pt>
                <c:pt idx="2">
                  <c:v>45387</c:v>
                </c:pt>
                <c:pt idx="3">
                  <c:v>45394</c:v>
                </c:pt>
                <c:pt idx="4">
                  <c:v>45401</c:v>
                </c:pt>
                <c:pt idx="5">
                  <c:v>45408</c:v>
                </c:pt>
                <c:pt idx="6">
                  <c:v>45415</c:v>
                </c:pt>
                <c:pt idx="7">
                  <c:v>45422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13.611683369310001</c:v>
                </c:pt>
                <c:pt idx="1">
                  <c:v>13.637941626835818</c:v>
                </c:pt>
                <c:pt idx="2">
                  <c:v>13.392488443196084</c:v>
                </c:pt>
                <c:pt idx="3">
                  <c:v>13.204581677229028</c:v>
                </c:pt>
                <c:pt idx="4">
                  <c:v>12.730402807627465</c:v>
                </c:pt>
                <c:pt idx="5">
                  <c:v>12.735357486958618</c:v>
                </c:pt>
                <c:pt idx="6">
                  <c:v>13.067918239830002</c:v>
                </c:pt>
                <c:pt idx="7">
                  <c:v>13.03449671834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214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56" t="s">
        <v>270</v>
      </c>
      <c r="B1" s="157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9"/>
    </row>
    <row r="2" spans="1:25" ht="15" customHeight="1">
      <c r="A2" s="1"/>
      <c r="B2" s="1"/>
      <c r="C2" s="1"/>
      <c r="D2" s="163" t="s">
        <v>268</v>
      </c>
      <c r="E2" s="164"/>
      <c r="F2" s="164"/>
      <c r="G2" s="164"/>
      <c r="H2" s="164"/>
      <c r="I2" s="164"/>
      <c r="J2" s="165"/>
      <c r="K2" s="163" t="s">
        <v>271</v>
      </c>
      <c r="L2" s="164"/>
      <c r="M2" s="164"/>
      <c r="N2" s="164"/>
      <c r="O2" s="164"/>
      <c r="P2" s="164"/>
      <c r="Q2" s="165"/>
      <c r="R2" s="163" t="s">
        <v>0</v>
      </c>
      <c r="S2" s="164"/>
      <c r="T2" s="165"/>
      <c r="U2" s="160" t="s">
        <v>1</v>
      </c>
      <c r="V2" s="160"/>
    </row>
    <row r="3" spans="1:25" ht="25.5">
      <c r="A3" s="82" t="s">
        <v>2</v>
      </c>
      <c r="B3" s="82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229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229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235</v>
      </c>
      <c r="U3" s="78" t="s">
        <v>13</v>
      </c>
      <c r="V3" s="78" t="s">
        <v>14</v>
      </c>
    </row>
    <row r="4" spans="1:25" ht="7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</row>
    <row r="5" spans="1:25" ht="15" customHeight="1">
      <c r="A5" s="162" t="s">
        <v>15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</row>
    <row r="6" spans="1:25">
      <c r="A6" s="75">
        <v>1</v>
      </c>
      <c r="B6" s="149" t="s">
        <v>16</v>
      </c>
      <c r="C6" s="150" t="s">
        <v>17</v>
      </c>
      <c r="D6" s="2">
        <v>1107449066.1900001</v>
      </c>
      <c r="E6" s="3">
        <f t="shared" ref="E6:E22" si="0">(D6/$D$23)</f>
        <v>4.0537608930111851E-2</v>
      </c>
      <c r="F6" s="8">
        <v>326.589</v>
      </c>
      <c r="G6" s="8">
        <v>326.589</v>
      </c>
      <c r="H6" s="60">
        <v>1739</v>
      </c>
      <c r="I6" s="5">
        <v>3.27E-2</v>
      </c>
      <c r="J6" s="5">
        <v>5.3900000000000003E-2</v>
      </c>
      <c r="K6" s="2">
        <v>1108661592.6900001</v>
      </c>
      <c r="L6" s="3">
        <f>(K6/$K$23)</f>
        <v>4.0058053570010452E-2</v>
      </c>
      <c r="M6" s="8">
        <v>327.20679999999999</v>
      </c>
      <c r="N6" s="8">
        <v>327.20679999999999</v>
      </c>
      <c r="O6" s="60">
        <v>1739</v>
      </c>
      <c r="P6" s="5">
        <v>1.9E-3</v>
      </c>
      <c r="Q6" s="5">
        <v>9.1800000000000007E-2</v>
      </c>
      <c r="R6" s="80">
        <f>((K6-D6)/D6)</f>
        <v>1.0948824077043127E-3</v>
      </c>
      <c r="S6" s="80">
        <f>((N6-G6)/G6)</f>
        <v>1.8916742449990305E-3</v>
      </c>
      <c r="T6" s="80">
        <f>((O6-H6)/H6)</f>
        <v>0</v>
      </c>
      <c r="U6" s="81">
        <f>P6-I6</f>
        <v>-3.0800000000000001E-2</v>
      </c>
      <c r="V6" s="83">
        <f>Q6-J6</f>
        <v>3.7900000000000003E-2</v>
      </c>
    </row>
    <row r="7" spans="1:25">
      <c r="A7" s="75">
        <v>2</v>
      </c>
      <c r="B7" s="149" t="s">
        <v>18</v>
      </c>
      <c r="C7" s="150" t="s">
        <v>19</v>
      </c>
      <c r="D7" s="4">
        <v>589659206.74000001</v>
      </c>
      <c r="E7" s="3">
        <f t="shared" si="0"/>
        <v>2.1584174888603952E-2</v>
      </c>
      <c r="F7" s="4">
        <v>217.59119999999999</v>
      </c>
      <c r="G7" s="4">
        <v>220.17619999999999</v>
      </c>
      <c r="H7" s="60">
        <v>392</v>
      </c>
      <c r="I7" s="5">
        <v>1.3233999999999999E-2</v>
      </c>
      <c r="J7" s="5">
        <v>0.12479999999999999</v>
      </c>
      <c r="K7" s="4">
        <v>590668112.98000002</v>
      </c>
      <c r="L7" s="3">
        <f t="shared" ref="L7:L22" si="1">(K7/$K$23)</f>
        <v>2.1341963199464631E-2</v>
      </c>
      <c r="M7" s="4">
        <v>218.1688</v>
      </c>
      <c r="N7" s="4">
        <v>220.74529999999999</v>
      </c>
      <c r="O7" s="60">
        <v>392</v>
      </c>
      <c r="P7" s="5">
        <v>-2.9870000000000001E-3</v>
      </c>
      <c r="Q7" s="5">
        <v>0.1278</v>
      </c>
      <c r="R7" s="80">
        <f t="shared" ref="R7:R23" si="2">((K7-D7)/D7)</f>
        <v>1.7109988760760065E-3</v>
      </c>
      <c r="S7" s="80">
        <f t="shared" ref="S7:S23" si="3">((N7-G7)/G7)</f>
        <v>2.5847480336203084E-3</v>
      </c>
      <c r="T7" s="80">
        <f t="shared" ref="T7:T23" si="4">((O7-H7)/H7)</f>
        <v>0</v>
      </c>
      <c r="U7" s="81">
        <f t="shared" ref="U7:U23" si="5">P7-I7</f>
        <v>-1.6220999999999999E-2</v>
      </c>
      <c r="V7" s="83">
        <f t="shared" ref="V7:V23" si="6">Q7-J7</f>
        <v>3.0000000000000027E-3</v>
      </c>
    </row>
    <row r="8" spans="1:25">
      <c r="A8" s="75">
        <v>3</v>
      </c>
      <c r="B8" s="149" t="s">
        <v>20</v>
      </c>
      <c r="C8" s="150" t="s">
        <v>21</v>
      </c>
      <c r="D8" s="4">
        <v>3903377380.0900002</v>
      </c>
      <c r="E8" s="3">
        <f t="shared" si="0"/>
        <v>0.14288114060641194</v>
      </c>
      <c r="F8" s="4">
        <v>36.383800000000001</v>
      </c>
      <c r="G8" s="4">
        <v>37.480800000000002</v>
      </c>
      <c r="H8" s="62">
        <v>6427</v>
      </c>
      <c r="I8" s="6">
        <v>0.8014</v>
      </c>
      <c r="J8" s="6">
        <v>0.56369999999999998</v>
      </c>
      <c r="K8" s="4">
        <v>3874257919.6900001</v>
      </c>
      <c r="L8" s="3">
        <f t="shared" si="1"/>
        <v>0.13998431289968427</v>
      </c>
      <c r="M8" s="4">
        <v>36.0366</v>
      </c>
      <c r="N8" s="4">
        <v>37.123100000000001</v>
      </c>
      <c r="O8" s="62">
        <v>6452</v>
      </c>
      <c r="P8" s="6">
        <v>-0.499</v>
      </c>
      <c r="Q8" s="6">
        <v>0.50180000000000002</v>
      </c>
      <c r="R8" s="80">
        <f t="shared" si="2"/>
        <v>-7.4600679269521946E-3</v>
      </c>
      <c r="S8" s="80">
        <f t="shared" si="3"/>
        <v>-9.5435529657851813E-3</v>
      </c>
      <c r="T8" s="80">
        <f t="shared" si="4"/>
        <v>3.8898397386027696E-3</v>
      </c>
      <c r="U8" s="81">
        <f t="shared" si="5"/>
        <v>-1.3004</v>
      </c>
      <c r="V8" s="83">
        <f t="shared" si="6"/>
        <v>-6.1899999999999955E-2</v>
      </c>
      <c r="X8" s="102"/>
      <c r="Y8" s="102"/>
    </row>
    <row r="9" spans="1:25">
      <c r="A9" s="75">
        <v>4</v>
      </c>
      <c r="B9" s="149" t="s">
        <v>22</v>
      </c>
      <c r="C9" s="150" t="s">
        <v>23</v>
      </c>
      <c r="D9" s="4">
        <v>664079804.62</v>
      </c>
      <c r="E9" s="3">
        <f t="shared" si="0"/>
        <v>2.430830296393249E-2</v>
      </c>
      <c r="F9" s="4">
        <v>223.95</v>
      </c>
      <c r="G9" s="4">
        <v>223.95</v>
      </c>
      <c r="H9" s="60">
        <v>1780</v>
      </c>
      <c r="I9" s="5">
        <v>-6.3E-2</v>
      </c>
      <c r="J9" s="5">
        <v>9.9199999999999997E-2</v>
      </c>
      <c r="K9" s="4">
        <v>663910293.71000004</v>
      </c>
      <c r="L9" s="3">
        <f t="shared" si="1"/>
        <v>2.3988342598382895E-2</v>
      </c>
      <c r="M9" s="4">
        <v>222.76</v>
      </c>
      <c r="N9" s="4">
        <v>222.76</v>
      </c>
      <c r="O9" s="60">
        <v>1788</v>
      </c>
      <c r="P9" s="5">
        <v>-7.3899999999999993E-2</v>
      </c>
      <c r="Q9" s="5">
        <v>0.13980000000000001</v>
      </c>
      <c r="R9" s="80">
        <f t="shared" si="2"/>
        <v>-2.5525683633304317E-4</v>
      </c>
      <c r="S9" s="80">
        <f t="shared" si="3"/>
        <v>-5.3136860906452237E-3</v>
      </c>
      <c r="T9" s="80">
        <f t="shared" si="4"/>
        <v>4.4943820224719105E-3</v>
      </c>
      <c r="U9" s="81">
        <f t="shared" si="5"/>
        <v>-1.0899999999999993E-2</v>
      </c>
      <c r="V9" s="83">
        <f t="shared" si="6"/>
        <v>4.0600000000000011E-2</v>
      </c>
    </row>
    <row r="10" spans="1:25">
      <c r="A10" s="75">
        <v>5</v>
      </c>
      <c r="B10" s="149" t="s">
        <v>266</v>
      </c>
      <c r="C10" s="150" t="s">
        <v>99</v>
      </c>
      <c r="D10" s="4">
        <v>600950766.66999996</v>
      </c>
      <c r="E10" s="3">
        <f t="shared" si="0"/>
        <v>2.1997496687888151E-2</v>
      </c>
      <c r="F10" s="4">
        <v>0.87690000000000001</v>
      </c>
      <c r="G10" s="4">
        <v>0.88439999999999996</v>
      </c>
      <c r="H10" s="60">
        <v>551</v>
      </c>
      <c r="I10" s="5">
        <v>3.61E-2</v>
      </c>
      <c r="J10" s="5">
        <v>-0.1188</v>
      </c>
      <c r="K10" s="4">
        <v>601775936.12</v>
      </c>
      <c r="L10" s="3">
        <f t="shared" si="1"/>
        <v>2.1743309992139841E-2</v>
      </c>
      <c r="M10" s="4">
        <v>0.87819999999999998</v>
      </c>
      <c r="N10" s="4">
        <v>0.88580000000000003</v>
      </c>
      <c r="O10" s="60">
        <v>547</v>
      </c>
      <c r="P10" s="5">
        <v>1.4E-3</v>
      </c>
      <c r="Q10" s="5">
        <v>-0.1172</v>
      </c>
      <c r="R10" s="80">
        <f t="shared" ref="R10" si="7">((K10-D10)/D10)</f>
        <v>1.3731065767209061E-3</v>
      </c>
      <c r="S10" s="80">
        <f t="shared" ref="S10" si="8">((N10-G10)/G10)</f>
        <v>1.5829941203076299E-3</v>
      </c>
      <c r="T10" s="80">
        <f t="shared" ref="T10" si="9">((O10-H10)/H10)</f>
        <v>-7.2595281306715061E-3</v>
      </c>
      <c r="U10" s="81">
        <f t="shared" ref="U10" si="10">P10-I10</f>
        <v>-3.4700000000000002E-2</v>
      </c>
      <c r="V10" s="83">
        <f t="shared" ref="V10" si="11">Q10-J10</f>
        <v>1.6000000000000042E-3</v>
      </c>
    </row>
    <row r="11" spans="1:25">
      <c r="A11" s="75">
        <v>6</v>
      </c>
      <c r="B11" s="149" t="s">
        <v>24</v>
      </c>
      <c r="C11" s="150" t="s">
        <v>25</v>
      </c>
      <c r="D11" s="7">
        <v>86134695.569999993</v>
      </c>
      <c r="E11" s="3">
        <f t="shared" si="0"/>
        <v>3.1529166540755771E-3</v>
      </c>
      <c r="F11" s="4">
        <v>152.43369999999999</v>
      </c>
      <c r="G11" s="4">
        <v>152.9425</v>
      </c>
      <c r="H11" s="62">
        <v>89</v>
      </c>
      <c r="I11" s="6">
        <v>2.833E-3</v>
      </c>
      <c r="J11" s="6">
        <v>0.32090000000000002</v>
      </c>
      <c r="K11" s="7">
        <v>84987031.840000004</v>
      </c>
      <c r="L11" s="3">
        <f t="shared" si="1"/>
        <v>3.0707432246684084E-3</v>
      </c>
      <c r="M11" s="4">
        <v>151.35849999999999</v>
      </c>
      <c r="N11" s="4">
        <v>151.8595</v>
      </c>
      <c r="O11" s="62">
        <v>90</v>
      </c>
      <c r="P11" s="6">
        <v>-7.7000000000000002E-3</v>
      </c>
      <c r="Q11" s="6">
        <v>0.31319999999999998</v>
      </c>
      <c r="R11" s="80">
        <f t="shared" si="2"/>
        <v>-1.33240585852806E-2</v>
      </c>
      <c r="S11" s="80">
        <f t="shared" si="3"/>
        <v>-7.0810925674681556E-3</v>
      </c>
      <c r="T11" s="80">
        <f t="shared" si="4"/>
        <v>1.1235955056179775E-2</v>
      </c>
      <c r="U11" s="81">
        <f t="shared" si="5"/>
        <v>-1.0533000000000001E-2</v>
      </c>
      <c r="V11" s="83">
        <f t="shared" si="6"/>
        <v>-7.7000000000000401E-3</v>
      </c>
    </row>
    <row r="12" spans="1:25">
      <c r="A12" s="75">
        <v>7</v>
      </c>
      <c r="B12" s="149" t="s">
        <v>26</v>
      </c>
      <c r="C12" s="150" t="s">
        <v>27</v>
      </c>
      <c r="D12" s="4">
        <v>1005861902.1900001</v>
      </c>
      <c r="E12" s="3">
        <f t="shared" si="0"/>
        <v>3.6819062540688452E-2</v>
      </c>
      <c r="F12" s="4">
        <v>269.8</v>
      </c>
      <c r="G12" s="4">
        <v>273.49</v>
      </c>
      <c r="H12" s="62">
        <v>1620</v>
      </c>
      <c r="I12" s="6">
        <v>4.7E-2</v>
      </c>
      <c r="J12" s="6">
        <v>8.4900000000000003E-2</v>
      </c>
      <c r="K12" s="4">
        <v>1016806570.1</v>
      </c>
      <c r="L12" s="3">
        <f t="shared" si="1"/>
        <v>3.6739156767013149E-2</v>
      </c>
      <c r="M12" s="4">
        <v>272.79000000000002</v>
      </c>
      <c r="N12" s="4">
        <v>276.54000000000002</v>
      </c>
      <c r="O12" s="62">
        <v>1619</v>
      </c>
      <c r="P12" s="6">
        <v>1.11E-2</v>
      </c>
      <c r="Q12" s="6">
        <v>9.7000000000000003E-2</v>
      </c>
      <c r="R12" s="80">
        <f t="shared" si="2"/>
        <v>1.088088522506999E-2</v>
      </c>
      <c r="S12" s="80">
        <f t="shared" si="3"/>
        <v>1.1152144502541268E-2</v>
      </c>
      <c r="T12" s="80">
        <f t="shared" si="4"/>
        <v>-6.1728395061728394E-4</v>
      </c>
      <c r="U12" s="81">
        <f t="shared" si="5"/>
        <v>-3.5900000000000001E-2</v>
      </c>
      <c r="V12" s="83">
        <f t="shared" si="6"/>
        <v>1.21E-2</v>
      </c>
    </row>
    <row r="13" spans="1:25">
      <c r="A13" s="75">
        <v>8</v>
      </c>
      <c r="B13" s="149" t="s">
        <v>28</v>
      </c>
      <c r="C13" s="150" t="s">
        <v>29</v>
      </c>
      <c r="D13" s="2">
        <v>318315544.14999998</v>
      </c>
      <c r="E13" s="3">
        <f t="shared" si="0"/>
        <v>1.1651778342747379E-2</v>
      </c>
      <c r="F13" s="4">
        <v>159.9</v>
      </c>
      <c r="G13" s="4">
        <v>162.24</v>
      </c>
      <c r="H13" s="60">
        <v>2466</v>
      </c>
      <c r="I13" s="5">
        <v>-4.7E-2</v>
      </c>
      <c r="J13" s="5">
        <v>-6.2199999999999998E-2</v>
      </c>
      <c r="K13" s="2">
        <v>326427670.24000001</v>
      </c>
      <c r="L13" s="3">
        <f t="shared" si="1"/>
        <v>1.1794453048094277E-2</v>
      </c>
      <c r="M13" s="4">
        <v>163.98</v>
      </c>
      <c r="N13" s="4">
        <v>166.47</v>
      </c>
      <c r="O13" s="60">
        <v>2466</v>
      </c>
      <c r="P13" s="5">
        <v>2.5499999999999998E-2</v>
      </c>
      <c r="Q13" s="5">
        <v>-2.2700000000000001E-2</v>
      </c>
      <c r="R13" s="80">
        <f t="shared" si="2"/>
        <v>2.5484542740951893E-2</v>
      </c>
      <c r="S13" s="80">
        <f t="shared" si="3"/>
        <v>2.6072485207100527E-2</v>
      </c>
      <c r="T13" s="80">
        <f t="shared" si="4"/>
        <v>0</v>
      </c>
      <c r="U13" s="81">
        <f t="shared" si="5"/>
        <v>7.2499999999999995E-2</v>
      </c>
      <c r="V13" s="83">
        <f t="shared" si="6"/>
        <v>3.9499999999999993E-2</v>
      </c>
    </row>
    <row r="14" spans="1:25">
      <c r="A14" s="75" t="s">
        <v>274</v>
      </c>
      <c r="B14" s="149" t="s">
        <v>30</v>
      </c>
      <c r="C14" s="150" t="s">
        <v>31</v>
      </c>
      <c r="D14" s="7">
        <v>49111517.759999998</v>
      </c>
      <c r="E14" s="3">
        <f t="shared" si="0"/>
        <v>1.797702090054911E-3</v>
      </c>
      <c r="F14" s="4">
        <v>175.39</v>
      </c>
      <c r="G14" s="4">
        <v>180.2</v>
      </c>
      <c r="H14" s="60">
        <v>13</v>
      </c>
      <c r="I14" s="5">
        <v>4.1000000000000003E-3</v>
      </c>
      <c r="J14" s="5">
        <v>-2.8500000000000001E-2</v>
      </c>
      <c r="K14" s="7">
        <v>49111517.759999998</v>
      </c>
      <c r="L14" s="3">
        <f t="shared" si="1"/>
        <v>1.7744926155159886E-3</v>
      </c>
      <c r="M14" s="4">
        <v>175.39</v>
      </c>
      <c r="N14" s="4">
        <v>180.2</v>
      </c>
      <c r="O14" s="60">
        <v>13</v>
      </c>
      <c r="P14" s="5">
        <v>4.1000000000000003E-3</v>
      </c>
      <c r="Q14" s="5">
        <v>-2.8500000000000001E-2</v>
      </c>
      <c r="R14" s="80">
        <f t="shared" si="2"/>
        <v>0</v>
      </c>
      <c r="S14" s="80">
        <f t="shared" si="3"/>
        <v>0</v>
      </c>
      <c r="T14" s="80">
        <f t="shared" si="4"/>
        <v>0</v>
      </c>
      <c r="U14" s="81">
        <f t="shared" si="5"/>
        <v>0</v>
      </c>
      <c r="V14" s="83">
        <f t="shared" si="6"/>
        <v>0</v>
      </c>
    </row>
    <row r="15" spans="1:25" ht="14.25" customHeight="1">
      <c r="A15" s="75">
        <v>10</v>
      </c>
      <c r="B15" s="149" t="s">
        <v>238</v>
      </c>
      <c r="C15" s="150" t="s">
        <v>32</v>
      </c>
      <c r="D15" s="2">
        <v>476163003.54650003</v>
      </c>
      <c r="E15" s="3">
        <f t="shared" si="0"/>
        <v>1.7429704186001666E-2</v>
      </c>
      <c r="F15" s="4">
        <v>1.5159</v>
      </c>
      <c r="G15" s="4">
        <v>1.5637000000000001</v>
      </c>
      <c r="H15" s="60">
        <v>447</v>
      </c>
      <c r="I15" s="5">
        <v>3.9426769061985834E-2</v>
      </c>
      <c r="J15" s="5">
        <v>-0.10550539918569657</v>
      </c>
      <c r="K15" s="2">
        <v>491132685.30379999</v>
      </c>
      <c r="L15" s="3">
        <f t="shared" si="1"/>
        <v>1.7745558741822338E-2</v>
      </c>
      <c r="M15" s="4">
        <v>1.5713999999999999</v>
      </c>
      <c r="N15" s="4">
        <v>1.6209</v>
      </c>
      <c r="O15" s="60">
        <v>440</v>
      </c>
      <c r="P15" s="5">
        <v>3.66119137146248E-2</v>
      </c>
      <c r="Q15" s="5">
        <v>-7.2756240042485487E-2</v>
      </c>
      <c r="R15" s="80">
        <f t="shared" si="2"/>
        <v>3.1438145437181333E-2</v>
      </c>
      <c r="S15" s="80">
        <f t="shared" si="3"/>
        <v>3.6579906631706793E-2</v>
      </c>
      <c r="T15" s="80">
        <f t="shared" si="4"/>
        <v>-1.5659955257270694E-2</v>
      </c>
      <c r="U15" s="81">
        <f t="shared" si="5"/>
        <v>-2.8148553473610338E-3</v>
      </c>
      <c r="V15" s="83">
        <f t="shared" si="6"/>
        <v>3.2749159143211082E-2</v>
      </c>
    </row>
    <row r="16" spans="1:25">
      <c r="A16" s="75">
        <v>11</v>
      </c>
      <c r="B16" s="149" t="s">
        <v>33</v>
      </c>
      <c r="C16" s="150" t="s">
        <v>34</v>
      </c>
      <c r="D16" s="2">
        <v>1549348469.6900001</v>
      </c>
      <c r="E16" s="3">
        <f t="shared" si="0"/>
        <v>5.671311149038883E-2</v>
      </c>
      <c r="F16" s="4">
        <v>3.14</v>
      </c>
      <c r="G16" s="4">
        <v>3.2</v>
      </c>
      <c r="H16" s="60">
        <v>3669</v>
      </c>
      <c r="I16" s="5">
        <v>1.24E-2</v>
      </c>
      <c r="J16" s="5">
        <v>0.1323</v>
      </c>
      <c r="K16" s="2">
        <v>1564288725.3399999</v>
      </c>
      <c r="L16" s="3">
        <f t="shared" si="1"/>
        <v>5.6520729113193433E-2</v>
      </c>
      <c r="M16" s="4">
        <v>3.17</v>
      </c>
      <c r="N16" s="4">
        <v>3.23</v>
      </c>
      <c r="O16" s="60">
        <v>3669</v>
      </c>
      <c r="P16" s="5">
        <v>5.0000000000000001E-4</v>
      </c>
      <c r="Q16" s="5">
        <v>0.14319999999999999</v>
      </c>
      <c r="R16" s="80">
        <f t="shared" si="2"/>
        <v>9.6429279418265169E-3</v>
      </c>
      <c r="S16" s="80">
        <f t="shared" si="3"/>
        <v>9.3749999999999389E-3</v>
      </c>
      <c r="T16" s="80">
        <f t="shared" si="4"/>
        <v>0</v>
      </c>
      <c r="U16" s="81">
        <f t="shared" si="5"/>
        <v>-1.1899999999999999E-2</v>
      </c>
      <c r="V16" s="83">
        <f t="shared" si="6"/>
        <v>1.0899999999999993E-2</v>
      </c>
    </row>
    <row r="17" spans="1:22">
      <c r="A17" s="75">
        <v>12</v>
      </c>
      <c r="B17" s="149" t="s">
        <v>35</v>
      </c>
      <c r="C17" s="150" t="s">
        <v>36</v>
      </c>
      <c r="D17" s="4">
        <v>576049440.49000001</v>
      </c>
      <c r="E17" s="3">
        <f t="shared" si="0"/>
        <v>2.1085996327877186E-2</v>
      </c>
      <c r="F17" s="4">
        <v>19.185786</v>
      </c>
      <c r="G17" s="4">
        <v>19.355993000000002</v>
      </c>
      <c r="H17" s="60">
        <v>327</v>
      </c>
      <c r="I17" s="5">
        <v>5.7579970039338679E-3</v>
      </c>
      <c r="J17" s="5">
        <v>4.4860678976820223E-2</v>
      </c>
      <c r="K17" s="4">
        <v>584294382.66999996</v>
      </c>
      <c r="L17" s="3">
        <f t="shared" si="1"/>
        <v>2.1111668191608098E-2</v>
      </c>
      <c r="M17" s="4">
        <v>19.317367999999998</v>
      </c>
      <c r="N17" s="4">
        <v>19.476700000000001</v>
      </c>
      <c r="O17" s="60">
        <v>329</v>
      </c>
      <c r="P17" s="5">
        <v>5.7579970039338679E-3</v>
      </c>
      <c r="Q17" s="5">
        <v>5.1700188274986569E-2</v>
      </c>
      <c r="R17" s="80">
        <f t="shared" si="2"/>
        <v>1.4312907192456646E-2</v>
      </c>
      <c r="S17" s="80">
        <f t="shared" si="3"/>
        <v>6.2361564193580479E-3</v>
      </c>
      <c r="T17" s="80">
        <f t="shared" si="4"/>
        <v>6.1162079510703364E-3</v>
      </c>
      <c r="U17" s="81">
        <f t="shared" si="5"/>
        <v>0</v>
      </c>
      <c r="V17" s="83">
        <f t="shared" si="6"/>
        <v>6.8395092981663463E-3</v>
      </c>
    </row>
    <row r="18" spans="1:22">
      <c r="A18" s="75">
        <v>13</v>
      </c>
      <c r="B18" s="149" t="s">
        <v>37</v>
      </c>
      <c r="C18" s="150" t="s">
        <v>38</v>
      </c>
      <c r="D18" s="4">
        <v>331382012.37</v>
      </c>
      <c r="E18" s="3">
        <f t="shared" si="0"/>
        <v>1.2130069755843591E-2</v>
      </c>
      <c r="F18" s="4">
        <v>2.3829150000000001</v>
      </c>
      <c r="G18" s="4">
        <v>2.4168259999999999</v>
      </c>
      <c r="H18" s="60">
        <v>22</v>
      </c>
      <c r="I18" s="5">
        <v>-1.7193619054420899E-2</v>
      </c>
      <c r="J18" s="5">
        <v>0.105559699068838</v>
      </c>
      <c r="K18" s="4">
        <v>385081872.38999999</v>
      </c>
      <c r="L18" s="3">
        <f t="shared" si="1"/>
        <v>1.3913741014163379E-2</v>
      </c>
      <c r="M18" s="4">
        <v>2.463997</v>
      </c>
      <c r="N18" s="4">
        <v>2.4987520000000001</v>
      </c>
      <c r="O18" s="60">
        <v>22</v>
      </c>
      <c r="P18" s="5">
        <v>9.5999999999999992E-3</v>
      </c>
      <c r="Q18" s="5">
        <v>7.6200000000000004E-2</v>
      </c>
      <c r="R18" s="80">
        <f t="shared" si="2"/>
        <v>0.16204820423397678</v>
      </c>
      <c r="S18" s="80">
        <f t="shared" si="3"/>
        <v>3.3898178851104785E-2</v>
      </c>
      <c r="T18" s="80">
        <f t="shared" si="4"/>
        <v>0</v>
      </c>
      <c r="U18" s="81">
        <f t="shared" si="5"/>
        <v>2.6793619054420896E-2</v>
      </c>
      <c r="V18" s="83">
        <f t="shared" si="6"/>
        <v>-2.9359699068837994E-2</v>
      </c>
    </row>
    <row r="19" spans="1:22">
      <c r="A19" s="75">
        <v>14</v>
      </c>
      <c r="B19" s="149" t="s">
        <v>39</v>
      </c>
      <c r="C19" s="150" t="s">
        <v>40</v>
      </c>
      <c r="D19" s="2">
        <v>1315073028.24</v>
      </c>
      <c r="E19" s="3">
        <f t="shared" si="0"/>
        <v>4.8137578296702371E-2</v>
      </c>
      <c r="F19" s="4">
        <v>24.01</v>
      </c>
      <c r="G19" s="4">
        <v>24.53</v>
      </c>
      <c r="H19" s="60">
        <v>8834</v>
      </c>
      <c r="I19" s="5">
        <v>-1.7999999999999999E-2</v>
      </c>
      <c r="J19" s="5">
        <v>-4.5499999999999999E-2</v>
      </c>
      <c r="K19" s="2">
        <v>1408278376.52</v>
      </c>
      <c r="L19" s="3">
        <f t="shared" si="1"/>
        <v>5.0883778260278817E-2</v>
      </c>
      <c r="M19" s="4">
        <v>25.71</v>
      </c>
      <c r="N19" s="4">
        <v>26.27</v>
      </c>
      <c r="O19" s="60">
        <v>8834</v>
      </c>
      <c r="P19" s="5">
        <v>4.1799999999999997E-2</v>
      </c>
      <c r="Q19" s="5">
        <v>2.2200000000000001E-2</v>
      </c>
      <c r="R19" s="80">
        <f t="shared" si="2"/>
        <v>7.0874655839257353E-2</v>
      </c>
      <c r="S19" s="80">
        <f t="shared" si="3"/>
        <v>7.0933550754178495E-2</v>
      </c>
      <c r="T19" s="80">
        <f t="shared" si="4"/>
        <v>0</v>
      </c>
      <c r="U19" s="81">
        <f t="shared" si="5"/>
        <v>5.9799999999999992E-2</v>
      </c>
      <c r="V19" s="83">
        <f t="shared" si="6"/>
        <v>6.7699999999999996E-2</v>
      </c>
    </row>
    <row r="20" spans="1:22" ht="12.75" customHeight="1">
      <c r="A20" s="75">
        <v>15</v>
      </c>
      <c r="B20" s="149" t="s">
        <v>41</v>
      </c>
      <c r="C20" s="150" t="s">
        <v>42</v>
      </c>
      <c r="D20" s="2">
        <v>603177694.38999999</v>
      </c>
      <c r="E20" s="3">
        <f t="shared" si="0"/>
        <v>2.2079012242675299E-2</v>
      </c>
      <c r="F20" s="4">
        <v>5790.35</v>
      </c>
      <c r="G20" s="4">
        <v>5859.14</v>
      </c>
      <c r="H20" s="60">
        <v>22</v>
      </c>
      <c r="I20" s="5">
        <v>5.4699999999999999E-2</v>
      </c>
      <c r="J20" s="5">
        <v>7.5499999999999998E-2</v>
      </c>
      <c r="K20" s="2">
        <v>610507594.47000003</v>
      </c>
      <c r="L20" s="3">
        <f t="shared" si="1"/>
        <v>2.2058801428161051E-2</v>
      </c>
      <c r="M20" s="4">
        <v>5860.54</v>
      </c>
      <c r="N20" s="4">
        <v>5930.46</v>
      </c>
      <c r="O20" s="60">
        <v>22</v>
      </c>
      <c r="P20" s="5">
        <v>1.2200000000000001E-2</v>
      </c>
      <c r="Q20" s="5">
        <v>8.8599999999999998E-2</v>
      </c>
      <c r="R20" s="80">
        <f t="shared" si="2"/>
        <v>1.21521404855875E-2</v>
      </c>
      <c r="S20" s="80">
        <f t="shared" si="3"/>
        <v>1.2172434862454166E-2</v>
      </c>
      <c r="T20" s="80">
        <f t="shared" si="4"/>
        <v>0</v>
      </c>
      <c r="U20" s="81">
        <f t="shared" si="5"/>
        <v>-4.2499999999999996E-2</v>
      </c>
      <c r="V20" s="83">
        <f t="shared" si="6"/>
        <v>1.3100000000000001E-2</v>
      </c>
    </row>
    <row r="21" spans="1:22">
      <c r="A21" s="75">
        <v>16</v>
      </c>
      <c r="B21" s="149" t="s">
        <v>43</v>
      </c>
      <c r="C21" s="150" t="s">
        <v>42</v>
      </c>
      <c r="D21" s="4">
        <v>11050200324.219999</v>
      </c>
      <c r="E21" s="3">
        <f t="shared" si="0"/>
        <v>0.40448695386391065</v>
      </c>
      <c r="F21" s="4">
        <v>18606.310000000001</v>
      </c>
      <c r="G21" s="4">
        <v>18847.650000000001</v>
      </c>
      <c r="H21" s="60">
        <v>17380</v>
      </c>
      <c r="I21" s="5">
        <v>5.5599999999999997E-2</v>
      </c>
      <c r="J21" s="5">
        <v>2.64E-2</v>
      </c>
      <c r="K21" s="4">
        <v>11219461370.209999</v>
      </c>
      <c r="L21" s="3">
        <f t="shared" si="1"/>
        <v>0.40538049442486906</v>
      </c>
      <c r="M21" s="4">
        <v>18883.240000000002</v>
      </c>
      <c r="N21" s="4">
        <v>19129.23</v>
      </c>
      <c r="O21" s="60">
        <v>17381</v>
      </c>
      <c r="P21" s="5">
        <v>1.49E-2</v>
      </c>
      <c r="Q21" s="5">
        <v>4.1700000000000001E-2</v>
      </c>
      <c r="R21" s="80">
        <f t="shared" si="2"/>
        <v>1.5317464029951638E-2</v>
      </c>
      <c r="S21" s="80">
        <f t="shared" si="3"/>
        <v>1.49397935551646E-2</v>
      </c>
      <c r="T21" s="80">
        <f t="shared" si="4"/>
        <v>5.7537399309551206E-5</v>
      </c>
      <c r="U21" s="81">
        <f t="shared" si="5"/>
        <v>-4.07E-2</v>
      </c>
      <c r="V21" s="83">
        <f t="shared" si="6"/>
        <v>1.5300000000000001E-2</v>
      </c>
    </row>
    <row r="22" spans="1:22">
      <c r="A22" s="75">
        <v>17</v>
      </c>
      <c r="B22" s="150" t="s">
        <v>44</v>
      </c>
      <c r="C22" s="150" t="s">
        <v>45</v>
      </c>
      <c r="D22" s="4">
        <v>3092718633.3000002</v>
      </c>
      <c r="E22" s="3">
        <f t="shared" si="0"/>
        <v>0.11320739013208576</v>
      </c>
      <c r="F22" s="4">
        <v>1.5222</v>
      </c>
      <c r="G22" s="8">
        <v>1.5375000000000001</v>
      </c>
      <c r="H22" s="60">
        <v>3748</v>
      </c>
      <c r="I22" s="5">
        <v>3.4000000000000002E-2</v>
      </c>
      <c r="J22" s="5">
        <v>0.12</v>
      </c>
      <c r="K22" s="4">
        <v>3096720360.21</v>
      </c>
      <c r="L22" s="3">
        <f t="shared" si="1"/>
        <v>0.11189040091092997</v>
      </c>
      <c r="M22" s="4">
        <v>1.5250999999999999</v>
      </c>
      <c r="N22" s="8">
        <v>1.5404</v>
      </c>
      <c r="O22" s="60">
        <v>3743</v>
      </c>
      <c r="P22" s="5">
        <v>1.9E-3</v>
      </c>
      <c r="Q22" s="5">
        <v>0.1222</v>
      </c>
      <c r="R22" s="80">
        <f t="shared" si="2"/>
        <v>1.2939188411491267E-3</v>
      </c>
      <c r="S22" s="80">
        <f t="shared" si="3"/>
        <v>1.8861788617885544E-3</v>
      </c>
      <c r="T22" s="80">
        <f t="shared" si="4"/>
        <v>-1.3340448239060833E-3</v>
      </c>
      <c r="U22" s="81">
        <f t="shared" si="5"/>
        <v>-3.2100000000000004E-2</v>
      </c>
      <c r="V22" s="83">
        <f t="shared" si="6"/>
        <v>2.2000000000000075E-3</v>
      </c>
    </row>
    <row r="23" spans="1:22">
      <c r="A23" s="75"/>
      <c r="B23" s="19"/>
      <c r="C23" s="71" t="s">
        <v>46</v>
      </c>
      <c r="D23" s="58">
        <f>SUM(D6:D22)</f>
        <v>27319052490.226498</v>
      </c>
      <c r="E23" s="100">
        <f>(D23/$D$189)</f>
        <v>9.9993029164509809E-3</v>
      </c>
      <c r="F23" s="30"/>
      <c r="G23" s="31"/>
      <c r="H23" s="65">
        <f>SUM(H6:H22)</f>
        <v>49526</v>
      </c>
      <c r="I23" s="28"/>
      <c r="J23" s="60">
        <v>0</v>
      </c>
      <c r="K23" s="58">
        <f>SUM(K6:K22)</f>
        <v>27676372012.243797</v>
      </c>
      <c r="L23" s="100">
        <f>(K23/$K$189)</f>
        <v>9.8654633960529332E-3</v>
      </c>
      <c r="M23" s="30"/>
      <c r="N23" s="31"/>
      <c r="O23" s="65">
        <f>SUM(O6:O22)</f>
        <v>49546</v>
      </c>
      <c r="P23" s="28"/>
      <c r="Q23" s="65"/>
      <c r="R23" s="80">
        <f t="shared" si="2"/>
        <v>1.3079499083840195E-2</v>
      </c>
      <c r="S23" s="80" t="e">
        <f t="shared" si="3"/>
        <v>#DIV/0!</v>
      </c>
      <c r="T23" s="80">
        <f t="shared" si="4"/>
        <v>4.0382829221015224E-4</v>
      </c>
      <c r="U23" s="81">
        <f t="shared" si="5"/>
        <v>0</v>
      </c>
      <c r="V23" s="83">
        <f t="shared" si="6"/>
        <v>0</v>
      </c>
    </row>
    <row r="24" spans="1:22" ht="9" customHeight="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</row>
    <row r="25" spans="1:22" ht="15" customHeight="1">
      <c r="A25" s="162" t="s">
        <v>47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</row>
    <row r="26" spans="1:22">
      <c r="A26" s="75">
        <v>18</v>
      </c>
      <c r="B26" s="149" t="s">
        <v>48</v>
      </c>
      <c r="C26" s="150" t="s">
        <v>17</v>
      </c>
      <c r="D26" s="9">
        <v>931755280.58000004</v>
      </c>
      <c r="E26" s="3">
        <f>(D26/$K$57)</f>
        <v>9.708270472223473E-4</v>
      </c>
      <c r="F26" s="8">
        <v>100</v>
      </c>
      <c r="G26" s="8">
        <v>100</v>
      </c>
      <c r="H26" s="60">
        <v>773</v>
      </c>
      <c r="I26" s="5">
        <v>0.15590000000000001</v>
      </c>
      <c r="J26" s="5">
        <v>0.15590000000000001</v>
      </c>
      <c r="K26" s="9">
        <v>906589716.78999996</v>
      </c>
      <c r="L26" s="3">
        <f t="shared" ref="L26:L56" si="12">(K26/$K$57)</f>
        <v>9.4460620308532955E-4</v>
      </c>
      <c r="M26" s="8">
        <v>100</v>
      </c>
      <c r="N26" s="8">
        <v>100</v>
      </c>
      <c r="O26" s="60">
        <v>773</v>
      </c>
      <c r="P26" s="5">
        <v>0.15509999999999999</v>
      </c>
      <c r="Q26" s="5">
        <v>0.15509999999999999</v>
      </c>
      <c r="R26" s="80">
        <f>((K26-D26)/D26)</f>
        <v>-2.7008769700060078E-2</v>
      </c>
      <c r="S26" s="80">
        <f>((N26-G26)/G26)</f>
        <v>0</v>
      </c>
      <c r="T26" s="80">
        <f>((O26-H26)/H26)</f>
        <v>0</v>
      </c>
      <c r="U26" s="81">
        <f>P26-I26</f>
        <v>-8.0000000000002292E-4</v>
      </c>
      <c r="V26" s="83">
        <f>Q26-J26</f>
        <v>-8.0000000000002292E-4</v>
      </c>
    </row>
    <row r="27" spans="1:22">
      <c r="A27" s="75">
        <v>19</v>
      </c>
      <c r="B27" s="149" t="s">
        <v>49</v>
      </c>
      <c r="C27" s="150" t="s">
        <v>50</v>
      </c>
      <c r="D27" s="9">
        <v>5289230023.6300001</v>
      </c>
      <c r="E27" s="3">
        <f t="shared" ref="E27:E56" si="13">(D27/$K$57)</f>
        <v>5.5110259882016482E-3</v>
      </c>
      <c r="F27" s="8">
        <v>100</v>
      </c>
      <c r="G27" s="8">
        <v>100</v>
      </c>
      <c r="H27" s="60">
        <v>1406</v>
      </c>
      <c r="I27" s="5">
        <v>1.9300000000000001E-3</v>
      </c>
      <c r="J27" s="5">
        <v>2.8926E-2</v>
      </c>
      <c r="K27" s="9">
        <v>5368926493.2799997</v>
      </c>
      <c r="L27" s="3">
        <f t="shared" si="12"/>
        <v>5.5940644103248827E-3</v>
      </c>
      <c r="M27" s="8">
        <v>100</v>
      </c>
      <c r="N27" s="8">
        <v>100</v>
      </c>
      <c r="O27" s="60">
        <v>1414</v>
      </c>
      <c r="P27" s="5">
        <v>0.168544</v>
      </c>
      <c r="Q27" s="5">
        <v>0.168544</v>
      </c>
      <c r="R27" s="80">
        <f t="shared" ref="R27:R57" si="14">((K27-D27)/D27)</f>
        <v>1.5067688358031347E-2</v>
      </c>
      <c r="S27" s="80">
        <f t="shared" ref="S27:S57" si="15">((N27-G27)/G27)</f>
        <v>0</v>
      </c>
      <c r="T27" s="80">
        <f t="shared" ref="T27:T57" si="16">((O27-H27)/H27)</f>
        <v>5.6899004267425323E-3</v>
      </c>
      <c r="U27" s="81">
        <f t="shared" ref="U27:U57" si="17">P27-I27</f>
        <v>0.16661400000000001</v>
      </c>
      <c r="V27" s="83">
        <f t="shared" ref="V27:V57" si="18">Q27-J27</f>
        <v>0.13961799999999999</v>
      </c>
    </row>
    <row r="28" spans="1:22">
      <c r="A28" s="75">
        <v>20</v>
      </c>
      <c r="B28" s="149" t="s">
        <v>51</v>
      </c>
      <c r="C28" s="150" t="s">
        <v>19</v>
      </c>
      <c r="D28" s="9">
        <v>341125855.31</v>
      </c>
      <c r="E28" s="3">
        <f t="shared" si="13"/>
        <v>3.5543045877417008E-4</v>
      </c>
      <c r="F28" s="8">
        <v>100</v>
      </c>
      <c r="G28" s="8">
        <v>100</v>
      </c>
      <c r="H28" s="60">
        <v>1414</v>
      </c>
      <c r="I28" s="5">
        <v>0.14799999999999999</v>
      </c>
      <c r="J28" s="5">
        <v>0.14799999999999999</v>
      </c>
      <c r="K28" s="9">
        <v>376261028.39999998</v>
      </c>
      <c r="L28" s="3">
        <f t="shared" si="12"/>
        <v>3.920389728932184E-4</v>
      </c>
      <c r="M28" s="8">
        <v>100</v>
      </c>
      <c r="N28" s="8">
        <v>100</v>
      </c>
      <c r="O28" s="60">
        <v>1418</v>
      </c>
      <c r="P28" s="5">
        <v>0.1565</v>
      </c>
      <c r="Q28" s="5">
        <v>0.1565</v>
      </c>
      <c r="R28" s="80">
        <f t="shared" si="14"/>
        <v>0.10299768411887364</v>
      </c>
      <c r="S28" s="80">
        <f t="shared" si="15"/>
        <v>0</v>
      </c>
      <c r="T28" s="80">
        <f t="shared" si="16"/>
        <v>2.828854314002829E-3</v>
      </c>
      <c r="U28" s="81">
        <f t="shared" si="17"/>
        <v>8.5000000000000075E-3</v>
      </c>
      <c r="V28" s="83">
        <f t="shared" si="18"/>
        <v>8.5000000000000075E-3</v>
      </c>
    </row>
    <row r="29" spans="1:22">
      <c r="A29" s="75">
        <v>21</v>
      </c>
      <c r="B29" s="149" t="s">
        <v>52</v>
      </c>
      <c r="C29" s="150" t="s">
        <v>21</v>
      </c>
      <c r="D29" s="9">
        <v>85931940489.960007</v>
      </c>
      <c r="E29" s="3">
        <f t="shared" si="13"/>
        <v>8.9535368123724313E-2</v>
      </c>
      <c r="F29" s="8">
        <v>1</v>
      </c>
      <c r="G29" s="8">
        <v>1</v>
      </c>
      <c r="H29" s="60">
        <v>57503</v>
      </c>
      <c r="I29" s="5">
        <v>0.1399</v>
      </c>
      <c r="J29" s="5">
        <v>0.1399</v>
      </c>
      <c r="K29" s="9">
        <v>85810909888.309998</v>
      </c>
      <c r="L29" s="3">
        <f t="shared" si="12"/>
        <v>8.9409262284484758E-2</v>
      </c>
      <c r="M29" s="8">
        <v>1</v>
      </c>
      <c r="N29" s="8">
        <v>1</v>
      </c>
      <c r="O29" s="60">
        <v>57665</v>
      </c>
      <c r="P29" s="5">
        <v>0.1401</v>
      </c>
      <c r="Q29" s="5">
        <v>0.1401</v>
      </c>
      <c r="R29" s="80">
        <f t="shared" si="14"/>
        <v>-1.4084472078708609E-3</v>
      </c>
      <c r="S29" s="80">
        <f t="shared" si="15"/>
        <v>0</v>
      </c>
      <c r="T29" s="80">
        <f t="shared" si="16"/>
        <v>2.8172443176877728E-3</v>
      </c>
      <c r="U29" s="81">
        <f t="shared" si="17"/>
        <v>2.0000000000000573E-4</v>
      </c>
      <c r="V29" s="83">
        <f t="shared" si="18"/>
        <v>2.0000000000000573E-4</v>
      </c>
    </row>
    <row r="30" spans="1:22">
      <c r="A30" s="75">
        <v>22</v>
      </c>
      <c r="B30" s="149" t="s">
        <v>53</v>
      </c>
      <c r="C30" s="150" t="s">
        <v>23</v>
      </c>
      <c r="D30" s="9">
        <v>49978165335.230003</v>
      </c>
      <c r="E30" s="3">
        <f t="shared" si="13"/>
        <v>5.2073925084480055E-2</v>
      </c>
      <c r="F30" s="8">
        <v>1</v>
      </c>
      <c r="G30" s="8">
        <v>1</v>
      </c>
      <c r="H30" s="60">
        <v>27344</v>
      </c>
      <c r="I30" s="5">
        <v>0.17269999999999999</v>
      </c>
      <c r="J30" s="5">
        <v>0.17269999999999999</v>
      </c>
      <c r="K30" s="9">
        <v>51643339494.309998</v>
      </c>
      <c r="L30" s="3">
        <f t="shared" si="12"/>
        <v>5.3808925835926599E-2</v>
      </c>
      <c r="M30" s="8">
        <v>1</v>
      </c>
      <c r="N30" s="8">
        <v>1</v>
      </c>
      <c r="O30" s="60">
        <v>27426</v>
      </c>
      <c r="P30" s="5">
        <v>0.18015999999999999</v>
      </c>
      <c r="Q30" s="5">
        <v>0.18015999999999999</v>
      </c>
      <c r="R30" s="80">
        <f t="shared" si="14"/>
        <v>3.3318032943202097E-2</v>
      </c>
      <c r="S30" s="80">
        <f t="shared" si="15"/>
        <v>0</v>
      </c>
      <c r="T30" s="80">
        <f t="shared" si="16"/>
        <v>2.9988297249853714E-3</v>
      </c>
      <c r="U30" s="81">
        <f t="shared" si="17"/>
        <v>7.4599999999999944E-3</v>
      </c>
      <c r="V30" s="83">
        <f t="shared" si="18"/>
        <v>7.4599999999999944E-3</v>
      </c>
    </row>
    <row r="31" spans="1:22" ht="15" customHeight="1">
      <c r="A31" s="75">
        <v>23</v>
      </c>
      <c r="B31" s="149" t="s">
        <v>54</v>
      </c>
      <c r="C31" s="150" t="s">
        <v>40</v>
      </c>
      <c r="D31" s="9">
        <v>8984985202.6900005</v>
      </c>
      <c r="E31" s="3">
        <f t="shared" si="13"/>
        <v>9.3617571431784067E-3</v>
      </c>
      <c r="F31" s="8">
        <v>100</v>
      </c>
      <c r="G31" s="8">
        <v>100</v>
      </c>
      <c r="H31" s="60">
        <v>2891</v>
      </c>
      <c r="I31" s="5">
        <v>0.17510000000000001</v>
      </c>
      <c r="J31" s="5">
        <v>0.1447</v>
      </c>
      <c r="K31" s="9">
        <v>9543534642.9799995</v>
      </c>
      <c r="L31" s="3">
        <f t="shared" si="12"/>
        <v>9.9437285203697341E-3</v>
      </c>
      <c r="M31" s="8">
        <v>100</v>
      </c>
      <c r="N31" s="8">
        <v>100</v>
      </c>
      <c r="O31" s="60">
        <v>2891</v>
      </c>
      <c r="P31" s="5">
        <v>0.17799999999999999</v>
      </c>
      <c r="Q31" s="5">
        <v>0.17799999999999999</v>
      </c>
      <c r="R31" s="80">
        <f t="shared" si="14"/>
        <v>6.2164759060791303E-2</v>
      </c>
      <c r="S31" s="80">
        <f t="shared" si="15"/>
        <v>0</v>
      </c>
      <c r="T31" s="80">
        <f t="shared" si="16"/>
        <v>0</v>
      </c>
      <c r="U31" s="81">
        <f t="shared" si="17"/>
        <v>2.8999999999999859E-3</v>
      </c>
      <c r="V31" s="83">
        <f t="shared" si="18"/>
        <v>3.3299999999999996E-2</v>
      </c>
    </row>
    <row r="32" spans="1:22">
      <c r="A32" s="75">
        <v>24</v>
      </c>
      <c r="B32" s="149" t="s">
        <v>55</v>
      </c>
      <c r="C32" s="150" t="s">
        <v>56</v>
      </c>
      <c r="D32" s="9">
        <v>15733204072.299999</v>
      </c>
      <c r="E32" s="3">
        <f t="shared" si="13"/>
        <v>1.639295249644274E-2</v>
      </c>
      <c r="F32" s="8">
        <v>100</v>
      </c>
      <c r="G32" s="8">
        <v>100</v>
      </c>
      <c r="H32" s="60">
        <v>2183</v>
      </c>
      <c r="I32" s="5">
        <v>0.18636639097523899</v>
      </c>
      <c r="J32" s="5">
        <v>0.18636639097523899</v>
      </c>
      <c r="K32" s="9">
        <v>17303752115.360001</v>
      </c>
      <c r="L32" s="3">
        <f t="shared" si="12"/>
        <v>1.8029359126964503E-2</v>
      </c>
      <c r="M32" s="8">
        <v>100</v>
      </c>
      <c r="N32" s="8">
        <v>100</v>
      </c>
      <c r="O32" s="60">
        <v>2221</v>
      </c>
      <c r="P32" s="5">
        <v>0.19142492415460899</v>
      </c>
      <c r="Q32" s="5">
        <v>0.19142492415460899</v>
      </c>
      <c r="R32" s="80">
        <f t="shared" si="14"/>
        <v>9.9823788965219137E-2</v>
      </c>
      <c r="S32" s="80">
        <f t="shared" si="15"/>
        <v>0</v>
      </c>
      <c r="T32" s="80">
        <f t="shared" si="16"/>
        <v>1.7407237746220796E-2</v>
      </c>
      <c r="U32" s="81">
        <f t="shared" si="17"/>
        <v>5.058533179369995E-3</v>
      </c>
      <c r="V32" s="83">
        <f t="shared" si="18"/>
        <v>5.058533179369995E-3</v>
      </c>
    </row>
    <row r="33" spans="1:22">
      <c r="A33" s="75">
        <v>25</v>
      </c>
      <c r="B33" s="149" t="s">
        <v>57</v>
      </c>
      <c r="C33" s="150" t="s">
        <v>58</v>
      </c>
      <c r="D33" s="9">
        <v>6074831364.4399996</v>
      </c>
      <c r="E33" s="3">
        <f t="shared" si="13"/>
        <v>6.3295703483878694E-3</v>
      </c>
      <c r="F33" s="8">
        <v>100</v>
      </c>
      <c r="G33" s="8">
        <v>100</v>
      </c>
      <c r="H33" s="60">
        <v>5927</v>
      </c>
      <c r="I33" s="5">
        <v>0.15329999999999999</v>
      </c>
      <c r="J33" s="5">
        <v>0.15329999999999999</v>
      </c>
      <c r="K33" s="9">
        <v>6393128846.3599997</v>
      </c>
      <c r="L33" s="3">
        <f t="shared" si="12"/>
        <v>6.6612151600151754E-3</v>
      </c>
      <c r="M33" s="8">
        <v>100</v>
      </c>
      <c r="N33" s="8">
        <v>100</v>
      </c>
      <c r="O33" s="60">
        <v>5936</v>
      </c>
      <c r="P33" s="5">
        <v>0.1724</v>
      </c>
      <c r="Q33" s="5">
        <v>0.1724</v>
      </c>
      <c r="R33" s="80">
        <f t="shared" si="14"/>
        <v>5.2396101689868378E-2</v>
      </c>
      <c r="S33" s="80">
        <f t="shared" si="15"/>
        <v>0</v>
      </c>
      <c r="T33" s="80">
        <f t="shared" si="16"/>
        <v>1.518474776446769E-3</v>
      </c>
      <c r="U33" s="81">
        <f t="shared" si="17"/>
        <v>1.9100000000000006E-2</v>
      </c>
      <c r="V33" s="83">
        <f t="shared" si="18"/>
        <v>1.9100000000000006E-2</v>
      </c>
    </row>
    <row r="34" spans="1:22">
      <c r="A34" s="75">
        <v>26</v>
      </c>
      <c r="B34" s="149" t="s">
        <v>59</v>
      </c>
      <c r="C34" s="150" t="s">
        <v>60</v>
      </c>
      <c r="D34" s="9">
        <v>44514190.369999997</v>
      </c>
      <c r="E34" s="3">
        <f t="shared" si="13"/>
        <v>4.6380826486435002E-5</v>
      </c>
      <c r="F34" s="8">
        <v>100</v>
      </c>
      <c r="G34" s="8">
        <v>100</v>
      </c>
      <c r="H34" s="60">
        <v>0</v>
      </c>
      <c r="I34" s="5">
        <v>0</v>
      </c>
      <c r="J34" s="5">
        <v>0</v>
      </c>
      <c r="K34" s="9">
        <v>44514190.369999997</v>
      </c>
      <c r="L34" s="3">
        <f t="shared" si="12"/>
        <v>4.6380826486435002E-5</v>
      </c>
      <c r="M34" s="8">
        <v>100</v>
      </c>
      <c r="N34" s="8">
        <v>100</v>
      </c>
      <c r="O34" s="60">
        <v>0</v>
      </c>
      <c r="P34" s="5">
        <v>0</v>
      </c>
      <c r="Q34" s="5">
        <v>0</v>
      </c>
      <c r="R34" s="80">
        <f t="shared" si="14"/>
        <v>0</v>
      </c>
      <c r="S34" s="80">
        <f t="shared" si="15"/>
        <v>0</v>
      </c>
      <c r="T34" s="80" t="e">
        <f t="shared" si="16"/>
        <v>#DIV/0!</v>
      </c>
      <c r="U34" s="81">
        <f t="shared" si="17"/>
        <v>0</v>
      </c>
      <c r="V34" s="83">
        <f t="shared" si="18"/>
        <v>0</v>
      </c>
    </row>
    <row r="35" spans="1:22">
      <c r="A35" s="75">
        <v>27</v>
      </c>
      <c r="B35" s="149" t="s">
        <v>61</v>
      </c>
      <c r="C35" s="150" t="s">
        <v>62</v>
      </c>
      <c r="D35" s="9">
        <v>5154773942.5699997</v>
      </c>
      <c r="E35" s="3">
        <f t="shared" si="13"/>
        <v>5.3709316921163996E-3</v>
      </c>
      <c r="F35" s="8">
        <v>1</v>
      </c>
      <c r="G35" s="8">
        <v>1</v>
      </c>
      <c r="H35" s="60">
        <v>2228</v>
      </c>
      <c r="I35" s="5">
        <v>0.1673</v>
      </c>
      <c r="J35" s="5">
        <v>0.1673</v>
      </c>
      <c r="K35" s="9">
        <v>5237391787.2700005</v>
      </c>
      <c r="L35" s="3">
        <f t="shared" si="12"/>
        <v>5.4570139927909373E-3</v>
      </c>
      <c r="M35" s="8">
        <v>1</v>
      </c>
      <c r="N35" s="8">
        <v>1</v>
      </c>
      <c r="O35" s="60">
        <v>2257</v>
      </c>
      <c r="P35" s="5">
        <v>0.1668</v>
      </c>
      <c r="Q35" s="5">
        <v>0.1668</v>
      </c>
      <c r="R35" s="80">
        <f t="shared" si="14"/>
        <v>1.6027442836573789E-2</v>
      </c>
      <c r="S35" s="80">
        <f t="shared" si="15"/>
        <v>0</v>
      </c>
      <c r="T35" s="80">
        <f t="shared" si="16"/>
        <v>1.3016157989228007E-2</v>
      </c>
      <c r="U35" s="81">
        <f t="shared" si="17"/>
        <v>-5.0000000000000044E-4</v>
      </c>
      <c r="V35" s="83">
        <f t="shared" si="18"/>
        <v>-5.0000000000000044E-4</v>
      </c>
    </row>
    <row r="36" spans="1:22">
      <c r="A36" s="75">
        <v>28</v>
      </c>
      <c r="B36" s="149" t="s">
        <v>63</v>
      </c>
      <c r="C36" s="150" t="s">
        <v>64</v>
      </c>
      <c r="D36" s="9">
        <v>12784169109.209999</v>
      </c>
      <c r="E36" s="3">
        <f t="shared" si="13"/>
        <v>1.3320254154888975E-2</v>
      </c>
      <c r="F36" s="11">
        <v>100</v>
      </c>
      <c r="G36" s="11">
        <v>100</v>
      </c>
      <c r="H36" s="60">
        <v>2669</v>
      </c>
      <c r="I36" s="5">
        <v>2.5000000000000001E-3</v>
      </c>
      <c r="J36" s="5">
        <v>3.78E-2</v>
      </c>
      <c r="K36" s="9">
        <v>13123184793.02</v>
      </c>
      <c r="L36" s="3">
        <f t="shared" si="12"/>
        <v>1.367348595527164E-2</v>
      </c>
      <c r="M36" s="11">
        <v>100</v>
      </c>
      <c r="N36" s="11">
        <v>100</v>
      </c>
      <c r="O36" s="60">
        <v>2692</v>
      </c>
      <c r="P36" s="5">
        <v>2.5000000000000001E-3</v>
      </c>
      <c r="Q36" s="5">
        <v>4.3099999999999999E-2</v>
      </c>
      <c r="R36" s="80">
        <f t="shared" si="14"/>
        <v>2.6518397943106599E-2</v>
      </c>
      <c r="S36" s="80">
        <f t="shared" si="15"/>
        <v>0</v>
      </c>
      <c r="T36" s="80">
        <f t="shared" si="16"/>
        <v>8.6174597227426011E-3</v>
      </c>
      <c r="U36" s="81">
        <f t="shared" si="17"/>
        <v>0</v>
      </c>
      <c r="V36" s="83">
        <f t="shared" si="18"/>
        <v>5.2999999999999992E-3</v>
      </c>
    </row>
    <row r="37" spans="1:22">
      <c r="A37" s="75">
        <v>29</v>
      </c>
      <c r="B37" s="149" t="s">
        <v>65</v>
      </c>
      <c r="C37" s="150" t="s">
        <v>64</v>
      </c>
      <c r="D37" s="9">
        <v>588244331.45000005</v>
      </c>
      <c r="E37" s="3">
        <f t="shared" si="13"/>
        <v>6.1291147927962223E-4</v>
      </c>
      <c r="F37" s="11">
        <v>1000000</v>
      </c>
      <c r="G37" s="11">
        <v>1000000</v>
      </c>
      <c r="H37" s="60">
        <v>6</v>
      </c>
      <c r="I37" s="5">
        <v>2.3999999999999998E-3</v>
      </c>
      <c r="J37" s="5">
        <v>3.4700000000000002E-2</v>
      </c>
      <c r="K37" s="9">
        <v>646266571.39999998</v>
      </c>
      <c r="L37" s="3">
        <f t="shared" si="12"/>
        <v>6.7336679523857324E-4</v>
      </c>
      <c r="M37" s="11">
        <v>1000000</v>
      </c>
      <c r="N37" s="11">
        <v>1000000</v>
      </c>
      <c r="O37" s="60">
        <v>7</v>
      </c>
      <c r="P37" s="5">
        <v>2.3E-3</v>
      </c>
      <c r="Q37" s="5">
        <v>3.9800000000000002E-2</v>
      </c>
      <c r="R37" s="80">
        <f t="shared" si="14"/>
        <v>9.8636292519772018E-2</v>
      </c>
      <c r="S37" s="80">
        <f t="shared" si="15"/>
        <v>0</v>
      </c>
      <c r="T37" s="80">
        <f t="shared" si="16"/>
        <v>0.16666666666666666</v>
      </c>
      <c r="U37" s="81">
        <f t="shared" si="17"/>
        <v>-9.9999999999999829E-5</v>
      </c>
      <c r="V37" s="83">
        <f t="shared" si="18"/>
        <v>5.1000000000000004E-3</v>
      </c>
    </row>
    <row r="38" spans="1:22">
      <c r="A38" s="75">
        <v>30</v>
      </c>
      <c r="B38" s="149" t="s">
        <v>66</v>
      </c>
      <c r="C38" s="150" t="s">
        <v>67</v>
      </c>
      <c r="D38" s="9">
        <v>3446946090.1599998</v>
      </c>
      <c r="E38" s="3">
        <f t="shared" si="13"/>
        <v>3.5914886283891882E-3</v>
      </c>
      <c r="F38" s="8">
        <v>1</v>
      </c>
      <c r="G38" s="8">
        <v>1</v>
      </c>
      <c r="H38" s="60">
        <v>501</v>
      </c>
      <c r="I38" s="5">
        <v>0.17929999999999999</v>
      </c>
      <c r="J38" s="5">
        <v>0.17929999999999999</v>
      </c>
      <c r="K38" s="9">
        <v>3581221761.1399999</v>
      </c>
      <c r="L38" s="3">
        <f t="shared" si="12"/>
        <v>3.7313949491670721E-3</v>
      </c>
      <c r="M38" s="8">
        <v>1</v>
      </c>
      <c r="N38" s="8">
        <v>1</v>
      </c>
      <c r="O38" s="60">
        <v>505</v>
      </c>
      <c r="P38" s="5">
        <v>0.1817</v>
      </c>
      <c r="Q38" s="5">
        <v>0.1817</v>
      </c>
      <c r="R38" s="80">
        <f t="shared" si="14"/>
        <v>3.8954966938217254E-2</v>
      </c>
      <c r="S38" s="80">
        <f t="shared" si="15"/>
        <v>0</v>
      </c>
      <c r="T38" s="80">
        <f t="shared" si="16"/>
        <v>7.9840319361277438E-3</v>
      </c>
      <c r="U38" s="81">
        <f t="shared" si="17"/>
        <v>2.4000000000000132E-3</v>
      </c>
      <c r="V38" s="83">
        <f t="shared" si="18"/>
        <v>2.4000000000000132E-3</v>
      </c>
    </row>
    <row r="39" spans="1:22">
      <c r="A39" s="75">
        <v>31</v>
      </c>
      <c r="B39" s="149" t="s">
        <v>68</v>
      </c>
      <c r="C39" s="150" t="s">
        <v>27</v>
      </c>
      <c r="D39" s="9">
        <v>209218610982.87</v>
      </c>
      <c r="E39" s="3">
        <f t="shared" si="13"/>
        <v>0.21799188108494039</v>
      </c>
      <c r="F39" s="8">
        <v>100</v>
      </c>
      <c r="G39" s="8">
        <v>100</v>
      </c>
      <c r="H39" s="60">
        <v>14889</v>
      </c>
      <c r="I39" s="5">
        <v>0.17899999999999999</v>
      </c>
      <c r="J39" s="5">
        <v>0.17899999999999999</v>
      </c>
      <c r="K39" s="9">
        <v>210594049480.72</v>
      </c>
      <c r="L39" s="3">
        <f t="shared" si="12"/>
        <v>0.21942499654275938</v>
      </c>
      <c r="M39" s="8">
        <v>100</v>
      </c>
      <c r="N39" s="8">
        <v>100</v>
      </c>
      <c r="O39" s="60">
        <v>14975</v>
      </c>
      <c r="P39" s="5">
        <v>0.18740000000000001</v>
      </c>
      <c r="Q39" s="5">
        <v>0.18740000000000001</v>
      </c>
      <c r="R39" s="80">
        <f t="shared" si="14"/>
        <v>6.5741689584327733E-3</v>
      </c>
      <c r="S39" s="80">
        <f t="shared" si="15"/>
        <v>0</v>
      </c>
      <c r="T39" s="80">
        <f t="shared" si="16"/>
        <v>5.776076297938075E-3</v>
      </c>
      <c r="U39" s="81">
        <f t="shared" si="17"/>
        <v>8.4000000000000186E-3</v>
      </c>
      <c r="V39" s="83">
        <f t="shared" si="18"/>
        <v>8.4000000000000186E-3</v>
      </c>
    </row>
    <row r="40" spans="1:22">
      <c r="A40" s="75">
        <v>32</v>
      </c>
      <c r="B40" s="149" t="s">
        <v>69</v>
      </c>
      <c r="C40" s="150" t="s">
        <v>70</v>
      </c>
      <c r="D40" s="9">
        <v>334587879.13999999</v>
      </c>
      <c r="E40" s="3">
        <f t="shared" si="13"/>
        <v>3.4861832233424548E-4</v>
      </c>
      <c r="F40" s="8">
        <v>1</v>
      </c>
      <c r="G40" s="8">
        <v>1</v>
      </c>
      <c r="H40" s="61">
        <v>510</v>
      </c>
      <c r="I40" s="12">
        <v>0.14169999999999999</v>
      </c>
      <c r="J40" s="12">
        <v>0.41389999999999999</v>
      </c>
      <c r="K40" s="9">
        <v>554946283.55999994</v>
      </c>
      <c r="L40" s="3">
        <f t="shared" si="12"/>
        <v>5.782171274631298E-4</v>
      </c>
      <c r="M40" s="8">
        <v>1</v>
      </c>
      <c r="N40" s="8">
        <v>1</v>
      </c>
      <c r="O40" s="61">
        <v>517</v>
      </c>
      <c r="P40" s="12">
        <v>0.22159999999999999</v>
      </c>
      <c r="Q40" s="12">
        <v>0.63100000000000001</v>
      </c>
      <c r="R40" s="80">
        <f t="shared" si="14"/>
        <v>0.65859649484731175</v>
      </c>
      <c r="S40" s="80">
        <f t="shared" si="15"/>
        <v>0</v>
      </c>
      <c r="T40" s="80">
        <f t="shared" si="16"/>
        <v>1.3725490196078431E-2</v>
      </c>
      <c r="U40" s="81">
        <f t="shared" si="17"/>
        <v>7.9899999999999999E-2</v>
      </c>
      <c r="V40" s="83">
        <f t="shared" si="18"/>
        <v>0.21710000000000002</v>
      </c>
    </row>
    <row r="41" spans="1:22">
      <c r="A41" s="75">
        <v>33</v>
      </c>
      <c r="B41" s="149" t="s">
        <v>71</v>
      </c>
      <c r="C41" s="150" t="s">
        <v>72</v>
      </c>
      <c r="D41" s="9">
        <v>700434035.12</v>
      </c>
      <c r="E41" s="3">
        <f t="shared" si="13"/>
        <v>7.2980569068124422E-4</v>
      </c>
      <c r="F41" s="8">
        <v>10</v>
      </c>
      <c r="G41" s="8">
        <v>10</v>
      </c>
      <c r="H41" s="60">
        <v>359</v>
      </c>
      <c r="I41" s="5">
        <v>0.1031</v>
      </c>
      <c r="J41" s="5">
        <v>0.1031</v>
      </c>
      <c r="K41" s="9">
        <v>696951341.84000003</v>
      </c>
      <c r="L41" s="3">
        <f t="shared" si="12"/>
        <v>7.2617695585797733E-4</v>
      </c>
      <c r="M41" s="8">
        <v>10</v>
      </c>
      <c r="N41" s="8">
        <v>10</v>
      </c>
      <c r="O41" s="60">
        <v>359</v>
      </c>
      <c r="P41" s="5">
        <v>0.1119</v>
      </c>
      <c r="Q41" s="5">
        <v>0.1119</v>
      </c>
      <c r="R41" s="80">
        <f t="shared" si="14"/>
        <v>-4.9721931050984809E-3</v>
      </c>
      <c r="S41" s="80">
        <f t="shared" si="15"/>
        <v>0</v>
      </c>
      <c r="T41" s="80">
        <f t="shared" si="16"/>
        <v>0</v>
      </c>
      <c r="U41" s="81">
        <f t="shared" si="17"/>
        <v>8.8000000000000023E-3</v>
      </c>
      <c r="V41" s="83">
        <f t="shared" si="18"/>
        <v>8.8000000000000023E-3</v>
      </c>
    </row>
    <row r="42" spans="1:22">
      <c r="A42" s="75">
        <v>34</v>
      </c>
      <c r="B42" s="149" t="s">
        <v>73</v>
      </c>
      <c r="C42" s="150" t="s">
        <v>74</v>
      </c>
      <c r="D42" s="9">
        <v>3114089249.46</v>
      </c>
      <c r="E42" s="3">
        <f t="shared" si="13"/>
        <v>3.2446739330075987E-3</v>
      </c>
      <c r="F42" s="8">
        <v>100</v>
      </c>
      <c r="G42" s="8">
        <v>100</v>
      </c>
      <c r="H42" s="60">
        <v>686</v>
      </c>
      <c r="I42" s="5">
        <v>0.14050000000000001</v>
      </c>
      <c r="J42" s="5">
        <v>0.14050000000000001</v>
      </c>
      <c r="K42" s="9">
        <v>3153675810.1999998</v>
      </c>
      <c r="L42" s="3">
        <f t="shared" si="12"/>
        <v>3.2859204970721234E-3</v>
      </c>
      <c r="M42" s="8">
        <v>100</v>
      </c>
      <c r="N42" s="8">
        <v>100</v>
      </c>
      <c r="O42" s="60">
        <v>686</v>
      </c>
      <c r="P42" s="5">
        <v>0.1399</v>
      </c>
      <c r="Q42" s="5">
        <v>0.1399</v>
      </c>
      <c r="R42" s="80">
        <f t="shared" si="14"/>
        <v>1.2712082913765009E-2</v>
      </c>
      <c r="S42" s="80">
        <f t="shared" si="15"/>
        <v>0</v>
      </c>
      <c r="T42" s="80">
        <f t="shared" si="16"/>
        <v>0</v>
      </c>
      <c r="U42" s="81">
        <f t="shared" si="17"/>
        <v>-6.0000000000001719E-4</v>
      </c>
      <c r="V42" s="83">
        <f t="shared" si="18"/>
        <v>-6.0000000000001719E-4</v>
      </c>
    </row>
    <row r="43" spans="1:22" ht="15.75" customHeight="1">
      <c r="A43" s="75">
        <v>35</v>
      </c>
      <c r="B43" s="149" t="s">
        <v>239</v>
      </c>
      <c r="C43" s="150" t="s">
        <v>32</v>
      </c>
      <c r="D43" s="9">
        <v>21455066119.5891</v>
      </c>
      <c r="E43" s="3">
        <f t="shared" si="13"/>
        <v>2.2354752286324744E-2</v>
      </c>
      <c r="F43" s="8">
        <v>1</v>
      </c>
      <c r="G43" s="8">
        <v>1</v>
      </c>
      <c r="H43" s="60">
        <v>11894</v>
      </c>
      <c r="I43" s="5">
        <v>0.1681</v>
      </c>
      <c r="J43" s="5">
        <v>0.1681</v>
      </c>
      <c r="K43" s="9">
        <v>21839579430.4062</v>
      </c>
      <c r="L43" s="3">
        <f t="shared" si="12"/>
        <v>2.2755389588778114E-2</v>
      </c>
      <c r="M43" s="8">
        <v>1</v>
      </c>
      <c r="N43" s="8">
        <v>1</v>
      </c>
      <c r="O43" s="60">
        <v>11153</v>
      </c>
      <c r="P43" s="5">
        <v>0.17345285837877822</v>
      </c>
      <c r="Q43" s="5">
        <v>0.17345285837877822</v>
      </c>
      <c r="R43" s="80">
        <f t="shared" si="14"/>
        <v>1.7921795657671206E-2</v>
      </c>
      <c r="S43" s="80">
        <f t="shared" si="15"/>
        <v>0</v>
      </c>
      <c r="T43" s="80">
        <f t="shared" si="16"/>
        <v>-6.2300319488817889E-2</v>
      </c>
      <c r="U43" s="81">
        <f t="shared" si="17"/>
        <v>5.3528583787782191E-3</v>
      </c>
      <c r="V43" s="83">
        <f t="shared" si="18"/>
        <v>5.3528583787782191E-3</v>
      </c>
    </row>
    <row r="44" spans="1:22">
      <c r="A44" s="75">
        <v>36</v>
      </c>
      <c r="B44" s="149" t="s">
        <v>75</v>
      </c>
      <c r="C44" s="150" t="s">
        <v>34</v>
      </c>
      <c r="D44" s="9">
        <v>3342535752.3899999</v>
      </c>
      <c r="E44" s="3">
        <f t="shared" si="13"/>
        <v>3.4826999989825058E-3</v>
      </c>
      <c r="F44" s="8">
        <v>1</v>
      </c>
      <c r="G44" s="8">
        <v>1</v>
      </c>
      <c r="H44" s="60">
        <v>889</v>
      </c>
      <c r="I44" s="5">
        <v>0.12470000000000001</v>
      </c>
      <c r="J44" s="5">
        <v>0.12470000000000001</v>
      </c>
      <c r="K44" s="9">
        <v>3351447266.79</v>
      </c>
      <c r="L44" s="3">
        <f t="shared" si="12"/>
        <v>3.4919852044345704E-3</v>
      </c>
      <c r="M44" s="8">
        <v>1</v>
      </c>
      <c r="N44" s="8">
        <v>1</v>
      </c>
      <c r="O44" s="60">
        <v>899</v>
      </c>
      <c r="P44" s="5">
        <v>0.13139999999999999</v>
      </c>
      <c r="Q44" s="5">
        <v>0.13139999999999999</v>
      </c>
      <c r="R44" s="80">
        <f t="shared" si="14"/>
        <v>2.6660939658246382E-3</v>
      </c>
      <c r="S44" s="80">
        <f t="shared" si="15"/>
        <v>0</v>
      </c>
      <c r="T44" s="80">
        <f t="shared" si="16"/>
        <v>1.1248593925759279E-2</v>
      </c>
      <c r="U44" s="81">
        <f t="shared" si="17"/>
        <v>6.6999999999999837E-3</v>
      </c>
      <c r="V44" s="83">
        <f t="shared" si="18"/>
        <v>6.6999999999999837E-3</v>
      </c>
    </row>
    <row r="45" spans="1:22">
      <c r="A45" s="75">
        <v>37</v>
      </c>
      <c r="B45" s="149" t="s">
        <v>76</v>
      </c>
      <c r="C45" s="150" t="s">
        <v>36</v>
      </c>
      <c r="D45" s="13">
        <v>4610380920.04</v>
      </c>
      <c r="E45" s="3">
        <f t="shared" si="13"/>
        <v>4.8037103609292449E-3</v>
      </c>
      <c r="F45" s="8">
        <v>10</v>
      </c>
      <c r="G45" s="8">
        <v>10</v>
      </c>
      <c r="H45" s="60">
        <v>2012</v>
      </c>
      <c r="I45" s="5">
        <v>0.18679999999999999</v>
      </c>
      <c r="J45" s="5">
        <v>0.18679999999999999</v>
      </c>
      <c r="K45" s="13">
        <v>4287249367.5499997</v>
      </c>
      <c r="L45" s="3">
        <f t="shared" si="12"/>
        <v>4.4670287691995318E-3</v>
      </c>
      <c r="M45" s="8">
        <v>10</v>
      </c>
      <c r="N45" s="8">
        <v>10</v>
      </c>
      <c r="O45" s="60">
        <v>2034</v>
      </c>
      <c r="P45" s="5">
        <v>0.18840000000000001</v>
      </c>
      <c r="Q45" s="5">
        <v>0.18840000000000001</v>
      </c>
      <c r="R45" s="80">
        <f t="shared" si="14"/>
        <v>-7.008782096191668E-2</v>
      </c>
      <c r="S45" s="80">
        <f t="shared" si="15"/>
        <v>0</v>
      </c>
      <c r="T45" s="80">
        <f t="shared" si="16"/>
        <v>1.0934393638170975E-2</v>
      </c>
      <c r="U45" s="81">
        <f t="shared" si="17"/>
        <v>1.6000000000000181E-3</v>
      </c>
      <c r="V45" s="83">
        <f t="shared" si="18"/>
        <v>1.6000000000000181E-3</v>
      </c>
    </row>
    <row r="46" spans="1:22">
      <c r="A46" s="75">
        <v>38</v>
      </c>
      <c r="B46" s="149" t="s">
        <v>77</v>
      </c>
      <c r="C46" s="150" t="s">
        <v>78</v>
      </c>
      <c r="D46" s="9">
        <v>4304665809.9099998</v>
      </c>
      <c r="E46" s="3">
        <f t="shared" si="13"/>
        <v>4.4851755440683061E-3</v>
      </c>
      <c r="F46" s="8">
        <v>100</v>
      </c>
      <c r="G46" s="8">
        <v>100</v>
      </c>
      <c r="H46" s="60">
        <v>2182</v>
      </c>
      <c r="I46" s="5">
        <v>0.18090000000000001</v>
      </c>
      <c r="J46" s="5">
        <v>0.18090000000000001</v>
      </c>
      <c r="K46" s="9">
        <v>4403356002.3400002</v>
      </c>
      <c r="L46" s="3">
        <f t="shared" si="12"/>
        <v>4.5880041623799538E-3</v>
      </c>
      <c r="M46" s="8">
        <v>100</v>
      </c>
      <c r="N46" s="8">
        <v>100</v>
      </c>
      <c r="O46" s="60">
        <v>2209</v>
      </c>
      <c r="P46" s="5">
        <v>0.17519999999999999</v>
      </c>
      <c r="Q46" s="5">
        <v>0.17519999999999999</v>
      </c>
      <c r="R46" s="80">
        <f t="shared" si="14"/>
        <v>2.2926330820571571E-2</v>
      </c>
      <c r="S46" s="80">
        <f t="shared" si="15"/>
        <v>0</v>
      </c>
      <c r="T46" s="80">
        <f t="shared" si="16"/>
        <v>1.237396883593034E-2</v>
      </c>
      <c r="U46" s="81">
        <f t="shared" si="17"/>
        <v>-5.7000000000000106E-3</v>
      </c>
      <c r="V46" s="83">
        <f t="shared" si="18"/>
        <v>-5.7000000000000106E-3</v>
      </c>
    </row>
    <row r="47" spans="1:22">
      <c r="A47" s="75">
        <v>39</v>
      </c>
      <c r="B47" s="149" t="s">
        <v>79</v>
      </c>
      <c r="C47" s="150" t="s">
        <v>80</v>
      </c>
      <c r="D47" s="9">
        <v>155702983.37</v>
      </c>
      <c r="E47" s="3">
        <f t="shared" si="13"/>
        <v>1.6223215552340384E-4</v>
      </c>
      <c r="F47" s="8">
        <v>1</v>
      </c>
      <c r="G47" s="8">
        <v>1</v>
      </c>
      <c r="H47" s="60">
        <v>73</v>
      </c>
      <c r="I47" s="5">
        <v>0.12609999999999999</v>
      </c>
      <c r="J47" s="5">
        <v>0.12609999999999999</v>
      </c>
      <c r="K47" s="9">
        <v>155631683.47</v>
      </c>
      <c r="L47" s="3">
        <f t="shared" si="12"/>
        <v>1.6215786576854335E-4</v>
      </c>
      <c r="M47" s="8">
        <v>1</v>
      </c>
      <c r="N47" s="8">
        <v>1</v>
      </c>
      <c r="O47" s="60">
        <v>72</v>
      </c>
      <c r="P47" s="5">
        <v>0.1255</v>
      </c>
      <c r="Q47" s="5">
        <v>0.1255</v>
      </c>
      <c r="R47" s="80">
        <f t="shared" si="14"/>
        <v>-4.5792250383908594E-4</v>
      </c>
      <c r="S47" s="80">
        <f t="shared" si="15"/>
        <v>0</v>
      </c>
      <c r="T47" s="80">
        <f t="shared" si="16"/>
        <v>-1.3698630136986301E-2</v>
      </c>
      <c r="U47" s="81">
        <f t="shared" si="17"/>
        <v>-5.9999999999998943E-4</v>
      </c>
      <c r="V47" s="83">
        <f t="shared" si="18"/>
        <v>-5.9999999999998943E-4</v>
      </c>
    </row>
    <row r="48" spans="1:22">
      <c r="A48" s="75">
        <v>40</v>
      </c>
      <c r="B48" s="149" t="s">
        <v>81</v>
      </c>
      <c r="C48" s="150" t="s">
        <v>38</v>
      </c>
      <c r="D48" s="13">
        <v>718290427.78999996</v>
      </c>
      <c r="E48" s="3">
        <f t="shared" si="13"/>
        <v>7.4841086451945193E-4</v>
      </c>
      <c r="F48" s="8">
        <v>10</v>
      </c>
      <c r="G48" s="8">
        <v>10</v>
      </c>
      <c r="H48" s="60">
        <v>670</v>
      </c>
      <c r="I48" s="5">
        <v>0</v>
      </c>
      <c r="J48" s="5">
        <v>0</v>
      </c>
      <c r="K48" s="13">
        <v>682060448.75999999</v>
      </c>
      <c r="L48" s="3">
        <f t="shared" si="12"/>
        <v>7.1066163540778229E-4</v>
      </c>
      <c r="M48" s="8">
        <v>10</v>
      </c>
      <c r="N48" s="8">
        <v>10</v>
      </c>
      <c r="O48" s="60">
        <v>680</v>
      </c>
      <c r="P48" s="5">
        <v>1.47E-2</v>
      </c>
      <c r="Q48" s="5">
        <v>9.74E-2</v>
      </c>
      <c r="R48" s="80">
        <f t="shared" si="14"/>
        <v>-5.0439178399565424E-2</v>
      </c>
      <c r="S48" s="80">
        <f t="shared" si="15"/>
        <v>0</v>
      </c>
      <c r="T48" s="80">
        <f t="shared" si="16"/>
        <v>1.4925373134328358E-2</v>
      </c>
      <c r="U48" s="81">
        <f t="shared" si="17"/>
        <v>1.47E-2</v>
      </c>
      <c r="V48" s="83">
        <f t="shared" si="18"/>
        <v>9.74E-2</v>
      </c>
    </row>
    <row r="49" spans="1:22">
      <c r="A49" s="75">
        <v>41</v>
      </c>
      <c r="B49" s="149" t="s">
        <v>247</v>
      </c>
      <c r="C49" s="150" t="s">
        <v>248</v>
      </c>
      <c r="D49" s="13">
        <v>584910714.44000006</v>
      </c>
      <c r="E49" s="3">
        <f t="shared" si="13"/>
        <v>6.0943807201717674E-4</v>
      </c>
      <c r="F49" s="8">
        <v>1</v>
      </c>
      <c r="G49" s="8">
        <v>1</v>
      </c>
      <c r="H49" s="60">
        <v>40</v>
      </c>
      <c r="I49" s="5">
        <v>0.188</v>
      </c>
      <c r="J49" s="5">
        <v>0.188</v>
      </c>
      <c r="K49" s="13">
        <v>584972937.95000005</v>
      </c>
      <c r="L49" s="3">
        <f t="shared" si="12"/>
        <v>6.0950290477717304E-4</v>
      </c>
      <c r="M49" s="8">
        <v>1</v>
      </c>
      <c r="N49" s="8">
        <v>1</v>
      </c>
      <c r="O49" s="60">
        <v>40</v>
      </c>
      <c r="P49" s="5">
        <v>0.19339999999999999</v>
      </c>
      <c r="Q49" s="5">
        <v>0.19339999999999999</v>
      </c>
      <c r="R49" s="80">
        <f t="shared" si="14"/>
        <v>1.0638121077943313E-4</v>
      </c>
      <c r="S49" s="80">
        <f t="shared" si="15"/>
        <v>0</v>
      </c>
      <c r="T49" s="80">
        <f t="shared" si="16"/>
        <v>0</v>
      </c>
      <c r="U49" s="81">
        <f t="shared" si="17"/>
        <v>5.3999999999999881E-3</v>
      </c>
      <c r="V49" s="83">
        <f t="shared" si="18"/>
        <v>5.3999999999999881E-3</v>
      </c>
    </row>
    <row r="50" spans="1:22">
      <c r="A50" s="75">
        <v>42</v>
      </c>
      <c r="B50" s="149" t="s">
        <v>82</v>
      </c>
      <c r="C50" s="150" t="s">
        <v>42</v>
      </c>
      <c r="D50" s="9">
        <v>431257210093.28003</v>
      </c>
      <c r="E50" s="3">
        <f t="shared" si="13"/>
        <v>0.44934133736015802</v>
      </c>
      <c r="F50" s="8">
        <v>100</v>
      </c>
      <c r="G50" s="8">
        <v>100</v>
      </c>
      <c r="H50" s="60">
        <v>119471</v>
      </c>
      <c r="I50" s="5">
        <v>0.17560000000000001</v>
      </c>
      <c r="J50" s="5">
        <v>0.17560000000000001</v>
      </c>
      <c r="K50" s="9">
        <v>439233429990.41998</v>
      </c>
      <c r="L50" s="3">
        <f t="shared" si="12"/>
        <v>0.45765202813071776</v>
      </c>
      <c r="M50" s="8">
        <v>100</v>
      </c>
      <c r="N50" s="8">
        <v>100</v>
      </c>
      <c r="O50" s="60">
        <v>120008</v>
      </c>
      <c r="P50" s="5">
        <v>0.1769</v>
      </c>
      <c r="Q50" s="5">
        <v>0.1769</v>
      </c>
      <c r="R50" s="80">
        <f t="shared" si="14"/>
        <v>1.8495273146655829E-2</v>
      </c>
      <c r="S50" s="80">
        <f t="shared" si="15"/>
        <v>0</v>
      </c>
      <c r="T50" s="80">
        <f t="shared" si="16"/>
        <v>4.4948146412100006E-3</v>
      </c>
      <c r="U50" s="81">
        <f t="shared" si="17"/>
        <v>1.2999999999999956E-3</v>
      </c>
      <c r="V50" s="83">
        <f t="shared" si="18"/>
        <v>1.2999999999999956E-3</v>
      </c>
    </row>
    <row r="51" spans="1:22">
      <c r="A51" s="75">
        <v>43</v>
      </c>
      <c r="B51" s="149" t="s">
        <v>83</v>
      </c>
      <c r="C51" s="150" t="s">
        <v>84</v>
      </c>
      <c r="D51" s="9">
        <v>2995329210.79</v>
      </c>
      <c r="E51" s="3">
        <f t="shared" si="13"/>
        <v>3.1209338694168256E-3</v>
      </c>
      <c r="F51" s="8">
        <v>1</v>
      </c>
      <c r="G51" s="8">
        <v>1</v>
      </c>
      <c r="H51" s="60">
        <v>332</v>
      </c>
      <c r="I51" s="5">
        <v>0.1670516142</v>
      </c>
      <c r="J51" s="5">
        <v>0.1670516142</v>
      </c>
      <c r="K51" s="9">
        <v>2995329210.79</v>
      </c>
      <c r="L51" s="3">
        <f t="shared" si="12"/>
        <v>3.1209338694168256E-3</v>
      </c>
      <c r="M51" s="8">
        <v>1</v>
      </c>
      <c r="N51" s="8">
        <v>1</v>
      </c>
      <c r="O51" s="60">
        <v>332</v>
      </c>
      <c r="P51" s="5">
        <v>0.16705200000000001</v>
      </c>
      <c r="Q51" s="5">
        <v>0.16705200000000001</v>
      </c>
      <c r="R51" s="80">
        <f t="shared" si="14"/>
        <v>0</v>
      </c>
      <c r="S51" s="80">
        <f t="shared" si="15"/>
        <v>0</v>
      </c>
      <c r="T51" s="80">
        <f t="shared" si="16"/>
        <v>0</v>
      </c>
      <c r="U51" s="81">
        <f t="shared" si="17"/>
        <v>3.8580000000232317E-7</v>
      </c>
      <c r="V51" s="83">
        <f t="shared" si="18"/>
        <v>3.8580000000232317E-7</v>
      </c>
    </row>
    <row r="52" spans="1:22">
      <c r="A52" s="75">
        <v>44</v>
      </c>
      <c r="B52" s="149" t="s">
        <v>85</v>
      </c>
      <c r="C52" s="150" t="s">
        <v>45</v>
      </c>
      <c r="D52" s="9">
        <v>34609476161.410004</v>
      </c>
      <c r="E52" s="3">
        <f t="shared" si="13"/>
        <v>3.6060772874588531E-2</v>
      </c>
      <c r="F52" s="8">
        <v>1</v>
      </c>
      <c r="G52" s="8">
        <v>1</v>
      </c>
      <c r="H52" s="60">
        <v>21621</v>
      </c>
      <c r="I52" s="5">
        <v>0.159</v>
      </c>
      <c r="J52" s="5">
        <v>0.159</v>
      </c>
      <c r="K52" s="9">
        <v>34655020813.519997</v>
      </c>
      <c r="L52" s="3">
        <f t="shared" si="12"/>
        <v>3.6108227373689614E-2</v>
      </c>
      <c r="M52" s="8">
        <v>1</v>
      </c>
      <c r="N52" s="8">
        <v>1</v>
      </c>
      <c r="O52" s="60">
        <v>20625</v>
      </c>
      <c r="P52" s="5">
        <v>0.1709</v>
      </c>
      <c r="Q52" s="5">
        <v>0.1709</v>
      </c>
      <c r="R52" s="80">
        <f t="shared" si="14"/>
        <v>1.3159590135829861E-3</v>
      </c>
      <c r="S52" s="80">
        <f t="shared" si="15"/>
        <v>0</v>
      </c>
      <c r="T52" s="80">
        <f t="shared" si="16"/>
        <v>-4.6066324406826696E-2</v>
      </c>
      <c r="U52" s="81">
        <f t="shared" si="17"/>
        <v>1.1899999999999994E-2</v>
      </c>
      <c r="V52" s="83">
        <f t="shared" si="18"/>
        <v>1.1899999999999994E-2</v>
      </c>
    </row>
    <row r="53" spans="1:22">
      <c r="A53" s="75">
        <v>45</v>
      </c>
      <c r="B53" s="149" t="s">
        <v>86</v>
      </c>
      <c r="C53" s="150" t="s">
        <v>87</v>
      </c>
      <c r="D53" s="9">
        <v>1305098986.96</v>
      </c>
      <c r="E53" s="3">
        <f t="shared" si="13"/>
        <v>1.359826364552025E-3</v>
      </c>
      <c r="F53" s="8">
        <v>1</v>
      </c>
      <c r="G53" s="8">
        <v>1</v>
      </c>
      <c r="H53" s="60">
        <v>83</v>
      </c>
      <c r="I53" s="5">
        <v>0.1363</v>
      </c>
      <c r="J53" s="5">
        <v>0.1363</v>
      </c>
      <c r="K53" s="9">
        <v>1310384497.45</v>
      </c>
      <c r="L53" s="3">
        <f t="shared" si="12"/>
        <v>1.365333515033507E-3</v>
      </c>
      <c r="M53" s="8">
        <v>1</v>
      </c>
      <c r="N53" s="8">
        <v>1</v>
      </c>
      <c r="O53" s="60">
        <v>83</v>
      </c>
      <c r="P53" s="5">
        <v>0.13980000000000001</v>
      </c>
      <c r="Q53" s="5">
        <v>0.13980000000000001</v>
      </c>
      <c r="R53" s="80">
        <f t="shared" si="14"/>
        <v>4.0498924164455007E-3</v>
      </c>
      <c r="S53" s="80">
        <f t="shared" si="15"/>
        <v>0</v>
      </c>
      <c r="T53" s="80">
        <f t="shared" si="16"/>
        <v>0</v>
      </c>
      <c r="U53" s="81">
        <f t="shared" si="17"/>
        <v>3.5000000000000031E-3</v>
      </c>
      <c r="V53" s="83">
        <f t="shared" si="18"/>
        <v>3.5000000000000031E-3</v>
      </c>
    </row>
    <row r="54" spans="1:22">
      <c r="A54" s="75">
        <v>46</v>
      </c>
      <c r="B54" s="149" t="s">
        <v>88</v>
      </c>
      <c r="C54" s="150" t="s">
        <v>89</v>
      </c>
      <c r="D54" s="9">
        <v>966598729.57000005</v>
      </c>
      <c r="E54" s="3">
        <f t="shared" si="13"/>
        <v>1.0071316042267867E-3</v>
      </c>
      <c r="F54" s="8">
        <v>1</v>
      </c>
      <c r="G54" s="8">
        <v>1</v>
      </c>
      <c r="H54" s="60">
        <v>212</v>
      </c>
      <c r="I54" s="5">
        <v>0.1704</v>
      </c>
      <c r="J54" s="5">
        <v>0.1704</v>
      </c>
      <c r="K54" s="9">
        <v>1503973365.6600001</v>
      </c>
      <c r="L54" s="3">
        <f t="shared" si="12"/>
        <v>1.5670402434165653E-3</v>
      </c>
      <c r="M54" s="8">
        <v>1</v>
      </c>
      <c r="N54" s="8">
        <v>1</v>
      </c>
      <c r="O54" s="60">
        <v>212</v>
      </c>
      <c r="P54" s="5">
        <v>0.17860000000000001</v>
      </c>
      <c r="Q54" s="5">
        <v>0.17860000000000001</v>
      </c>
      <c r="R54" s="80">
        <f t="shared" si="14"/>
        <v>0.55594386755407377</v>
      </c>
      <c r="S54" s="80">
        <f t="shared" si="15"/>
        <v>0</v>
      </c>
      <c r="T54" s="80">
        <f t="shared" si="16"/>
        <v>0</v>
      </c>
      <c r="U54" s="81">
        <f t="shared" si="17"/>
        <v>8.2000000000000128E-3</v>
      </c>
      <c r="V54" s="83">
        <f t="shared" si="18"/>
        <v>8.2000000000000128E-3</v>
      </c>
    </row>
    <row r="55" spans="1:22">
      <c r="A55" s="75">
        <v>47</v>
      </c>
      <c r="B55" s="149" t="s">
        <v>260</v>
      </c>
      <c r="C55" s="150" t="s">
        <v>261</v>
      </c>
      <c r="D55" s="9">
        <v>612461945.66999996</v>
      </c>
      <c r="E55" s="3">
        <f t="shared" si="13"/>
        <v>6.3814462299664765E-4</v>
      </c>
      <c r="F55" s="8">
        <v>1</v>
      </c>
      <c r="G55" s="8">
        <v>1</v>
      </c>
      <c r="H55" s="60">
        <v>598</v>
      </c>
      <c r="I55" s="5">
        <v>0.1484</v>
      </c>
      <c r="J55" s="5">
        <v>0.1484</v>
      </c>
      <c r="K55" s="9">
        <v>641118824.87</v>
      </c>
      <c r="L55" s="3">
        <f t="shared" si="12"/>
        <v>6.6800318564308155E-4</v>
      </c>
      <c r="M55" s="8">
        <v>1</v>
      </c>
      <c r="N55" s="8">
        <v>1</v>
      </c>
      <c r="O55" s="60">
        <v>643</v>
      </c>
      <c r="P55" s="5">
        <v>0.1676</v>
      </c>
      <c r="Q55" s="5">
        <v>0.1676</v>
      </c>
      <c r="R55" s="80">
        <f t="shared" si="14"/>
        <v>4.6789648569350681E-2</v>
      </c>
      <c r="S55" s="80">
        <f t="shared" si="15"/>
        <v>0</v>
      </c>
      <c r="T55" s="80">
        <f t="shared" si="16"/>
        <v>7.5250836120401343E-2</v>
      </c>
      <c r="U55" s="81">
        <f t="shared" si="17"/>
        <v>1.9199999999999995E-2</v>
      </c>
      <c r="V55" s="83">
        <f t="shared" si="18"/>
        <v>1.9199999999999995E-2</v>
      </c>
    </row>
    <row r="56" spans="1:22">
      <c r="A56" s="75">
        <v>48</v>
      </c>
      <c r="B56" s="149" t="s">
        <v>90</v>
      </c>
      <c r="C56" s="150" t="s">
        <v>91</v>
      </c>
      <c r="D56" s="9">
        <v>27603726963.189999</v>
      </c>
      <c r="E56" s="3">
        <f t="shared" si="13"/>
        <v>2.8761248042859615E-2</v>
      </c>
      <c r="F56" s="8">
        <v>1</v>
      </c>
      <c r="G56" s="8">
        <v>1</v>
      </c>
      <c r="H56" s="60">
        <v>3412</v>
      </c>
      <c r="I56" s="5">
        <v>0.1699</v>
      </c>
      <c r="J56" s="5">
        <v>0.1699</v>
      </c>
      <c r="K56" s="9">
        <v>29131944782.759998</v>
      </c>
      <c r="L56" s="3">
        <f t="shared" si="12"/>
        <v>3.0353549395165536E-2</v>
      </c>
      <c r="M56" s="8">
        <v>1</v>
      </c>
      <c r="N56" s="8">
        <v>1</v>
      </c>
      <c r="O56" s="60">
        <v>3421</v>
      </c>
      <c r="P56" s="5">
        <v>0.1757</v>
      </c>
      <c r="Q56" s="5">
        <v>0.1757</v>
      </c>
      <c r="R56" s="80">
        <f t="shared" si="14"/>
        <v>5.5362734952707729E-2</v>
      </c>
      <c r="S56" s="80">
        <f t="shared" si="15"/>
        <v>0</v>
      </c>
      <c r="T56" s="80">
        <f t="shared" si="16"/>
        <v>2.637749120750293E-3</v>
      </c>
      <c r="U56" s="81">
        <f t="shared" si="17"/>
        <v>5.7999999999999996E-3</v>
      </c>
      <c r="V56" s="83">
        <f t="shared" si="18"/>
        <v>5.7999999999999996E-3</v>
      </c>
    </row>
    <row r="57" spans="1:22">
      <c r="A57" s="75"/>
      <c r="B57" s="19"/>
      <c r="C57" s="71" t="s">
        <v>46</v>
      </c>
      <c r="D57" s="59">
        <f>SUM(D26:D56)</f>
        <v>943173062252.88904</v>
      </c>
      <c r="E57" s="100">
        <f>(D57/$D$189)</f>
        <v>0.34521962851666693</v>
      </c>
      <c r="F57" s="30"/>
      <c r="G57" s="11"/>
      <c r="H57" s="65">
        <f>SUM(H26:H56)</f>
        <v>284778</v>
      </c>
      <c r="I57" s="32"/>
      <c r="J57" s="32"/>
      <c r="K57" s="59">
        <f>SUM(K26:K56)</f>
        <v>959754142868.04614</v>
      </c>
      <c r="L57" s="100">
        <f>(K57/$K$189)</f>
        <v>0.3421120138682236</v>
      </c>
      <c r="M57" s="30"/>
      <c r="N57" s="11"/>
      <c r="O57" s="65">
        <f>SUM(O26:O56)</f>
        <v>284153</v>
      </c>
      <c r="P57" s="32"/>
      <c r="Q57" s="32"/>
      <c r="R57" s="80">
        <f t="shared" si="14"/>
        <v>1.7580104096220774E-2</v>
      </c>
      <c r="S57" s="80" t="e">
        <f t="shared" si="15"/>
        <v>#DIV/0!</v>
      </c>
      <c r="T57" s="80">
        <f t="shared" si="16"/>
        <v>-2.1946920057026877E-3</v>
      </c>
      <c r="U57" s="81">
        <f t="shared" si="17"/>
        <v>0</v>
      </c>
      <c r="V57" s="83">
        <f t="shared" si="18"/>
        <v>0</v>
      </c>
    </row>
    <row r="58" spans="1:22" ht="9" customHeight="1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</row>
    <row r="59" spans="1:22" ht="15" customHeight="1">
      <c r="A59" s="162" t="s">
        <v>92</v>
      </c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</row>
    <row r="60" spans="1:22">
      <c r="A60" s="75">
        <v>49</v>
      </c>
      <c r="B60" s="149" t="s">
        <v>93</v>
      </c>
      <c r="C60" s="150" t="s">
        <v>19</v>
      </c>
      <c r="D60" s="2">
        <v>451431407.42000002</v>
      </c>
      <c r="E60" s="3">
        <f>(D60/$D$94)</f>
        <v>1.7545521636339332E-3</v>
      </c>
      <c r="F60" s="14">
        <v>1.2136</v>
      </c>
      <c r="G60" s="14">
        <v>1.2136</v>
      </c>
      <c r="H60" s="60">
        <v>402</v>
      </c>
      <c r="I60" s="5">
        <v>2.147E-3</v>
      </c>
      <c r="J60" s="5">
        <v>-5.1900000000000002E-2</v>
      </c>
      <c r="K60" s="2">
        <v>459656499.44</v>
      </c>
      <c r="L60" s="3">
        <f t="shared" ref="L60:L80" si="19">(K60/$K$94)</f>
        <v>1.8621712407127235E-3</v>
      </c>
      <c r="M60" s="14">
        <v>1.2355</v>
      </c>
      <c r="N60" s="14">
        <v>1.2355</v>
      </c>
      <c r="O60" s="60">
        <v>402</v>
      </c>
      <c r="P60" s="5">
        <v>4.0499999999999998E-4</v>
      </c>
      <c r="Q60" s="5">
        <v>-3.4799999999999998E-2</v>
      </c>
      <c r="R60" s="80">
        <f>((K60-D60)/D60)</f>
        <v>1.8220026087701003E-2</v>
      </c>
      <c r="S60" s="80">
        <f>((N60-G60)/G60)</f>
        <v>1.8045484508899166E-2</v>
      </c>
      <c r="T60" s="80">
        <f>((O60-H60)/H60)</f>
        <v>0</v>
      </c>
      <c r="U60" s="81">
        <f>P60-I60</f>
        <v>-1.7420000000000001E-3</v>
      </c>
      <c r="V60" s="83">
        <f>Q60-J60</f>
        <v>1.7100000000000004E-2</v>
      </c>
    </row>
    <row r="61" spans="1:22">
      <c r="A61" s="75">
        <v>50</v>
      </c>
      <c r="B61" s="149" t="s">
        <v>94</v>
      </c>
      <c r="C61" s="150" t="s">
        <v>21</v>
      </c>
      <c r="D61" s="2">
        <v>1375558112.77</v>
      </c>
      <c r="E61" s="3">
        <f>(D61/$D$94)</f>
        <v>5.3463016159160728E-3</v>
      </c>
      <c r="F61" s="14">
        <v>1.1266</v>
      </c>
      <c r="G61" s="14">
        <v>1.1266</v>
      </c>
      <c r="H61" s="60">
        <v>619</v>
      </c>
      <c r="I61" s="5">
        <v>0.19570000000000001</v>
      </c>
      <c r="J61" s="5">
        <v>-8.5500000000000007E-2</v>
      </c>
      <c r="K61" s="2">
        <v>1409289762.04</v>
      </c>
      <c r="L61" s="3">
        <f t="shared" si="19"/>
        <v>5.7093478889105242E-3</v>
      </c>
      <c r="M61" s="14">
        <v>1.1302000000000001</v>
      </c>
      <c r="N61" s="14">
        <v>1.1302000000000001</v>
      </c>
      <c r="O61" s="60">
        <v>635</v>
      </c>
      <c r="P61" s="5">
        <v>0.1671</v>
      </c>
      <c r="Q61" s="5">
        <v>-7.22E-2</v>
      </c>
      <c r="R61" s="80">
        <f t="shared" ref="R61:R94" si="20">((K61-D61)/D61)</f>
        <v>2.4522155012465168E-2</v>
      </c>
      <c r="S61" s="80">
        <f t="shared" ref="S61:S94" si="21">((N61-G61)/G61)</f>
        <v>3.1954553523877573E-3</v>
      </c>
      <c r="T61" s="80">
        <f t="shared" ref="T61:T94" si="22">((O61-H61)/H61)</f>
        <v>2.5848142164781908E-2</v>
      </c>
      <c r="U61" s="81">
        <f t="shared" ref="U61:U94" si="23">P61-I61</f>
        <v>-2.8600000000000014E-2</v>
      </c>
      <c r="V61" s="83">
        <f t="shared" ref="V61:V94" si="24">Q61-J61</f>
        <v>1.3300000000000006E-2</v>
      </c>
    </row>
    <row r="62" spans="1:22">
      <c r="A62" s="75">
        <v>51</v>
      </c>
      <c r="B62" s="149" t="s">
        <v>95</v>
      </c>
      <c r="C62" s="150" t="s">
        <v>21</v>
      </c>
      <c r="D62" s="2">
        <v>853315210.37</v>
      </c>
      <c r="E62" s="3">
        <f>(D62/$D$94)</f>
        <v>3.3165305382119445E-3</v>
      </c>
      <c r="F62" s="14">
        <v>1.0364</v>
      </c>
      <c r="G62" s="14">
        <v>1.0364</v>
      </c>
      <c r="H62" s="60">
        <v>161</v>
      </c>
      <c r="I62" s="5">
        <v>0.1163</v>
      </c>
      <c r="J62" s="5">
        <v>-9.3200000000000005E-2</v>
      </c>
      <c r="K62" s="2">
        <v>856400064.07000005</v>
      </c>
      <c r="L62" s="3">
        <f t="shared" si="19"/>
        <v>3.469468117602144E-3</v>
      </c>
      <c r="M62" s="14">
        <v>1.0387</v>
      </c>
      <c r="N62" s="14">
        <v>1.0387</v>
      </c>
      <c r="O62" s="60">
        <v>166</v>
      </c>
      <c r="P62" s="5">
        <v>0.11600000000000001</v>
      </c>
      <c r="Q62" s="5">
        <v>-8.2199999999999995E-2</v>
      </c>
      <c r="R62" s="80">
        <f t="shared" si="20"/>
        <v>3.6151397074739191E-3</v>
      </c>
      <c r="S62" s="80">
        <f t="shared" si="21"/>
        <v>2.2192203782323127E-3</v>
      </c>
      <c r="T62" s="80">
        <f t="shared" si="22"/>
        <v>3.1055900621118012E-2</v>
      </c>
      <c r="U62" s="81">
        <f t="shared" si="23"/>
        <v>-2.9999999999999472E-4</v>
      </c>
      <c r="V62" s="83">
        <f t="shared" si="24"/>
        <v>1.100000000000001E-2</v>
      </c>
    </row>
    <row r="63" spans="1:22">
      <c r="A63" s="75">
        <v>52</v>
      </c>
      <c r="B63" s="149" t="s">
        <v>96</v>
      </c>
      <c r="C63" s="150" t="s">
        <v>97</v>
      </c>
      <c r="D63" s="2">
        <v>256157235.09</v>
      </c>
      <c r="E63" s="3">
        <f>(D63/$D$94)</f>
        <v>9.9559140917170855E-4</v>
      </c>
      <c r="F63" s="7">
        <v>1028.4100000000001</v>
      </c>
      <c r="G63" s="7">
        <v>1028.4100000000001</v>
      </c>
      <c r="H63" s="60">
        <v>113</v>
      </c>
      <c r="I63" s="5">
        <v>-1.8262E-2</v>
      </c>
      <c r="J63" s="5">
        <v>-2E-3</v>
      </c>
      <c r="K63" s="2">
        <v>261589470.41</v>
      </c>
      <c r="L63" s="3">
        <f t="shared" si="19"/>
        <v>1.0597574259566397E-3</v>
      </c>
      <c r="M63" s="7">
        <v>1028.4100000000001</v>
      </c>
      <c r="N63" s="7">
        <v>1028.4100000000001</v>
      </c>
      <c r="O63" s="60">
        <v>113</v>
      </c>
      <c r="P63" s="5">
        <v>2.0157000000000001E-2</v>
      </c>
      <c r="Q63" s="5">
        <v>1.6899999999999998E-2</v>
      </c>
      <c r="R63" s="80">
        <f t="shared" si="20"/>
        <v>2.1206644107051649E-2</v>
      </c>
      <c r="S63" s="80">
        <f t="shared" si="21"/>
        <v>0</v>
      </c>
      <c r="T63" s="80">
        <f t="shared" si="22"/>
        <v>0</v>
      </c>
      <c r="U63" s="81">
        <f t="shared" si="23"/>
        <v>3.8419000000000002E-2</v>
      </c>
      <c r="V63" s="83">
        <f t="shared" si="24"/>
        <v>1.89E-2</v>
      </c>
    </row>
    <row r="64" spans="1:22" ht="15" customHeight="1">
      <c r="A64" s="75">
        <v>53</v>
      </c>
      <c r="B64" s="149" t="s">
        <v>98</v>
      </c>
      <c r="C64" s="150" t="s">
        <v>99</v>
      </c>
      <c r="D64" s="2">
        <v>1762506664.8399999</v>
      </c>
      <c r="E64" s="3">
        <f>(D64/$K$94)</f>
        <v>7.1403085278422471E-3</v>
      </c>
      <c r="F64" s="7">
        <v>1.0505</v>
      </c>
      <c r="G64" s="7">
        <v>1.0505</v>
      </c>
      <c r="H64" s="60">
        <v>844</v>
      </c>
      <c r="I64" s="5">
        <v>2.2000000000000001E-3</v>
      </c>
      <c r="J64" s="5">
        <v>3.2500000000000001E-2</v>
      </c>
      <c r="K64" s="2">
        <v>1721425272.3599999</v>
      </c>
      <c r="L64" s="3">
        <f t="shared" si="19"/>
        <v>6.973878622689402E-3</v>
      </c>
      <c r="M64" s="7">
        <v>1.0528999999999999</v>
      </c>
      <c r="N64" s="7">
        <v>1.0528999999999999</v>
      </c>
      <c r="O64" s="60">
        <v>845</v>
      </c>
      <c r="P64" s="5">
        <v>2.3E-3</v>
      </c>
      <c r="Q64" s="5">
        <v>3.4799999999999998E-2</v>
      </c>
      <c r="R64" s="80">
        <f t="shared" si="20"/>
        <v>-2.3308503337619652E-2</v>
      </c>
      <c r="S64" s="80">
        <f t="shared" si="21"/>
        <v>2.2846263683959618E-3</v>
      </c>
      <c r="T64" s="80">
        <f t="shared" si="22"/>
        <v>1.1848341232227489E-3</v>
      </c>
      <c r="U64" s="81">
        <f t="shared" si="23"/>
        <v>9.9999999999999829E-5</v>
      </c>
      <c r="V64" s="83">
        <v>7.87</v>
      </c>
    </row>
    <row r="65" spans="1:22">
      <c r="A65" s="75">
        <v>54</v>
      </c>
      <c r="B65" s="149" t="s">
        <v>100</v>
      </c>
      <c r="C65" s="150" t="s">
        <v>101</v>
      </c>
      <c r="D65" s="2">
        <v>407256088.07574922</v>
      </c>
      <c r="E65" s="3">
        <f t="shared" ref="E65:E80" si="25">(D65/$D$94)</f>
        <v>1.5828585223393568E-3</v>
      </c>
      <c r="F65" s="7">
        <v>2.3169</v>
      </c>
      <c r="G65" s="7">
        <v>2.3169</v>
      </c>
      <c r="H65" s="60">
        <v>1395</v>
      </c>
      <c r="I65" s="5">
        <v>0.13350000000000001</v>
      </c>
      <c r="J65" s="5">
        <v>0.1053</v>
      </c>
      <c r="K65" s="2">
        <v>407256088.07574922</v>
      </c>
      <c r="L65" s="3">
        <f t="shared" si="19"/>
        <v>1.649885459563313E-3</v>
      </c>
      <c r="M65" s="7">
        <v>2.3169</v>
      </c>
      <c r="N65" s="7">
        <v>2.3169</v>
      </c>
      <c r="O65" s="60">
        <v>1395</v>
      </c>
      <c r="P65" s="5">
        <v>0.13350000000000001</v>
      </c>
      <c r="Q65" s="5">
        <v>0.1053</v>
      </c>
      <c r="R65" s="80">
        <f t="shared" si="20"/>
        <v>0</v>
      </c>
      <c r="S65" s="80">
        <f t="shared" si="21"/>
        <v>0</v>
      </c>
      <c r="T65" s="80">
        <f t="shared" si="22"/>
        <v>0</v>
      </c>
      <c r="U65" s="81">
        <f t="shared" si="23"/>
        <v>0</v>
      </c>
      <c r="V65" s="83">
        <f t="shared" si="24"/>
        <v>0</v>
      </c>
    </row>
    <row r="66" spans="1:22">
      <c r="A66" s="75">
        <v>55</v>
      </c>
      <c r="B66" s="149" t="s">
        <v>102</v>
      </c>
      <c r="C66" s="150" t="s">
        <v>56</v>
      </c>
      <c r="D66" s="2">
        <v>2650988002.9126201</v>
      </c>
      <c r="E66" s="3">
        <f t="shared" si="25"/>
        <v>1.0303440699575631E-2</v>
      </c>
      <c r="F66" s="2">
        <v>4117.8488550276697</v>
      </c>
      <c r="G66" s="2">
        <v>4117.8488550276697</v>
      </c>
      <c r="H66" s="60">
        <v>1041</v>
      </c>
      <c r="I66" s="5">
        <v>9.8612932301182829E-2</v>
      </c>
      <c r="J66" s="5">
        <v>8.7961148242294909E-2</v>
      </c>
      <c r="K66" s="2">
        <v>2656483714.2144198</v>
      </c>
      <c r="L66" s="3">
        <f t="shared" si="19"/>
        <v>1.0762009413678553E-2</v>
      </c>
      <c r="M66" s="2">
        <v>4125.7566205514204</v>
      </c>
      <c r="N66" s="2">
        <v>4125.7566205514204</v>
      </c>
      <c r="O66" s="60">
        <v>1042</v>
      </c>
      <c r="P66" s="5">
        <v>0.10040756311597783</v>
      </c>
      <c r="Q66" s="5">
        <v>8.8786115082708575E-2</v>
      </c>
      <c r="R66" s="80">
        <f t="shared" si="20"/>
        <v>2.0730804121941249E-3</v>
      </c>
      <c r="S66" s="80">
        <f t="shared" si="21"/>
        <v>1.9203632289941115E-3</v>
      </c>
      <c r="T66" s="80">
        <f t="shared" si="22"/>
        <v>9.6061479346781938E-4</v>
      </c>
      <c r="U66" s="81">
        <f t="shared" si="23"/>
        <v>1.7946308147950008E-3</v>
      </c>
      <c r="V66" s="83">
        <f t="shared" si="24"/>
        <v>8.2496684041366564E-4</v>
      </c>
    </row>
    <row r="67" spans="1:22">
      <c r="A67" s="75">
        <v>56</v>
      </c>
      <c r="B67" s="149" t="s">
        <v>103</v>
      </c>
      <c r="C67" s="150" t="s">
        <v>58</v>
      </c>
      <c r="D67" s="2">
        <v>350625827.75</v>
      </c>
      <c r="E67" s="3">
        <f t="shared" si="25"/>
        <v>1.3627569872034697E-3</v>
      </c>
      <c r="F67" s="14">
        <v>106.81</v>
      </c>
      <c r="G67" s="14">
        <v>106.81</v>
      </c>
      <c r="H67" s="60">
        <v>127</v>
      </c>
      <c r="I67" s="5">
        <v>2.5000000000000001E-3</v>
      </c>
      <c r="J67" s="5">
        <v>0.10680000000000001</v>
      </c>
      <c r="K67" s="2">
        <v>340563380.47000003</v>
      </c>
      <c r="L67" s="3">
        <f t="shared" si="19"/>
        <v>1.3796983911328793E-3</v>
      </c>
      <c r="M67" s="14">
        <v>106.88</v>
      </c>
      <c r="N67" s="14">
        <v>106.88</v>
      </c>
      <c r="O67" s="60">
        <v>128</v>
      </c>
      <c r="P67" s="5">
        <v>6.9999999999999999E-4</v>
      </c>
      <c r="Q67" s="5">
        <v>9.8100000000000007E-2</v>
      </c>
      <c r="R67" s="80">
        <f t="shared" si="20"/>
        <v>-2.8698534117043439E-2</v>
      </c>
      <c r="S67" s="80">
        <f t="shared" si="21"/>
        <v>6.5536934743931445E-4</v>
      </c>
      <c r="T67" s="80">
        <f t="shared" si="22"/>
        <v>7.874015748031496E-3</v>
      </c>
      <c r="U67" s="81">
        <f t="shared" si="23"/>
        <v>-1.8E-3</v>
      </c>
      <c r="V67" s="83">
        <f t="shared" si="24"/>
        <v>-8.6999999999999994E-3</v>
      </c>
    </row>
    <row r="68" spans="1:22" ht="13.5" customHeight="1">
      <c r="A68" s="75">
        <v>57</v>
      </c>
      <c r="B68" s="149" t="s">
        <v>104</v>
      </c>
      <c r="C68" s="150" t="s">
        <v>105</v>
      </c>
      <c r="D68" s="2">
        <v>317750000.89999998</v>
      </c>
      <c r="E68" s="3">
        <f t="shared" si="25"/>
        <v>1.2349804253984644E-3</v>
      </c>
      <c r="F68" s="14">
        <v>1.3373999999999999</v>
      </c>
      <c r="G68" s="14">
        <v>1.3373999999999999</v>
      </c>
      <c r="H68" s="60">
        <v>325</v>
      </c>
      <c r="I68" s="5">
        <v>5.2615754660252367E-3</v>
      </c>
      <c r="J68" s="5">
        <v>2.3612601362464902E-3</v>
      </c>
      <c r="K68" s="2">
        <v>318689436.70999998</v>
      </c>
      <c r="L68" s="3">
        <f t="shared" si="19"/>
        <v>1.2910821547901653E-3</v>
      </c>
      <c r="M68" s="14">
        <v>1.341</v>
      </c>
      <c r="N68" s="14">
        <v>1.341</v>
      </c>
      <c r="O68" s="60">
        <v>328</v>
      </c>
      <c r="P68" s="5">
        <v>2.7000000000000001E-3</v>
      </c>
      <c r="Q68" s="5">
        <v>4.8999999999999998E-3</v>
      </c>
      <c r="R68" s="80">
        <f t="shared" si="20"/>
        <v>2.9565249640885285E-3</v>
      </c>
      <c r="S68" s="80">
        <f t="shared" si="21"/>
        <v>2.6917900403768862E-3</v>
      </c>
      <c r="T68" s="80">
        <f t="shared" si="22"/>
        <v>9.2307692307692316E-3</v>
      </c>
      <c r="U68" s="81">
        <f t="shared" si="23"/>
        <v>-2.5615754660252366E-3</v>
      </c>
      <c r="V68" s="83">
        <f t="shared" si="24"/>
        <v>2.5387398637535096E-3</v>
      </c>
    </row>
    <row r="69" spans="1:22">
      <c r="A69" s="75">
        <v>58</v>
      </c>
      <c r="B69" s="149" t="s">
        <v>106</v>
      </c>
      <c r="C69" s="150" t="s">
        <v>25</v>
      </c>
      <c r="D69" s="2">
        <v>98840190.109999999</v>
      </c>
      <c r="E69" s="3">
        <f t="shared" si="25"/>
        <v>3.8415641127544342E-4</v>
      </c>
      <c r="F69" s="14">
        <v>116.93600000000001</v>
      </c>
      <c r="G69" s="14">
        <v>116.93600000000001</v>
      </c>
      <c r="H69" s="60">
        <v>109</v>
      </c>
      <c r="I69" s="5">
        <v>3.77E-4</v>
      </c>
      <c r="J69" s="5">
        <v>0.14979999999999999</v>
      </c>
      <c r="K69" s="2">
        <v>98296048.489999995</v>
      </c>
      <c r="L69" s="3">
        <f t="shared" si="19"/>
        <v>3.9821926764178054E-4</v>
      </c>
      <c r="M69" s="14">
        <v>117.26090000000001</v>
      </c>
      <c r="N69" s="14">
        <v>117.26090000000001</v>
      </c>
      <c r="O69" s="60">
        <v>110</v>
      </c>
      <c r="P69" s="5">
        <v>5.8E-4</v>
      </c>
      <c r="Q69" s="5">
        <v>0.1527</v>
      </c>
      <c r="R69" s="80">
        <f t="shared" si="20"/>
        <v>-5.5052668291554821E-3</v>
      </c>
      <c r="S69" s="80">
        <f t="shared" si="21"/>
        <v>2.7784429089416389E-3</v>
      </c>
      <c r="T69" s="80">
        <f t="shared" si="22"/>
        <v>9.1743119266055051E-3</v>
      </c>
      <c r="U69" s="81">
        <f t="shared" si="23"/>
        <v>2.03E-4</v>
      </c>
      <c r="V69" s="83">
        <f t="shared" si="24"/>
        <v>2.9000000000000137E-3</v>
      </c>
    </row>
    <row r="70" spans="1:22">
      <c r="A70" s="75">
        <v>59</v>
      </c>
      <c r="B70" s="149" t="s">
        <v>107</v>
      </c>
      <c r="C70" s="150" t="s">
        <v>108</v>
      </c>
      <c r="D70" s="2">
        <v>1251783008.45</v>
      </c>
      <c r="E70" s="3">
        <f t="shared" si="25"/>
        <v>4.8652321255812491E-3</v>
      </c>
      <c r="F70" s="7">
        <v>1000</v>
      </c>
      <c r="G70" s="7">
        <v>1000</v>
      </c>
      <c r="H70" s="60">
        <v>308</v>
      </c>
      <c r="I70" s="5">
        <v>1E-4</v>
      </c>
      <c r="J70" s="5">
        <v>0.14940000000000001</v>
      </c>
      <c r="K70" s="2">
        <v>1569624459.3099999</v>
      </c>
      <c r="L70" s="3">
        <f t="shared" si="19"/>
        <v>6.3588995922114104E-3</v>
      </c>
      <c r="M70" s="7">
        <v>1000</v>
      </c>
      <c r="N70" s="7">
        <v>1000</v>
      </c>
      <c r="O70" s="60">
        <v>309</v>
      </c>
      <c r="P70" s="5">
        <v>2.5000000000000001E-3</v>
      </c>
      <c r="Q70" s="5">
        <v>0.1454</v>
      </c>
      <c r="R70" s="80">
        <f t="shared" si="20"/>
        <v>0.25391098034919157</v>
      </c>
      <c r="S70" s="80">
        <f t="shared" si="21"/>
        <v>0</v>
      </c>
      <c r="T70" s="80">
        <f t="shared" si="22"/>
        <v>3.246753246753247E-3</v>
      </c>
      <c r="U70" s="81">
        <f t="shared" si="23"/>
        <v>2.4000000000000002E-3</v>
      </c>
      <c r="V70" s="83">
        <f t="shared" si="24"/>
        <v>-4.0000000000000036E-3</v>
      </c>
    </row>
    <row r="71" spans="1:22">
      <c r="A71" s="75">
        <v>60</v>
      </c>
      <c r="B71" s="149" t="s">
        <v>109</v>
      </c>
      <c r="C71" s="150" t="s">
        <v>64</v>
      </c>
      <c r="D71" s="2">
        <v>215317707.13999999</v>
      </c>
      <c r="E71" s="3">
        <f t="shared" si="25"/>
        <v>8.3686279404060634E-4</v>
      </c>
      <c r="F71" s="7">
        <v>1058.6300000000001</v>
      </c>
      <c r="G71" s="7">
        <v>1068.99</v>
      </c>
      <c r="H71" s="60">
        <v>78</v>
      </c>
      <c r="I71" s="5">
        <v>3.2000000000000002E-3</v>
      </c>
      <c r="J71" s="5">
        <v>5.0000000000000001E-3</v>
      </c>
      <c r="K71" s="2">
        <v>216597725.38999999</v>
      </c>
      <c r="L71" s="3">
        <f t="shared" si="19"/>
        <v>8.7748580846010464E-4</v>
      </c>
      <c r="M71" s="7">
        <v>1063.5999999999999</v>
      </c>
      <c r="N71" s="7">
        <v>1071.18</v>
      </c>
      <c r="O71" s="60">
        <v>78</v>
      </c>
      <c r="P71" s="5">
        <v>2.7000000000000001E-3</v>
      </c>
      <c r="Q71" s="5">
        <v>8.3999999999999995E-3</v>
      </c>
      <c r="R71" s="80">
        <f t="shared" si="20"/>
        <v>5.9447885963588203E-3</v>
      </c>
      <c r="S71" s="80">
        <f t="shared" si="21"/>
        <v>2.048662756433694E-3</v>
      </c>
      <c r="T71" s="80">
        <f t="shared" si="22"/>
        <v>0</v>
      </c>
      <c r="U71" s="81">
        <f t="shared" si="23"/>
        <v>-5.0000000000000001E-4</v>
      </c>
      <c r="V71" s="83">
        <f t="shared" si="24"/>
        <v>3.3999999999999994E-3</v>
      </c>
    </row>
    <row r="72" spans="1:22">
      <c r="A72" s="75">
        <v>61</v>
      </c>
      <c r="B72" s="149" t="s">
        <v>110</v>
      </c>
      <c r="C72" s="150" t="s">
        <v>67</v>
      </c>
      <c r="D72" s="2">
        <v>883490389.34000003</v>
      </c>
      <c r="E72" s="3">
        <f t="shared" si="25"/>
        <v>3.433810649164874E-3</v>
      </c>
      <c r="F72" s="15">
        <v>1.1472</v>
      </c>
      <c r="G72" s="15">
        <v>1.1472</v>
      </c>
      <c r="H72" s="60">
        <v>53</v>
      </c>
      <c r="I72" s="5">
        <v>2.9725476481903042E-3</v>
      </c>
      <c r="J72" s="5">
        <v>0.14840545336886479</v>
      </c>
      <c r="K72" s="2">
        <v>885745705.48000002</v>
      </c>
      <c r="L72" s="3">
        <f t="shared" si="19"/>
        <v>3.5883538715086949E-3</v>
      </c>
      <c r="M72" s="15">
        <v>1.1501999999999999</v>
      </c>
      <c r="N72" s="15">
        <v>1.1501999999999999</v>
      </c>
      <c r="O72" s="60">
        <v>36</v>
      </c>
      <c r="P72" s="5">
        <v>2.6150627615061815E-3</v>
      </c>
      <c r="Q72" s="5">
        <v>0.1598649598746853</v>
      </c>
      <c r="R72" s="80">
        <f t="shared" si="20"/>
        <v>2.5527342087838557E-3</v>
      </c>
      <c r="S72" s="80">
        <f t="shared" si="21"/>
        <v>2.6150627615061815E-3</v>
      </c>
      <c r="T72" s="80">
        <f t="shared" si="22"/>
        <v>-0.32075471698113206</v>
      </c>
      <c r="U72" s="81">
        <f t="shared" si="23"/>
        <v>-3.5748488668412275E-4</v>
      </c>
      <c r="V72" s="83">
        <f t="shared" si="24"/>
        <v>1.1459506505820505E-2</v>
      </c>
    </row>
    <row r="73" spans="1:22">
      <c r="A73" s="75">
        <v>62</v>
      </c>
      <c r="B73" s="149" t="s">
        <v>111</v>
      </c>
      <c r="C73" s="150" t="s">
        <v>27</v>
      </c>
      <c r="D73" s="2">
        <v>50959864045.809998</v>
      </c>
      <c r="E73" s="3">
        <f t="shared" si="25"/>
        <v>0.19806273611104921</v>
      </c>
      <c r="F73" s="15">
        <v>1610.01</v>
      </c>
      <c r="G73" s="15">
        <v>1610.01</v>
      </c>
      <c r="H73" s="60">
        <v>2421</v>
      </c>
      <c r="I73" s="5">
        <v>2.3999999999999998E-3</v>
      </c>
      <c r="J73" s="5">
        <v>4.0500000000000001E-2</v>
      </c>
      <c r="K73" s="2">
        <v>49162022412.93</v>
      </c>
      <c r="L73" s="3">
        <f t="shared" si="19"/>
        <v>0.19916634352862567</v>
      </c>
      <c r="M73" s="15">
        <v>1613.51</v>
      </c>
      <c r="N73" s="15">
        <v>1613.51</v>
      </c>
      <c r="O73" s="60">
        <v>2401</v>
      </c>
      <c r="P73" s="5">
        <v>2.2000000000000001E-3</v>
      </c>
      <c r="Q73" s="5">
        <v>4.2700000000000002E-2</v>
      </c>
      <c r="R73" s="80">
        <f t="shared" si="20"/>
        <v>-3.527956101420994E-2</v>
      </c>
      <c r="S73" s="80">
        <f t="shared" si="21"/>
        <v>2.1738995409966398E-3</v>
      </c>
      <c r="T73" s="80">
        <f t="shared" si="22"/>
        <v>-8.2610491532424616E-3</v>
      </c>
      <c r="U73" s="81">
        <f t="shared" si="23"/>
        <v>-1.9999999999999966E-4</v>
      </c>
      <c r="V73" s="83">
        <f t="shared" si="24"/>
        <v>2.2000000000000006E-3</v>
      </c>
    </row>
    <row r="74" spans="1:22">
      <c r="A74" s="75">
        <v>63</v>
      </c>
      <c r="B74" s="149" t="s">
        <v>112</v>
      </c>
      <c r="C74" s="150" t="s">
        <v>72</v>
      </c>
      <c r="D74" s="2">
        <v>23930013.859999999</v>
      </c>
      <c r="E74" s="3">
        <f t="shared" si="25"/>
        <v>9.3007391386018253E-5</v>
      </c>
      <c r="F74" s="2">
        <v>0.7298</v>
      </c>
      <c r="G74" s="2">
        <v>0.7298</v>
      </c>
      <c r="H74" s="60">
        <v>746</v>
      </c>
      <c r="I74" s="5">
        <v>1.4E-3</v>
      </c>
      <c r="J74" s="5">
        <v>-4.53E-2</v>
      </c>
      <c r="K74" s="2">
        <v>23977479.620000001</v>
      </c>
      <c r="L74" s="3">
        <f t="shared" si="19"/>
        <v>9.7138130381136338E-5</v>
      </c>
      <c r="M74" s="2">
        <v>0.73129999999999995</v>
      </c>
      <c r="N74" s="2">
        <v>0.73129999999999995</v>
      </c>
      <c r="O74" s="60">
        <v>746</v>
      </c>
      <c r="P74" s="5">
        <v>2.0999999999999999E-3</v>
      </c>
      <c r="Q74" s="5">
        <v>-4.3299999999999998E-2</v>
      </c>
      <c r="R74" s="80">
        <f t="shared" si="20"/>
        <v>1.9835241332368221E-3</v>
      </c>
      <c r="S74" s="80">
        <f t="shared" si="21"/>
        <v>2.0553576322279335E-3</v>
      </c>
      <c r="T74" s="80">
        <f t="shared" si="22"/>
        <v>0</v>
      </c>
      <c r="U74" s="81">
        <f t="shared" si="23"/>
        <v>6.9999999999999988E-4</v>
      </c>
      <c r="V74" s="83">
        <f t="shared" si="24"/>
        <v>2.0000000000000018E-3</v>
      </c>
    </row>
    <row r="75" spans="1:22">
      <c r="A75" s="75">
        <v>64</v>
      </c>
      <c r="B75" s="149" t="s">
        <v>251</v>
      </c>
      <c r="C75" s="150" t="s">
        <v>32</v>
      </c>
      <c r="D75" s="2">
        <v>8329289682.4576998</v>
      </c>
      <c r="E75" s="3">
        <f t="shared" si="25"/>
        <v>3.2372965180717493E-2</v>
      </c>
      <c r="F75" s="14">
        <v>1</v>
      </c>
      <c r="G75" s="14">
        <v>1</v>
      </c>
      <c r="H75" s="60">
        <v>5544</v>
      </c>
      <c r="I75" s="5">
        <v>0.06</v>
      </c>
      <c r="J75" s="5">
        <v>0.06</v>
      </c>
      <c r="K75" s="2">
        <v>8299754584.6128998</v>
      </c>
      <c r="L75" s="3">
        <f t="shared" si="19"/>
        <v>3.3624161327576674E-2</v>
      </c>
      <c r="M75" s="14">
        <v>1</v>
      </c>
      <c r="N75" s="14">
        <v>1</v>
      </c>
      <c r="O75" s="60">
        <v>5528</v>
      </c>
      <c r="P75" s="5">
        <v>0.06</v>
      </c>
      <c r="Q75" s="5">
        <v>0.06</v>
      </c>
      <c r="R75" s="80">
        <f>((K75-D75)/D75)</f>
        <v>-3.5459323628764896E-3</v>
      </c>
      <c r="S75" s="80">
        <f>((N75-G75)/G75)</f>
        <v>0</v>
      </c>
      <c r="T75" s="80">
        <f>((O75-H75)/H75)</f>
        <v>-2.886002886002886E-3</v>
      </c>
      <c r="U75" s="81">
        <f>P75-I75</f>
        <v>0</v>
      </c>
      <c r="V75" s="83">
        <f>Q75-J75</f>
        <v>0</v>
      </c>
    </row>
    <row r="76" spans="1:22">
      <c r="A76" s="75">
        <v>65</v>
      </c>
      <c r="B76" s="149" t="s">
        <v>113</v>
      </c>
      <c r="C76" s="150" t="s">
        <v>114</v>
      </c>
      <c r="D76" s="151">
        <v>1224686988.1099999</v>
      </c>
      <c r="E76" s="3">
        <f t="shared" si="25"/>
        <v>4.7599196011711229E-3</v>
      </c>
      <c r="F76" s="2">
        <v>221.4579</v>
      </c>
      <c r="G76" s="2">
        <v>223.33330000000001</v>
      </c>
      <c r="H76" s="60">
        <v>488</v>
      </c>
      <c r="I76" s="5">
        <v>1.8E-3</v>
      </c>
      <c r="J76" s="5">
        <v>8.0399999999999999E-2</v>
      </c>
      <c r="K76" s="151">
        <v>1229660609.3599999</v>
      </c>
      <c r="L76" s="3">
        <f t="shared" si="19"/>
        <v>4.9816300332469737E-3</v>
      </c>
      <c r="M76" s="2">
        <v>221.94670199999999</v>
      </c>
      <c r="N76" s="2">
        <v>223.49910600000001</v>
      </c>
      <c r="O76" s="60">
        <v>488</v>
      </c>
      <c r="P76" s="5">
        <v>4.0000000000000002E-4</v>
      </c>
      <c r="Q76" s="5">
        <v>8.4400000000000003E-2</v>
      </c>
      <c r="R76" s="80">
        <f t="shared" si="20"/>
        <v>4.0611366808718597E-3</v>
      </c>
      <c r="S76" s="80">
        <f t="shared" si="21"/>
        <v>7.4241503618136407E-4</v>
      </c>
      <c r="T76" s="80">
        <f t="shared" si="22"/>
        <v>0</v>
      </c>
      <c r="U76" s="81">
        <f t="shared" si="23"/>
        <v>-1.4E-3</v>
      </c>
      <c r="V76" s="83">
        <f t="shared" si="24"/>
        <v>4.0000000000000036E-3</v>
      </c>
    </row>
    <row r="77" spans="1:22">
      <c r="A77" s="75">
        <v>66</v>
      </c>
      <c r="B77" s="149" t="s">
        <v>115</v>
      </c>
      <c r="C77" s="150" t="s">
        <v>34</v>
      </c>
      <c r="D77" s="2">
        <v>1107977608.6199999</v>
      </c>
      <c r="E77" s="3">
        <f t="shared" si="25"/>
        <v>4.3063120520844059E-3</v>
      </c>
      <c r="F77" s="14">
        <v>3.42</v>
      </c>
      <c r="G77" s="14">
        <v>3.42</v>
      </c>
      <c r="H77" s="61">
        <v>773</v>
      </c>
      <c r="I77" s="12">
        <v>1.6999999999999999E-3</v>
      </c>
      <c r="J77" s="12">
        <v>-0.13469999999999999</v>
      </c>
      <c r="K77" s="2">
        <v>1108798620.72</v>
      </c>
      <c r="L77" s="3">
        <f t="shared" si="19"/>
        <v>4.4919910971828615E-3</v>
      </c>
      <c r="M77" s="14">
        <v>3.42</v>
      </c>
      <c r="N77" s="14">
        <v>3.42</v>
      </c>
      <c r="O77" s="61">
        <v>773</v>
      </c>
      <c r="P77" s="12">
        <v>1.6999999999999999E-3</v>
      </c>
      <c r="Q77" s="12">
        <v>-0.123</v>
      </c>
      <c r="R77" s="80">
        <f t="shared" si="20"/>
        <v>7.4100062457284127E-4</v>
      </c>
      <c r="S77" s="80">
        <f t="shared" si="21"/>
        <v>0</v>
      </c>
      <c r="T77" s="80">
        <f t="shared" si="22"/>
        <v>0</v>
      </c>
      <c r="U77" s="81">
        <f t="shared" si="23"/>
        <v>0</v>
      </c>
      <c r="V77" s="83">
        <f t="shared" si="24"/>
        <v>1.1699999999999988E-2</v>
      </c>
    </row>
    <row r="78" spans="1:22">
      <c r="A78" s="75">
        <v>67</v>
      </c>
      <c r="B78" s="149" t="s">
        <v>258</v>
      </c>
      <c r="C78" s="150" t="s">
        <v>36</v>
      </c>
      <c r="D78" s="2">
        <v>562135677.48000002</v>
      </c>
      <c r="E78" s="3">
        <f t="shared" si="25"/>
        <v>2.1848200035863618E-3</v>
      </c>
      <c r="F78" s="14">
        <v>106.68040000000001</v>
      </c>
      <c r="G78" s="14">
        <v>106.68040000000001</v>
      </c>
      <c r="H78" s="61">
        <v>64</v>
      </c>
      <c r="I78" s="12">
        <v>0.14019999999999999</v>
      </c>
      <c r="J78" s="12">
        <v>0.1598</v>
      </c>
      <c r="K78" s="2">
        <v>558593190.62</v>
      </c>
      <c r="L78" s="3">
        <f t="shared" si="19"/>
        <v>2.2629858951147136E-3</v>
      </c>
      <c r="M78" s="14">
        <v>106.37</v>
      </c>
      <c r="N78" s="14">
        <v>106.37</v>
      </c>
      <c r="O78" s="61">
        <v>64</v>
      </c>
      <c r="P78" s="12">
        <v>0.14019999999999999</v>
      </c>
      <c r="Q78" s="12">
        <v>0.158</v>
      </c>
      <c r="R78" s="80">
        <f t="shared" ref="R78" si="26">((K78-D78)/D78)</f>
        <v>-6.3018360191629194E-3</v>
      </c>
      <c r="S78" s="80">
        <f t="shared" ref="S78" si="27">((N78-G78)/G78)</f>
        <v>-2.9096253857315993E-3</v>
      </c>
      <c r="T78" s="80">
        <f t="shared" ref="T78" si="28">((O78-H78)/H78)</f>
        <v>0</v>
      </c>
      <c r="U78" s="81">
        <f t="shared" ref="U78" si="29">P78-I78</f>
        <v>0</v>
      </c>
      <c r="V78" s="83">
        <f t="shared" ref="V78" si="30">Q78-J78</f>
        <v>-1.799999999999996E-3</v>
      </c>
    </row>
    <row r="79" spans="1:22">
      <c r="A79" s="75">
        <v>68</v>
      </c>
      <c r="B79" s="150" t="s">
        <v>116</v>
      </c>
      <c r="C79" s="154" t="s">
        <v>40</v>
      </c>
      <c r="D79" s="2">
        <v>2645707483.3800001</v>
      </c>
      <c r="E79" s="3">
        <f t="shared" si="25"/>
        <v>1.0282917211801442E-2</v>
      </c>
      <c r="F79" s="14">
        <v>102.12</v>
      </c>
      <c r="G79" s="14">
        <v>102.12</v>
      </c>
      <c r="H79" s="60">
        <v>139</v>
      </c>
      <c r="I79" s="5">
        <v>2.2000000000000001E-3</v>
      </c>
      <c r="J79" s="5">
        <v>0.1028</v>
      </c>
      <c r="K79" s="2">
        <v>2755484793.1199999</v>
      </c>
      <c r="L79" s="3">
        <f t="shared" si="19"/>
        <v>1.1163084917151482E-2</v>
      </c>
      <c r="M79" s="14">
        <v>102.34</v>
      </c>
      <c r="N79" s="14">
        <v>102.34</v>
      </c>
      <c r="O79" s="60">
        <v>139</v>
      </c>
      <c r="P79" s="5">
        <v>2.0999999999999999E-3</v>
      </c>
      <c r="Q79" s="5">
        <v>0.1033</v>
      </c>
      <c r="R79" s="80">
        <f t="shared" si="20"/>
        <v>4.1492610362108037E-2</v>
      </c>
      <c r="S79" s="80">
        <f t="shared" si="21"/>
        <v>2.1543282412847518E-3</v>
      </c>
      <c r="T79" s="80">
        <f t="shared" si="22"/>
        <v>0</v>
      </c>
      <c r="U79" s="81">
        <f t="shared" si="23"/>
        <v>-1.0000000000000026E-4</v>
      </c>
      <c r="V79" s="83">
        <f t="shared" si="24"/>
        <v>5.0000000000000044E-4</v>
      </c>
    </row>
    <row r="80" spans="1:22">
      <c r="A80" s="75">
        <v>69</v>
      </c>
      <c r="B80" s="149" t="s">
        <v>117</v>
      </c>
      <c r="C80" s="150" t="s">
        <v>17</v>
      </c>
      <c r="D80" s="2">
        <v>1238465462.9100001</v>
      </c>
      <c r="E80" s="3">
        <f t="shared" si="25"/>
        <v>4.813471596833277E-3</v>
      </c>
      <c r="F80" s="14">
        <v>337.46289999999999</v>
      </c>
      <c r="G80" s="14">
        <v>337.46289999999999</v>
      </c>
      <c r="H80" s="60">
        <v>104</v>
      </c>
      <c r="I80" s="5">
        <v>2.2000000000000001E-3</v>
      </c>
      <c r="J80" s="5">
        <v>3.1899999999999998E-2</v>
      </c>
      <c r="K80" s="2">
        <v>1241538116.8499999</v>
      </c>
      <c r="L80" s="3">
        <f t="shared" si="19"/>
        <v>5.0297484714419607E-3</v>
      </c>
      <c r="M80" s="14">
        <v>338.25259999999997</v>
      </c>
      <c r="N80" s="14">
        <v>338.25259999999997</v>
      </c>
      <c r="O80" s="60">
        <v>104</v>
      </c>
      <c r="P80" s="5">
        <v>2.3E-3</v>
      </c>
      <c r="Q80" s="5">
        <v>3.4200000000000001E-2</v>
      </c>
      <c r="R80" s="80">
        <f t="shared" si="20"/>
        <v>2.4810170586267773E-3</v>
      </c>
      <c r="S80" s="80">
        <f t="shared" si="21"/>
        <v>2.3401090905103409E-3</v>
      </c>
      <c r="T80" s="80">
        <f t="shared" si="22"/>
        <v>0</v>
      </c>
      <c r="U80" s="81">
        <f t="shared" si="23"/>
        <v>9.9999999999999829E-5</v>
      </c>
      <c r="V80" s="83">
        <f t="shared" si="24"/>
        <v>2.3000000000000034E-3</v>
      </c>
    </row>
    <row r="81" spans="1:22">
      <c r="A81" s="75">
        <v>70</v>
      </c>
      <c r="B81" s="149" t="s">
        <v>252</v>
      </c>
      <c r="C81" s="150" t="s">
        <v>78</v>
      </c>
      <c r="D81" s="9">
        <v>1584379804.46</v>
      </c>
      <c r="E81" s="3">
        <f>(D81/$K$57)</f>
        <v>1.6508184061861683E-3</v>
      </c>
      <c r="F81" s="14">
        <v>102.31</v>
      </c>
      <c r="G81" s="14">
        <v>102.31</v>
      </c>
      <c r="H81" s="60">
        <v>362</v>
      </c>
      <c r="I81" s="5">
        <v>2.7000000000000001E-3</v>
      </c>
      <c r="J81" s="5">
        <v>4.5499999999999999E-2</v>
      </c>
      <c r="K81" s="9">
        <v>1730474822.4300001</v>
      </c>
      <c r="L81" s="3">
        <f>(K81/$K$57)</f>
        <v>1.8030397006245777E-3</v>
      </c>
      <c r="M81" s="14">
        <v>102.56</v>
      </c>
      <c r="N81" s="14">
        <v>102.56</v>
      </c>
      <c r="O81" s="60">
        <v>366</v>
      </c>
      <c r="P81" s="5">
        <v>2.5000000000000001E-3</v>
      </c>
      <c r="Q81" s="5">
        <v>4.8099999999999997E-2</v>
      </c>
      <c r="R81" s="80">
        <f t="shared" si="20"/>
        <v>9.2209593658506145E-2</v>
      </c>
      <c r="S81" s="80">
        <f t="shared" si="21"/>
        <v>2.4435539047991399E-3</v>
      </c>
      <c r="T81" s="80">
        <f t="shared" si="22"/>
        <v>1.1049723756906077E-2</v>
      </c>
      <c r="U81" s="81">
        <f t="shared" si="23"/>
        <v>-2.0000000000000009E-4</v>
      </c>
      <c r="V81" s="83">
        <f t="shared" si="24"/>
        <v>2.5999999999999981E-3</v>
      </c>
    </row>
    <row r="82" spans="1:22">
      <c r="A82" s="75">
        <v>71</v>
      </c>
      <c r="B82" s="149" t="s">
        <v>118</v>
      </c>
      <c r="C82" s="150" t="s">
        <v>38</v>
      </c>
      <c r="D82" s="2">
        <v>56622516.960000001</v>
      </c>
      <c r="E82" s="3">
        <f t="shared" ref="E82:E93" si="31">(D82/$D$94)</f>
        <v>2.2007143944713858E-4</v>
      </c>
      <c r="F82" s="2">
        <v>12.364179999999999</v>
      </c>
      <c r="G82" s="2">
        <v>12.581576999999999</v>
      </c>
      <c r="H82" s="60">
        <v>58</v>
      </c>
      <c r="I82" s="5">
        <v>2.8400000000000002E-2</v>
      </c>
      <c r="J82" s="5">
        <v>9.2100000000000001E-2</v>
      </c>
      <c r="K82" s="2">
        <v>56713892.82</v>
      </c>
      <c r="L82" s="3">
        <f t="shared" ref="L82:L93" si="32">(K82/$K$94)</f>
        <v>2.2976065885489227E-4</v>
      </c>
      <c r="M82" s="2">
        <v>12.384133</v>
      </c>
      <c r="N82" s="2">
        <v>12.609305000000001</v>
      </c>
      <c r="O82" s="60">
        <v>56</v>
      </c>
      <c r="P82" s="5">
        <v>-1.9E-3</v>
      </c>
      <c r="Q82" s="5">
        <v>9.1800000000000007E-2</v>
      </c>
      <c r="R82" s="80">
        <f t="shared" si="20"/>
        <v>1.6137724867396888E-3</v>
      </c>
      <c r="S82" s="80">
        <f t="shared" si="21"/>
        <v>2.2038572748075643E-3</v>
      </c>
      <c r="T82" s="80">
        <f t="shared" si="22"/>
        <v>-3.4482758620689655E-2</v>
      </c>
      <c r="U82" s="81">
        <f t="shared" si="23"/>
        <v>-3.0300000000000001E-2</v>
      </c>
      <c r="V82" s="83">
        <f t="shared" si="24"/>
        <v>-2.9999999999999472E-4</v>
      </c>
    </row>
    <row r="83" spans="1:22">
      <c r="A83" s="75">
        <v>72</v>
      </c>
      <c r="B83" s="149" t="s">
        <v>236</v>
      </c>
      <c r="C83" s="150" t="s">
        <v>237</v>
      </c>
      <c r="D83" s="2">
        <v>283177486.58999997</v>
      </c>
      <c r="E83" s="3">
        <f t="shared" si="31"/>
        <v>1.1006094472435488E-3</v>
      </c>
      <c r="F83" s="2">
        <v>118.25</v>
      </c>
      <c r="G83" s="2">
        <v>118.25</v>
      </c>
      <c r="H83" s="60">
        <v>83</v>
      </c>
      <c r="I83" s="5">
        <v>0.1469</v>
      </c>
      <c r="J83" s="5">
        <v>0.1905</v>
      </c>
      <c r="K83" s="2">
        <v>288899430.05000001</v>
      </c>
      <c r="L83" s="3">
        <f t="shared" si="32"/>
        <v>1.1703961779129177E-3</v>
      </c>
      <c r="M83" s="2">
        <v>118.89</v>
      </c>
      <c r="N83" s="2">
        <v>118.89</v>
      </c>
      <c r="O83" s="60">
        <v>85</v>
      </c>
      <c r="P83" s="5">
        <v>0.14990000000000001</v>
      </c>
      <c r="Q83" s="5">
        <v>0.18609999999999999</v>
      </c>
      <c r="R83" s="80">
        <f>((K83-D83)/D83)</f>
        <v>2.0206208935968785E-2</v>
      </c>
      <c r="S83" s="80">
        <f>((N83-G83)/G83)</f>
        <v>5.4122621564482078E-3</v>
      </c>
      <c r="T83" s="80">
        <f>((O83-H83)/H83)</f>
        <v>2.4096385542168676E-2</v>
      </c>
      <c r="U83" s="81">
        <f t="shared" si="23"/>
        <v>3.0000000000000027E-3</v>
      </c>
      <c r="V83" s="83">
        <f t="shared" si="24"/>
        <v>-4.400000000000015E-3</v>
      </c>
    </row>
    <row r="84" spans="1:22">
      <c r="A84" s="75">
        <v>73</v>
      </c>
      <c r="B84" s="149" t="s">
        <v>119</v>
      </c>
      <c r="C84" s="150" t="s">
        <v>120</v>
      </c>
      <c r="D84" s="2">
        <v>7114598297.6526814</v>
      </c>
      <c r="E84" s="3">
        <f t="shared" si="31"/>
        <v>2.7651894908851594E-2</v>
      </c>
      <c r="F84" s="14">
        <v>1.0423358456496967</v>
      </c>
      <c r="G84" s="14">
        <v>1.0423358456496967</v>
      </c>
      <c r="H84" s="60">
        <v>4238</v>
      </c>
      <c r="I84" s="5">
        <v>0.14510000000000001</v>
      </c>
      <c r="J84" s="5">
        <v>0.14510000000000001</v>
      </c>
      <c r="K84" s="2">
        <v>7526837349.0750103</v>
      </c>
      <c r="L84" s="3">
        <f t="shared" si="32"/>
        <v>3.0492900811901719E-2</v>
      </c>
      <c r="M84" s="14">
        <v>1.05</v>
      </c>
      <c r="N84" s="14">
        <v>1.05</v>
      </c>
      <c r="O84" s="60">
        <v>4246</v>
      </c>
      <c r="P84" s="5">
        <v>0.1502</v>
      </c>
      <c r="Q84" s="5">
        <v>0.1502</v>
      </c>
      <c r="R84" s="80">
        <f t="shared" si="20"/>
        <v>5.7942702338983625E-2</v>
      </c>
      <c r="S84" s="80">
        <f t="shared" si="21"/>
        <v>7.3528646091281531E-3</v>
      </c>
      <c r="T84" s="80">
        <f t="shared" si="22"/>
        <v>1.8876828692779614E-3</v>
      </c>
      <c r="U84" s="81">
        <f t="shared" si="23"/>
        <v>5.0999999999999934E-3</v>
      </c>
      <c r="V84" s="83">
        <f t="shared" si="24"/>
        <v>5.0999999999999934E-3</v>
      </c>
    </row>
    <row r="85" spans="1:22" ht="14.25" customHeight="1">
      <c r="A85" s="75">
        <v>74</v>
      </c>
      <c r="B85" s="149" t="s">
        <v>121</v>
      </c>
      <c r="C85" s="150" t="s">
        <v>42</v>
      </c>
      <c r="D85" s="2">
        <v>16735749584.18</v>
      </c>
      <c r="E85" s="3">
        <f t="shared" si="31"/>
        <v>6.5045863358903278E-2</v>
      </c>
      <c r="F85" s="2">
        <v>5143.3599999999997</v>
      </c>
      <c r="G85" s="2">
        <v>5143.3599999999997</v>
      </c>
      <c r="H85" s="60">
        <v>392</v>
      </c>
      <c r="I85" s="5">
        <v>8.9999999999999998E-4</v>
      </c>
      <c r="J85" s="5">
        <v>2.63E-2</v>
      </c>
      <c r="K85" s="2">
        <v>16415274361.450001</v>
      </c>
      <c r="L85" s="3">
        <f t="shared" si="32"/>
        <v>6.6501946261049716E-2</v>
      </c>
      <c r="M85" s="2">
        <v>5147.79</v>
      </c>
      <c r="N85" s="2">
        <v>5147.79</v>
      </c>
      <c r="O85" s="60">
        <v>389</v>
      </c>
      <c r="P85" s="5">
        <v>8.9999999999999998E-4</v>
      </c>
      <c r="Q85" s="5">
        <v>2.7199999999999998E-2</v>
      </c>
      <c r="R85" s="80">
        <f t="shared" si="20"/>
        <v>-1.914914065354676E-2</v>
      </c>
      <c r="S85" s="80">
        <f t="shared" si="21"/>
        <v>8.6130467243208551E-4</v>
      </c>
      <c r="T85" s="80">
        <f t="shared" si="22"/>
        <v>-7.6530612244897957E-3</v>
      </c>
      <c r="U85" s="81">
        <f t="shared" si="23"/>
        <v>0</v>
      </c>
      <c r="V85" s="83">
        <f t="shared" si="24"/>
        <v>8.9999999999999802E-4</v>
      </c>
    </row>
    <row r="86" spans="1:22">
      <c r="A86" s="75">
        <v>75</v>
      </c>
      <c r="B86" s="149" t="s">
        <v>122</v>
      </c>
      <c r="C86" s="150" t="s">
        <v>42</v>
      </c>
      <c r="D86" s="2">
        <v>38377434466.239998</v>
      </c>
      <c r="E86" s="3">
        <f t="shared" si="31"/>
        <v>0.14915933975948187</v>
      </c>
      <c r="F86" s="14">
        <v>258.14</v>
      </c>
      <c r="G86" s="14">
        <v>258.14</v>
      </c>
      <c r="H86" s="60">
        <v>6612</v>
      </c>
      <c r="I86" s="5">
        <v>2.9999999999999997E-4</v>
      </c>
      <c r="J86" s="5">
        <v>9.1000000000000004E-3</v>
      </c>
      <c r="K86" s="2">
        <v>29040984658.43</v>
      </c>
      <c r="L86" s="3">
        <f t="shared" si="32"/>
        <v>0.11765152129643029</v>
      </c>
      <c r="M86" s="14">
        <v>258.2</v>
      </c>
      <c r="N86" s="14">
        <v>258.2</v>
      </c>
      <c r="O86" s="60">
        <v>6608</v>
      </c>
      <c r="P86" s="5">
        <v>2.0000000000000001E-4</v>
      </c>
      <c r="Q86" s="5">
        <v>9.2999999999999992E-3</v>
      </c>
      <c r="R86" s="80">
        <f t="shared" si="20"/>
        <v>-0.24327967561310332</v>
      </c>
      <c r="S86" s="80">
        <f t="shared" si="21"/>
        <v>2.3243201363602029E-4</v>
      </c>
      <c r="T86" s="80">
        <f t="shared" si="22"/>
        <v>-6.0496067755595891E-4</v>
      </c>
      <c r="U86" s="81">
        <f t="shared" si="23"/>
        <v>-9.9999999999999964E-5</v>
      </c>
      <c r="V86" s="83">
        <f t="shared" si="24"/>
        <v>1.9999999999999879E-4</v>
      </c>
    </row>
    <row r="87" spans="1:22" ht="12.75" customHeight="1">
      <c r="A87" s="75">
        <v>76</v>
      </c>
      <c r="B87" s="149" t="s">
        <v>123</v>
      </c>
      <c r="C87" s="150" t="s">
        <v>42</v>
      </c>
      <c r="D87" s="2">
        <v>347952742.99000001</v>
      </c>
      <c r="E87" s="3">
        <f t="shared" si="31"/>
        <v>1.3523676643248527E-3</v>
      </c>
      <c r="F87" s="2">
        <v>5620.54</v>
      </c>
      <c r="G87" s="7">
        <v>5643.41</v>
      </c>
      <c r="H87" s="60">
        <v>16</v>
      </c>
      <c r="I87" s="5">
        <v>2.2599999999999999E-2</v>
      </c>
      <c r="J87" s="5">
        <v>6.3E-2</v>
      </c>
      <c r="K87" s="2">
        <v>350342489.42000002</v>
      </c>
      <c r="L87" s="3">
        <f t="shared" si="32"/>
        <v>1.4193157477212712E-3</v>
      </c>
      <c r="M87" s="2">
        <v>5658.99</v>
      </c>
      <c r="N87" s="7">
        <v>5682.27</v>
      </c>
      <c r="O87" s="60">
        <v>16</v>
      </c>
      <c r="P87" s="5">
        <v>6.8999999999999999E-3</v>
      </c>
      <c r="Q87" s="5">
        <v>7.0300000000000001E-2</v>
      </c>
      <c r="R87" s="80">
        <f t="shared" si="20"/>
        <v>6.8680200922246713E-3</v>
      </c>
      <c r="S87" s="80">
        <f t="shared" si="21"/>
        <v>6.885907633859773E-3</v>
      </c>
      <c r="T87" s="80">
        <f t="shared" si="22"/>
        <v>0</v>
      </c>
      <c r="U87" s="81">
        <f t="shared" si="23"/>
        <v>-1.5699999999999999E-2</v>
      </c>
      <c r="V87" s="83">
        <f t="shared" si="24"/>
        <v>7.3000000000000009E-3</v>
      </c>
    </row>
    <row r="88" spans="1:22" ht="12.75" customHeight="1">
      <c r="A88" s="75">
        <v>77</v>
      </c>
      <c r="B88" s="149" t="s">
        <v>124</v>
      </c>
      <c r="C88" s="150" t="s">
        <v>42</v>
      </c>
      <c r="D88" s="2">
        <v>15018157090.860001</v>
      </c>
      <c r="E88" s="3">
        <f t="shared" si="31"/>
        <v>5.8370196633322026E-2</v>
      </c>
      <c r="F88" s="14">
        <v>138.08000000000001</v>
      </c>
      <c r="G88" s="14">
        <v>138.08000000000001</v>
      </c>
      <c r="H88" s="60">
        <v>4392</v>
      </c>
      <c r="I88" s="5">
        <v>1.8E-3</v>
      </c>
      <c r="J88" s="5">
        <v>3.3000000000000002E-2</v>
      </c>
      <c r="K88" s="2">
        <v>14926710717.76</v>
      </c>
      <c r="L88" s="3">
        <f t="shared" si="32"/>
        <v>6.0471442154989764E-2</v>
      </c>
      <c r="M88" s="14">
        <v>130.18</v>
      </c>
      <c r="N88" s="14">
        <v>130.18</v>
      </c>
      <c r="O88" s="60">
        <v>4401</v>
      </c>
      <c r="P88" s="5">
        <v>8.0000000000000004E-4</v>
      </c>
      <c r="Q88" s="5">
        <v>3.3799999999999997E-2</v>
      </c>
      <c r="R88" s="80">
        <f t="shared" si="20"/>
        <v>-6.0890542392617753E-3</v>
      </c>
      <c r="S88" s="80">
        <f t="shared" si="21"/>
        <v>-5.7213209733487869E-2</v>
      </c>
      <c r="T88" s="80">
        <f t="shared" si="22"/>
        <v>2.0491803278688526E-3</v>
      </c>
      <c r="U88" s="81">
        <f t="shared" si="23"/>
        <v>-1E-3</v>
      </c>
      <c r="V88" s="83">
        <f t="shared" si="24"/>
        <v>7.9999999999999516E-4</v>
      </c>
    </row>
    <row r="89" spans="1:22" ht="12.75" customHeight="1">
      <c r="A89" s="75">
        <v>78</v>
      </c>
      <c r="B89" s="149" t="s">
        <v>125</v>
      </c>
      <c r="C89" s="150" t="s">
        <v>42</v>
      </c>
      <c r="D89" s="2">
        <v>11459077016.639999</v>
      </c>
      <c r="E89" s="3">
        <f t="shared" si="31"/>
        <v>4.4537327359874868E-2</v>
      </c>
      <c r="F89" s="14">
        <v>356.23</v>
      </c>
      <c r="G89" s="14">
        <v>356.6</v>
      </c>
      <c r="H89" s="60">
        <v>10244</v>
      </c>
      <c r="I89" s="5">
        <v>3.5999999999999999E-3</v>
      </c>
      <c r="J89" s="5">
        <v>9.1999999999999998E-3</v>
      </c>
      <c r="K89" s="2">
        <v>11274513771.75</v>
      </c>
      <c r="L89" s="3">
        <f t="shared" si="32"/>
        <v>4.5675575836196608E-2</v>
      </c>
      <c r="M89" s="14">
        <v>356.1</v>
      </c>
      <c r="N89" s="14">
        <v>356.48</v>
      </c>
      <c r="O89" s="60">
        <v>10236</v>
      </c>
      <c r="P89" s="5">
        <v>-2.9999999999999997E-4</v>
      </c>
      <c r="Q89" s="5">
        <v>8.8999999999999999E-3</v>
      </c>
      <c r="R89" s="80">
        <f t="shared" si="20"/>
        <v>-1.61062923848047E-2</v>
      </c>
      <c r="S89" s="80">
        <f t="shared" si="21"/>
        <v>-3.3651149747617652E-4</v>
      </c>
      <c r="T89" s="80">
        <f t="shared" si="22"/>
        <v>-7.8094494338149163E-4</v>
      </c>
      <c r="U89" s="81">
        <f t="shared" si="23"/>
        <v>-3.8999999999999998E-3</v>
      </c>
      <c r="V89" s="83">
        <f t="shared" si="24"/>
        <v>-2.9999999999999992E-4</v>
      </c>
    </row>
    <row r="90" spans="1:22">
      <c r="A90" s="75">
        <v>79</v>
      </c>
      <c r="B90" s="149" t="s">
        <v>126</v>
      </c>
      <c r="C90" s="150" t="s">
        <v>45</v>
      </c>
      <c r="D90" s="2">
        <v>86466305865.929993</v>
      </c>
      <c r="E90" s="3">
        <f t="shared" si="31"/>
        <v>0.33606355593542964</v>
      </c>
      <c r="F90" s="2">
        <v>1.9885999999999999</v>
      </c>
      <c r="G90" s="2">
        <v>1.9885999999999999</v>
      </c>
      <c r="H90" s="60">
        <v>6157</v>
      </c>
      <c r="I90" s="5">
        <v>3.2000000000000001E-2</v>
      </c>
      <c r="J90" s="5">
        <v>5.8700000000000002E-2</v>
      </c>
      <c r="K90" s="2">
        <v>86772181567.460007</v>
      </c>
      <c r="L90" s="3">
        <f t="shared" si="32"/>
        <v>0.35153350644597753</v>
      </c>
      <c r="M90" s="2">
        <v>1.9899</v>
      </c>
      <c r="N90" s="2">
        <v>1.9899</v>
      </c>
      <c r="O90" s="60">
        <v>6156</v>
      </c>
      <c r="P90" s="5">
        <v>3.4700000000000002E-2</v>
      </c>
      <c r="Q90" s="5">
        <v>5.7500000000000002E-2</v>
      </c>
      <c r="R90" s="80">
        <f t="shared" si="20"/>
        <v>3.5375132367085099E-3</v>
      </c>
      <c r="S90" s="80">
        <f t="shared" si="21"/>
        <v>6.5372623956556322E-4</v>
      </c>
      <c r="T90" s="80">
        <f t="shared" si="22"/>
        <v>-1.6241676140977748E-4</v>
      </c>
      <c r="U90" s="81">
        <f t="shared" si="23"/>
        <v>2.700000000000001E-3</v>
      </c>
      <c r="V90" s="83">
        <f t="shared" si="24"/>
        <v>-1.1999999999999997E-3</v>
      </c>
    </row>
    <row r="91" spans="1:22">
      <c r="A91" s="75">
        <v>80</v>
      </c>
      <c r="B91" s="149" t="s">
        <v>241</v>
      </c>
      <c r="C91" s="149" t="s">
        <v>242</v>
      </c>
      <c r="D91" s="2">
        <v>84853546.269999996</v>
      </c>
      <c r="E91" s="3">
        <f t="shared" si="31"/>
        <v>3.2979533712754395E-4</v>
      </c>
      <c r="F91" s="2">
        <v>104.34314623726978</v>
      </c>
      <c r="G91" s="2">
        <v>104.34314623726978</v>
      </c>
      <c r="H91" s="60">
        <v>61</v>
      </c>
      <c r="I91" s="5">
        <v>1.5201424714244524E-3</v>
      </c>
      <c r="J91" s="5">
        <v>2.7009579201269451E-2</v>
      </c>
      <c r="K91" s="2">
        <v>84986428.75</v>
      </c>
      <c r="L91" s="3">
        <f t="shared" si="32"/>
        <v>3.4429902255692768E-4</v>
      </c>
      <c r="M91" s="2">
        <v>104.50654985034792</v>
      </c>
      <c r="N91" s="2">
        <v>104.50654985034792</v>
      </c>
      <c r="O91" s="60">
        <v>59</v>
      </c>
      <c r="P91" s="5">
        <v>1.5660215258084681E-3</v>
      </c>
      <c r="Q91" s="5">
        <v>2.8617898309510226E-2</v>
      </c>
      <c r="R91" s="80">
        <f>((K91-D91)/D91)</f>
        <v>1.5660215258084603E-3</v>
      </c>
      <c r="S91" s="80">
        <f>((N91-G91)/G91)</f>
        <v>1.5660215258084681E-3</v>
      </c>
      <c r="T91" s="80">
        <f>((O91-H91)/H91)</f>
        <v>-3.2786885245901641E-2</v>
      </c>
      <c r="U91" s="81">
        <f>P91-I91</f>
        <v>4.5879054384015709E-5</v>
      </c>
      <c r="V91" s="83">
        <f>Q91-J91</f>
        <v>1.6083191082407744E-3</v>
      </c>
    </row>
    <row r="92" spans="1:22">
      <c r="A92" s="75">
        <v>81</v>
      </c>
      <c r="B92" s="149" t="s">
        <v>262</v>
      </c>
      <c r="C92" s="150" t="s">
        <v>261</v>
      </c>
      <c r="D92" s="2">
        <v>238934352.62</v>
      </c>
      <c r="E92" s="3">
        <f t="shared" si="31"/>
        <v>9.2865223479202932E-4</v>
      </c>
      <c r="F92" s="2">
        <v>1</v>
      </c>
      <c r="G92" s="2">
        <v>1</v>
      </c>
      <c r="H92" s="60">
        <v>200</v>
      </c>
      <c r="I92" s="5">
        <v>4.4000000000000003E-3</v>
      </c>
      <c r="J92" s="5">
        <v>-4.3400000000000001E-2</v>
      </c>
      <c r="K92" s="2">
        <v>240507825.5</v>
      </c>
      <c r="L92" s="3">
        <f t="shared" si="32"/>
        <v>9.7435096938276896E-4</v>
      </c>
      <c r="M92" s="2">
        <v>1</v>
      </c>
      <c r="N92" s="2">
        <v>1</v>
      </c>
      <c r="O92" s="60">
        <v>215</v>
      </c>
      <c r="P92" s="5">
        <v>4.4000000000000003E-3</v>
      </c>
      <c r="Q92" s="5">
        <v>-3.9300000000000002E-2</v>
      </c>
      <c r="R92" s="80">
        <f>((K92-D92)/D92)</f>
        <v>6.5853773756109424E-3</v>
      </c>
      <c r="S92" s="80">
        <f>((N92-G92)/G92)</f>
        <v>0</v>
      </c>
      <c r="T92" s="80">
        <f>((O92-H92)/H92)</f>
        <v>7.4999999999999997E-2</v>
      </c>
      <c r="U92" s="81">
        <f>P92-I92</f>
        <v>0</v>
      </c>
      <c r="V92" s="83">
        <f>Q92-J92</f>
        <v>4.0999999999999995E-3</v>
      </c>
    </row>
    <row r="93" spans="1:22">
      <c r="A93" s="75">
        <v>82</v>
      </c>
      <c r="B93" s="149" t="s">
        <v>127</v>
      </c>
      <c r="C93" s="150" t="s">
        <v>91</v>
      </c>
      <c r="D93" s="2">
        <v>2557208582.0599999</v>
      </c>
      <c r="E93" s="3">
        <f t="shared" si="31"/>
        <v>9.9389536854760183E-3</v>
      </c>
      <c r="F93" s="14">
        <v>26.1494</v>
      </c>
      <c r="G93" s="14">
        <v>26.1494</v>
      </c>
      <c r="H93" s="60">
        <v>1316</v>
      </c>
      <c r="I93" s="5">
        <v>0</v>
      </c>
      <c r="J93" s="5">
        <v>0.1084</v>
      </c>
      <c r="K93" s="2">
        <v>2549131992.25</v>
      </c>
      <c r="L93" s="3">
        <f t="shared" si="32"/>
        <v>1.0327103588292251E-2</v>
      </c>
      <c r="M93" s="14">
        <v>26.191400000000002</v>
      </c>
      <c r="N93" s="14">
        <v>26.191400000000002</v>
      </c>
      <c r="O93" s="60">
        <v>1315</v>
      </c>
      <c r="P93" s="5">
        <v>0</v>
      </c>
      <c r="Q93" s="5">
        <v>9.2799999999999994E-2</v>
      </c>
      <c r="R93" s="80">
        <f t="shared" si="20"/>
        <v>-3.1583617647230472E-3</v>
      </c>
      <c r="S93" s="80">
        <f t="shared" si="21"/>
        <v>1.6061553993591284E-3</v>
      </c>
      <c r="T93" s="80">
        <f t="shared" si="22"/>
        <v>-7.5987841945288754E-4</v>
      </c>
      <c r="U93" s="81">
        <f t="shared" si="23"/>
        <v>0</v>
      </c>
      <c r="V93" s="83">
        <f t="shared" si="24"/>
        <v>-1.5600000000000003E-2</v>
      </c>
    </row>
    <row r="94" spans="1:22">
      <c r="A94" s="75"/>
      <c r="B94" s="19"/>
      <c r="C94" s="71" t="s">
        <v>46</v>
      </c>
      <c r="D94" s="59">
        <f>SUM(D60:D93)</f>
        <v>257291528161.24875</v>
      </c>
      <c r="E94" s="100">
        <f>(D94/$D$189)</f>
        <v>9.4173688082385409E-2</v>
      </c>
      <c r="F94" s="30"/>
      <c r="G94" s="11"/>
      <c r="H94" s="65">
        <f>SUM(H60:H93)</f>
        <v>49985</v>
      </c>
      <c r="I94" s="12"/>
      <c r="J94" s="12"/>
      <c r="K94" s="59">
        <f>SUM(K60:K93)</f>
        <v>246839006741.43805</v>
      </c>
      <c r="L94" s="100">
        <f>(K94/$K$189)</f>
        <v>8.7987731363359911E-2</v>
      </c>
      <c r="M94" s="30"/>
      <c r="N94" s="11"/>
      <c r="O94" s="65">
        <f>SUM(O60:O93)</f>
        <v>49978</v>
      </c>
      <c r="P94" s="12"/>
      <c r="Q94" s="12"/>
      <c r="R94" s="80">
        <f t="shared" si="20"/>
        <v>-4.0625206335048604E-2</v>
      </c>
      <c r="S94" s="80" t="e">
        <f t="shared" si="21"/>
        <v>#DIV/0!</v>
      </c>
      <c r="T94" s="80">
        <f t="shared" si="22"/>
        <v>-1.4004201260378114E-4</v>
      </c>
      <c r="U94" s="81">
        <f t="shared" si="23"/>
        <v>0</v>
      </c>
      <c r="V94" s="83">
        <f t="shared" si="24"/>
        <v>0</v>
      </c>
    </row>
    <row r="95" spans="1:22" ht="8.25" customHeight="1">
      <c r="A95" s="155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</row>
    <row r="96" spans="1:22" ht="15" customHeight="1">
      <c r="A96" s="162" t="s">
        <v>128</v>
      </c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</row>
    <row r="97" spans="1:28">
      <c r="A97" s="166" t="s">
        <v>230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Z97" s="114"/>
      <c r="AB97" s="103"/>
    </row>
    <row r="98" spans="1:28" ht="16.5" customHeight="1">
      <c r="A98" s="75">
        <v>83</v>
      </c>
      <c r="B98" s="149" t="s">
        <v>129</v>
      </c>
      <c r="C98" s="150" t="s">
        <v>17</v>
      </c>
      <c r="D98" s="2">
        <v>2495021870.6199999</v>
      </c>
      <c r="E98" s="3">
        <f>(D98/$D$126)</f>
        <v>1.918537944433458E-3</v>
      </c>
      <c r="F98" s="2">
        <f>109.9077*1382.565</f>
        <v>151954.53925050001</v>
      </c>
      <c r="G98" s="2">
        <f>109.9077*1382.565</f>
        <v>151954.53925050001</v>
      </c>
      <c r="H98" s="60">
        <v>238</v>
      </c>
      <c r="I98" s="5">
        <v>1E-3</v>
      </c>
      <c r="J98" s="5">
        <v>1.9800000000000002E-2</v>
      </c>
      <c r="K98" s="2">
        <v>2616514862.1100001</v>
      </c>
      <c r="L98" s="3">
        <f t="shared" ref="L98:L111" si="33">(K98/$K$126)</f>
        <v>1.9142117207399064E-3</v>
      </c>
      <c r="M98" s="2">
        <f>110.0257*1457.514</f>
        <v>160363.99810979998</v>
      </c>
      <c r="N98" s="2">
        <f>110.0257*1457.514</f>
        <v>160363.99810979998</v>
      </c>
      <c r="O98" s="60">
        <v>238</v>
      </c>
      <c r="P98" s="5">
        <v>1.1000000000000001E-3</v>
      </c>
      <c r="Q98" s="5">
        <v>2.0899999999999998E-2</v>
      </c>
      <c r="R98" s="81">
        <f>((K98-D98)/D98)</f>
        <v>4.8694158925272214E-2</v>
      </c>
      <c r="S98" s="81">
        <f>((N98-G98)/G98)</f>
        <v>5.5341939114018981E-2</v>
      </c>
      <c r="T98" s="81">
        <f>((O98-H98)/H98)</f>
        <v>0</v>
      </c>
      <c r="U98" s="81">
        <f>P98-I98</f>
        <v>1.0000000000000005E-4</v>
      </c>
      <c r="V98" s="83">
        <f>Q98-J98</f>
        <v>1.0999999999999968E-3</v>
      </c>
      <c r="X98" s="114"/>
      <c r="Y98" s="116"/>
      <c r="Z98" s="114"/>
      <c r="AA98" s="104"/>
    </row>
    <row r="99" spans="1:28" ht="16.5" customHeight="1">
      <c r="A99" s="75">
        <v>84</v>
      </c>
      <c r="B99" s="149" t="s">
        <v>273</v>
      </c>
      <c r="C99" s="150" t="s">
        <v>50</v>
      </c>
      <c r="D99" s="2">
        <v>0</v>
      </c>
      <c r="E99" s="3">
        <f>(D99/$D$126)</f>
        <v>0</v>
      </c>
      <c r="F99" s="2">
        <v>0</v>
      </c>
      <c r="G99" s="2">
        <v>0</v>
      </c>
      <c r="H99" s="60">
        <v>0</v>
      </c>
      <c r="I99" s="5">
        <v>0</v>
      </c>
      <c r="J99" s="5">
        <v>0</v>
      </c>
      <c r="K99" s="2">
        <f>1339754.49*1457.514</f>
        <v>1952710925.73786</v>
      </c>
      <c r="L99" s="3">
        <f t="shared" si="33"/>
        <v>1.4285805119600885E-3</v>
      </c>
      <c r="M99" s="2">
        <f>100*1457.514</f>
        <v>145751.4</v>
      </c>
      <c r="N99" s="2">
        <f>100*1457.514</f>
        <v>145751.4</v>
      </c>
      <c r="O99" s="60">
        <v>11</v>
      </c>
      <c r="P99" s="5">
        <v>2.1489999999999999E-2</v>
      </c>
      <c r="Q99" s="5">
        <v>6.2488000000000002E-2</v>
      </c>
      <c r="R99" s="81" t="e">
        <f>((K99-D99)/D99)</f>
        <v>#DIV/0!</v>
      </c>
      <c r="S99" s="81" t="e">
        <f>((N99-G99)/G99)</f>
        <v>#DIV/0!</v>
      </c>
      <c r="T99" s="81" t="e">
        <f>((O99-H99)/H99)</f>
        <v>#DIV/0!</v>
      </c>
      <c r="U99" s="81">
        <f>P99-I99</f>
        <v>2.1489999999999999E-2</v>
      </c>
      <c r="V99" s="83">
        <f>Q99-J99</f>
        <v>6.2488000000000002E-2</v>
      </c>
      <c r="X99" s="114"/>
      <c r="Y99" s="116"/>
      <c r="Z99" s="114"/>
      <c r="AA99" s="104"/>
    </row>
    <row r="100" spans="1:28">
      <c r="A100" s="75">
        <v>85</v>
      </c>
      <c r="B100" s="149" t="s">
        <v>130</v>
      </c>
      <c r="C100" s="150" t="s">
        <v>21</v>
      </c>
      <c r="D100" s="2">
        <f>10981986.44*1382.57</f>
        <v>15183364992.350798</v>
      </c>
      <c r="E100" s="3">
        <f>(D100/$D$126)</f>
        <v>1.1675192993305909E-2</v>
      </c>
      <c r="F100" s="2">
        <f>1.1206*1382.57</f>
        <v>1549.3079419999999</v>
      </c>
      <c r="G100" s="2">
        <f>1.1206*1382.57</f>
        <v>1549.3079419999999</v>
      </c>
      <c r="H100" s="60">
        <v>298</v>
      </c>
      <c r="I100" s="5">
        <v>6.0699999999999997E-2</v>
      </c>
      <c r="J100" s="5">
        <v>-0.13880000000000001</v>
      </c>
      <c r="K100" s="2">
        <f>11026690.47*1457.01</f>
        <v>16065998281.6947</v>
      </c>
      <c r="L100" s="3">
        <f t="shared" si="33"/>
        <v>1.1753696744304709E-2</v>
      </c>
      <c r="M100" s="2">
        <f>1.1219*1457.01</f>
        <v>1634.6195189999999</v>
      </c>
      <c r="N100" s="2">
        <f>1.1219*1457.01</f>
        <v>1634.6195189999999</v>
      </c>
      <c r="O100" s="60">
        <v>298</v>
      </c>
      <c r="P100" s="5">
        <v>6.0699999999999997E-2</v>
      </c>
      <c r="Q100" s="5">
        <v>-0.1283</v>
      </c>
      <c r="R100" s="81">
        <f t="shared" ref="R100:R111" si="34">((K100-D100)/D100)</f>
        <v>5.8131599272530358E-2</v>
      </c>
      <c r="S100" s="81">
        <f t="shared" ref="S100:S111" si="35">((N100-G100)/G100)</f>
        <v>5.5064312708467317E-2</v>
      </c>
      <c r="T100" s="81">
        <f t="shared" ref="T100:T111" si="36">((O100-H100)/H100)</f>
        <v>0</v>
      </c>
      <c r="U100" s="81">
        <f t="shared" ref="U100:U111" si="37">P100-I100</f>
        <v>0</v>
      </c>
      <c r="V100" s="83">
        <f t="shared" ref="V100:V111" si="38">Q100-J100</f>
        <v>1.0500000000000009E-2</v>
      </c>
    </row>
    <row r="101" spans="1:28">
      <c r="A101" s="75">
        <v>86</v>
      </c>
      <c r="B101" s="149" t="s">
        <v>267</v>
      </c>
      <c r="C101" s="150" t="s">
        <v>99</v>
      </c>
      <c r="D101" s="2">
        <f>1499689.75*1383.065</f>
        <v>2074168404.08375</v>
      </c>
      <c r="E101" s="3">
        <f>(D101/$D$126)</f>
        <v>1.594924210179693E-3</v>
      </c>
      <c r="F101" s="2">
        <f>1.0128*1383.065</f>
        <v>1400.7682319999999</v>
      </c>
      <c r="G101" s="2">
        <f>1.0128*1383.065</f>
        <v>1400.7682319999999</v>
      </c>
      <c r="H101" s="60">
        <v>204</v>
      </c>
      <c r="I101" s="5">
        <v>1.6999999999999999E-3</v>
      </c>
      <c r="J101" s="5">
        <v>1.2800000000000001E-2</v>
      </c>
      <c r="K101" s="2">
        <f>1506563.86*1457.514</f>
        <v>2195837917.8440399</v>
      </c>
      <c r="L101" s="3">
        <f t="shared" si="33"/>
        <v>1.6064493804528075E-3</v>
      </c>
      <c r="M101" s="2">
        <f>1.0142*1457.514</f>
        <v>1478.2106987999998</v>
      </c>
      <c r="N101" s="2">
        <f>1.0142*1457.514</f>
        <v>1478.2106987999998</v>
      </c>
      <c r="O101" s="60">
        <v>205</v>
      </c>
      <c r="P101" s="5">
        <v>1.4E-3</v>
      </c>
      <c r="Q101" s="5">
        <v>1.4200000000000001E-2</v>
      </c>
      <c r="R101" s="81">
        <f t="shared" ref="R101" si="39">((K101-D101)/D101)</f>
        <v>5.8659419129487994E-2</v>
      </c>
      <c r="S101" s="81">
        <f t="shared" ref="S101" si="40">((N101-G101)/G101)</f>
        <v>5.5285710391524585E-2</v>
      </c>
      <c r="T101" s="81">
        <f t="shared" ref="T101" si="41">((O101-H101)/H101)</f>
        <v>4.9019607843137254E-3</v>
      </c>
      <c r="U101" s="81">
        <f t="shared" ref="U101" si="42">P101-I101</f>
        <v>-2.9999999999999992E-4</v>
      </c>
      <c r="V101" s="83">
        <f t="shared" ref="V101" si="43">Q101-J101</f>
        <v>1.4000000000000002E-3</v>
      </c>
    </row>
    <row r="102" spans="1:28">
      <c r="A102" s="75">
        <v>87</v>
      </c>
      <c r="B102" s="149" t="s">
        <v>243</v>
      </c>
      <c r="C102" s="150" t="s">
        <v>25</v>
      </c>
      <c r="D102" s="2">
        <f>376775.68*1383.065</f>
        <v>521105255.8592</v>
      </c>
      <c r="E102" s="3">
        <v>0</v>
      </c>
      <c r="F102" s="2">
        <f>1.1351*1383.065</f>
        <v>1569.9170815</v>
      </c>
      <c r="G102" s="2">
        <f>1.1351*1383.065</f>
        <v>1569.9170815</v>
      </c>
      <c r="H102" s="60">
        <v>30</v>
      </c>
      <c r="I102" s="5">
        <v>2.6400000000000002E-4</v>
      </c>
      <c r="J102" s="5">
        <v>0.11509999999999999</v>
      </c>
      <c r="K102" s="2">
        <f>368800*1457.514</f>
        <v>537531163.19999993</v>
      </c>
      <c r="L102" s="3">
        <f t="shared" si="33"/>
        <v>3.9325152238219453E-4</v>
      </c>
      <c r="M102" s="2">
        <f>1.138*1457.514</f>
        <v>1658.6509319999998</v>
      </c>
      <c r="N102" s="2">
        <f>1.138*1457.514</f>
        <v>1658.6509319999998</v>
      </c>
      <c r="O102" s="60">
        <v>30</v>
      </c>
      <c r="P102" s="5">
        <v>5.2400000000000005E-4</v>
      </c>
      <c r="Q102" s="5">
        <v>0.1108</v>
      </c>
      <c r="R102" s="81">
        <f>((K102-D102)/D102)</f>
        <v>3.1521285107203229E-2</v>
      </c>
      <c r="S102" s="81">
        <f>((N102-G102)/G102)</f>
        <v>5.6521361252543187E-2</v>
      </c>
      <c r="T102" s="81">
        <f>((O102-H102)/H102)</f>
        <v>0</v>
      </c>
      <c r="U102" s="81">
        <f>P102-I102</f>
        <v>2.6000000000000003E-4</v>
      </c>
      <c r="V102" s="83">
        <f t="shared" si="38"/>
        <v>-4.2999999999999983E-3</v>
      </c>
    </row>
    <row r="103" spans="1:28">
      <c r="A103" s="75">
        <v>88</v>
      </c>
      <c r="B103" s="149" t="s">
        <v>139</v>
      </c>
      <c r="C103" s="150" t="s">
        <v>64</v>
      </c>
      <c r="D103" s="2">
        <f>417454.39*1383.065</f>
        <v>577366555.90535009</v>
      </c>
      <c r="E103" s="3">
        <f t="shared" ref="E103:E111" si="44">(D103/$D$126)</f>
        <v>4.439639020382687E-4</v>
      </c>
      <c r="F103" s="2">
        <f>105.02*1383.065</f>
        <v>145249.48629999999</v>
      </c>
      <c r="G103" s="2">
        <f>106.54*1383.065</f>
        <v>147351.7451</v>
      </c>
      <c r="H103" s="60">
        <v>43</v>
      </c>
      <c r="I103" s="5">
        <v>1.1000000000000001E-3</v>
      </c>
      <c r="J103" s="5">
        <v>2.7199999999999998E-2</v>
      </c>
      <c r="K103" s="2">
        <f>424143.04*1457.514</f>
        <v>618194418.80255997</v>
      </c>
      <c r="L103" s="3">
        <f t="shared" si="33"/>
        <v>4.5226381829667039E-4</v>
      </c>
      <c r="M103" s="2">
        <f>105.2*1457.514</f>
        <v>153330.47279999999</v>
      </c>
      <c r="N103" s="2">
        <f>106.72*1457.514</f>
        <v>155545.89408</v>
      </c>
      <c r="O103" s="60">
        <v>43</v>
      </c>
      <c r="P103" s="5">
        <v>1E-3</v>
      </c>
      <c r="Q103" s="5">
        <v>2.8899999999999999E-2</v>
      </c>
      <c r="R103" s="81">
        <f>((K103-D103)/D103)</f>
        <v>7.0713938103305993E-2</v>
      </c>
      <c r="S103" s="81">
        <f>((N103-G103)/G103)</f>
        <v>5.5609446460502067E-2</v>
      </c>
      <c r="T103" s="81">
        <f>((O103-H103)/H103)</f>
        <v>0</v>
      </c>
      <c r="U103" s="81">
        <f>P103-I103</f>
        <v>-1.0000000000000005E-4</v>
      </c>
      <c r="V103" s="83">
        <f>Q103-J103</f>
        <v>1.7000000000000001E-3</v>
      </c>
    </row>
    <row r="104" spans="1:28">
      <c r="A104" s="75">
        <v>89</v>
      </c>
      <c r="B104" s="149" t="s">
        <v>131</v>
      </c>
      <c r="C104" s="150" t="s">
        <v>67</v>
      </c>
      <c r="D104" s="2">
        <v>3737170918.9162002</v>
      </c>
      <c r="E104" s="3">
        <f t="shared" si="44"/>
        <v>2.87368391323652E-3</v>
      </c>
      <c r="F104" s="2">
        <v>147070.42967900002</v>
      </c>
      <c r="G104" s="2">
        <v>147070.42967900002</v>
      </c>
      <c r="H104" s="60">
        <v>62</v>
      </c>
      <c r="I104" s="5">
        <v>-4.1962686049745715E-5</v>
      </c>
      <c r="J104" s="5">
        <v>7.7200333485123895E-2</v>
      </c>
      <c r="K104" s="2">
        <v>4064332708.1275201</v>
      </c>
      <c r="L104" s="3">
        <f t="shared" si="33"/>
        <v>2.9734183510849049E-3</v>
      </c>
      <c r="M104" s="2">
        <v>155183.84760239997</v>
      </c>
      <c r="N104" s="2">
        <v>155183.84760239997</v>
      </c>
      <c r="O104" s="60">
        <v>51</v>
      </c>
      <c r="P104" s="5">
        <v>3.2099999999999997E-2</v>
      </c>
      <c r="Q104" s="5">
        <v>8.2199999999999995E-2</v>
      </c>
      <c r="R104" s="81">
        <f t="shared" si="34"/>
        <v>8.7542634872637456E-2</v>
      </c>
      <c r="S104" s="81">
        <f t="shared" si="35"/>
        <v>5.5166888008068758E-2</v>
      </c>
      <c r="T104" s="81">
        <f t="shared" si="36"/>
        <v>-0.17741935483870969</v>
      </c>
      <c r="U104" s="81">
        <f t="shared" si="37"/>
        <v>3.2141962686049741E-2</v>
      </c>
      <c r="V104" s="83">
        <f t="shared" si="38"/>
        <v>4.9996665148760999E-3</v>
      </c>
      <c r="X104" s="108"/>
    </row>
    <row r="105" spans="1:28">
      <c r="A105" s="75">
        <v>90</v>
      </c>
      <c r="B105" s="149" t="s">
        <v>132</v>
      </c>
      <c r="C105" s="150" t="s">
        <v>27</v>
      </c>
      <c r="D105" s="2">
        <v>38626984331.129997</v>
      </c>
      <c r="E105" s="3">
        <f t="shared" si="44"/>
        <v>2.9702078362901983E-2</v>
      </c>
      <c r="F105" s="2">
        <v>172147.18</v>
      </c>
      <c r="G105" s="2">
        <v>172147.18</v>
      </c>
      <c r="H105" s="60">
        <v>2107</v>
      </c>
      <c r="I105" s="5">
        <v>1.4E-3</v>
      </c>
      <c r="J105" s="5">
        <v>2.58E-2</v>
      </c>
      <c r="K105" s="2">
        <v>41824483200.220001</v>
      </c>
      <c r="L105" s="3">
        <f t="shared" si="33"/>
        <v>3.0598303535408933E-2</v>
      </c>
      <c r="M105" s="2">
        <v>186661.26</v>
      </c>
      <c r="N105" s="2">
        <v>186661.26</v>
      </c>
      <c r="O105" s="60">
        <v>2105</v>
      </c>
      <c r="P105" s="5">
        <v>1.4E-3</v>
      </c>
      <c r="Q105" s="5">
        <v>2.7300000000000001E-2</v>
      </c>
      <c r="R105" s="81">
        <f t="shared" si="34"/>
        <v>8.2778889536895522E-2</v>
      </c>
      <c r="S105" s="81">
        <f t="shared" si="35"/>
        <v>8.4312040429590632E-2</v>
      </c>
      <c r="T105" s="81">
        <f t="shared" si="36"/>
        <v>-9.4921689606074992E-4</v>
      </c>
      <c r="U105" s="81">
        <f t="shared" si="37"/>
        <v>0</v>
      </c>
      <c r="V105" s="83">
        <f t="shared" si="38"/>
        <v>1.5000000000000013E-3</v>
      </c>
    </row>
    <row r="106" spans="1:28">
      <c r="A106" s="75">
        <v>91</v>
      </c>
      <c r="B106" s="153" t="s">
        <v>133</v>
      </c>
      <c r="C106" s="153" t="s">
        <v>27</v>
      </c>
      <c r="D106" s="2">
        <v>64543457889.43</v>
      </c>
      <c r="E106" s="3">
        <f t="shared" si="44"/>
        <v>4.9630455942674206E-2</v>
      </c>
      <c r="F106" s="2">
        <v>156343.54</v>
      </c>
      <c r="G106" s="2">
        <v>156343.54</v>
      </c>
      <c r="H106" s="60">
        <v>381</v>
      </c>
      <c r="I106" s="5">
        <v>1.6000000000000001E-3</v>
      </c>
      <c r="J106" s="5">
        <v>3.1899999999999998E-2</v>
      </c>
      <c r="K106" s="2">
        <v>71194582504.259995</v>
      </c>
      <c r="L106" s="3">
        <f t="shared" si="33"/>
        <v>5.2085125239051434E-2</v>
      </c>
      <c r="M106" s="2">
        <v>169637.4</v>
      </c>
      <c r="N106" s="2">
        <v>169637.4</v>
      </c>
      <c r="O106" s="60">
        <v>383</v>
      </c>
      <c r="P106" s="5">
        <v>2.0999999999999999E-3</v>
      </c>
      <c r="Q106" s="5">
        <v>3.4099999999999998E-2</v>
      </c>
      <c r="R106" s="81">
        <f t="shared" si="34"/>
        <v>0.10304878034616766</v>
      </c>
      <c r="S106" s="81">
        <f t="shared" si="35"/>
        <v>8.5029800399811756E-2</v>
      </c>
      <c r="T106" s="81">
        <f t="shared" si="36"/>
        <v>5.2493438320209973E-3</v>
      </c>
      <c r="U106" s="81">
        <f t="shared" si="37"/>
        <v>4.9999999999999979E-4</v>
      </c>
      <c r="V106" s="83">
        <f t="shared" si="38"/>
        <v>2.2000000000000006E-3</v>
      </c>
    </row>
    <row r="107" spans="1:28">
      <c r="A107" s="75">
        <v>92</v>
      </c>
      <c r="B107" s="149" t="s">
        <v>134</v>
      </c>
      <c r="C107" s="150" t="s">
        <v>31</v>
      </c>
      <c r="D107" s="2">
        <f>95277.81*1383.065</f>
        <v>131775404.28765</v>
      </c>
      <c r="E107" s="3">
        <f t="shared" si="44"/>
        <v>1.0132821529379718E-4</v>
      </c>
      <c r="F107" s="2">
        <f>110.225*1383.065</f>
        <v>152448.33962499999</v>
      </c>
      <c r="G107" s="2">
        <f>110.225*1383.065</f>
        <v>152448.33962499999</v>
      </c>
      <c r="H107" s="60">
        <v>4</v>
      </c>
      <c r="I107" s="5">
        <v>-7.5600000000000001E-2</v>
      </c>
      <c r="J107" s="5">
        <v>-3.8100000000000002E-2</v>
      </c>
      <c r="K107" s="2">
        <f>95498.12*1457.514</f>
        <v>139189846.87368</v>
      </c>
      <c r="L107" s="3">
        <f t="shared" si="33"/>
        <v>1.0182966668827956E-4</v>
      </c>
      <c r="M107" s="2">
        <f>110.48*1457.514</f>
        <v>161026.14671999999</v>
      </c>
      <c r="N107" s="2">
        <f>110.48*1457.514</f>
        <v>161026.14671999999</v>
      </c>
      <c r="O107" s="60">
        <v>4</v>
      </c>
      <c r="P107" s="5">
        <v>2.3E-3</v>
      </c>
      <c r="Q107" s="5">
        <v>-3.5900000000000001E-2</v>
      </c>
      <c r="R107" s="81">
        <f t="shared" si="34"/>
        <v>5.6265754797800861E-2</v>
      </c>
      <c r="S107" s="81">
        <f t="shared" si="35"/>
        <v>5.6266976184195336E-2</v>
      </c>
      <c r="T107" s="81">
        <f t="shared" si="36"/>
        <v>0</v>
      </c>
      <c r="U107" s="81">
        <f t="shared" si="37"/>
        <v>7.7899999999999997E-2</v>
      </c>
      <c r="V107" s="83">
        <f t="shared" si="38"/>
        <v>2.2000000000000006E-3</v>
      </c>
    </row>
    <row r="108" spans="1:28">
      <c r="A108" s="75">
        <v>93</v>
      </c>
      <c r="B108" s="149" t="s">
        <v>135</v>
      </c>
      <c r="C108" s="150" t="s">
        <v>34</v>
      </c>
      <c r="D108" s="2">
        <f>10691512.66*1383.065</f>
        <v>14787056957.102901</v>
      </c>
      <c r="E108" s="3">
        <f t="shared" si="44"/>
        <v>1.1370453378691621E-2</v>
      </c>
      <c r="F108" s="2">
        <f>1.34*1383.065</f>
        <v>1853.3071000000002</v>
      </c>
      <c r="G108" s="2">
        <f>1.34*1383.065</f>
        <v>1853.3071000000002</v>
      </c>
      <c r="H108" s="61">
        <v>116</v>
      </c>
      <c r="I108" s="12">
        <v>0</v>
      </c>
      <c r="J108" s="12">
        <v>4.3299999999999998E-2</v>
      </c>
      <c r="K108" s="2">
        <f>10882624.06*1457.514</f>
        <v>15861576924.18684</v>
      </c>
      <c r="L108" s="3">
        <f t="shared" si="33"/>
        <v>1.1604144466128251E-2</v>
      </c>
      <c r="M108" s="2">
        <f>1.34*1457.514</f>
        <v>1953.0687599999999</v>
      </c>
      <c r="N108" s="2">
        <f>1.34*1457.514</f>
        <v>1953.0687599999999</v>
      </c>
      <c r="O108" s="61">
        <v>116</v>
      </c>
      <c r="P108" s="12">
        <v>-8.9999999999999998E-4</v>
      </c>
      <c r="Q108" s="12">
        <v>4.1000000000000002E-2</v>
      </c>
      <c r="R108" s="81">
        <f t="shared" si="34"/>
        <v>7.2666249288219409E-2</v>
      </c>
      <c r="S108" s="81">
        <f t="shared" si="35"/>
        <v>5.3828995744957572E-2</v>
      </c>
      <c r="T108" s="81">
        <f t="shared" si="36"/>
        <v>0</v>
      </c>
      <c r="U108" s="81">
        <f t="shared" si="37"/>
        <v>-8.9999999999999998E-4</v>
      </c>
      <c r="V108" s="83">
        <f t="shared" si="38"/>
        <v>-2.2999999999999965E-3</v>
      </c>
    </row>
    <row r="109" spans="1:28">
      <c r="A109" s="75">
        <v>94</v>
      </c>
      <c r="B109" s="149" t="s">
        <v>136</v>
      </c>
      <c r="C109" s="150" t="s">
        <v>78</v>
      </c>
      <c r="D109" s="2">
        <f>10675641.45*1383.065</f>
        <v>14765106042.04425</v>
      </c>
      <c r="E109" s="3">
        <f t="shared" si="44"/>
        <v>1.1353574302820196E-2</v>
      </c>
      <c r="F109" s="2">
        <f>103.59*1383.065</f>
        <v>143271.70335</v>
      </c>
      <c r="G109" s="2">
        <f>103.59*1383.065</f>
        <v>143271.70335</v>
      </c>
      <c r="H109" s="60">
        <v>317</v>
      </c>
      <c r="I109" s="5">
        <v>1.8E-3</v>
      </c>
      <c r="J109" s="5">
        <v>3.4500000000000003E-2</v>
      </c>
      <c r="K109" s="2">
        <f>10724122.57*1457.514</f>
        <v>15630558783.49098</v>
      </c>
      <c r="L109" s="3">
        <f t="shared" si="33"/>
        <v>1.1435134291935338E-2</v>
      </c>
      <c r="M109" s="2">
        <f>103.78*1457.514</f>
        <v>151260.80291999999</v>
      </c>
      <c r="N109" s="2">
        <f>103.78*1457.514</f>
        <v>151260.80291999999</v>
      </c>
      <c r="O109" s="60">
        <v>320</v>
      </c>
      <c r="P109" s="5">
        <v>1.8E-3</v>
      </c>
      <c r="Q109" s="5">
        <v>3.6299999999999999E-2</v>
      </c>
      <c r="R109" s="81">
        <f t="shared" si="34"/>
        <v>5.8614732531030743E-2</v>
      </c>
      <c r="S109" s="81">
        <f t="shared" si="35"/>
        <v>5.5761880281993532E-2</v>
      </c>
      <c r="T109" s="81">
        <f t="shared" si="36"/>
        <v>9.4637223974763408E-3</v>
      </c>
      <c r="U109" s="81">
        <f t="shared" si="37"/>
        <v>0</v>
      </c>
      <c r="V109" s="83">
        <f t="shared" si="38"/>
        <v>1.799999999999996E-3</v>
      </c>
    </row>
    <row r="110" spans="1:28">
      <c r="A110" s="75">
        <v>95</v>
      </c>
      <c r="B110" s="149" t="s">
        <v>137</v>
      </c>
      <c r="C110" s="150" t="s">
        <v>38</v>
      </c>
      <c r="D110" s="2">
        <f>1891406.38*1383.065</f>
        <v>2615937964.9547</v>
      </c>
      <c r="E110" s="3">
        <f t="shared" si="44"/>
        <v>2.0115159330457064E-3</v>
      </c>
      <c r="F110" s="2">
        <f>134.14*1383.065</f>
        <v>185524.33909999998</v>
      </c>
      <c r="G110" s="2">
        <f>137.48*1383.065</f>
        <v>190143.77619999999</v>
      </c>
      <c r="H110" s="60">
        <v>48</v>
      </c>
      <c r="I110" s="5">
        <v>0.19420000000000001</v>
      </c>
      <c r="J110" s="5">
        <v>1.7100000000000001E-2</v>
      </c>
      <c r="K110" s="2">
        <f>1894593.52*1457.514</f>
        <v>2761396579.70928</v>
      </c>
      <c r="L110" s="3">
        <f t="shared" si="33"/>
        <v>2.0202054935885053E-3</v>
      </c>
      <c r="M110" s="2">
        <f>134.36*1457.514</f>
        <v>195831.58104000002</v>
      </c>
      <c r="N110" s="2">
        <f>137.75*1457.514</f>
        <v>200772.55349999998</v>
      </c>
      <c r="O110" s="60">
        <v>48</v>
      </c>
      <c r="P110" s="5">
        <v>-1.8E-3</v>
      </c>
      <c r="Q110" s="5">
        <v>1.89E-2</v>
      </c>
      <c r="R110" s="81">
        <f t="shared" si="34"/>
        <v>5.5604764601938458E-2</v>
      </c>
      <c r="S110" s="81">
        <f t="shared" si="35"/>
        <v>5.5898633720307837E-2</v>
      </c>
      <c r="T110" s="81">
        <f t="shared" si="36"/>
        <v>0</v>
      </c>
      <c r="U110" s="81">
        <f t="shared" si="37"/>
        <v>-0.19600000000000001</v>
      </c>
      <c r="V110" s="83">
        <f t="shared" si="38"/>
        <v>1.7999999999999995E-3</v>
      </c>
    </row>
    <row r="111" spans="1:28" ht="16.5" customHeight="1">
      <c r="A111" s="75">
        <v>96</v>
      </c>
      <c r="B111" s="149" t="s">
        <v>138</v>
      </c>
      <c r="C111" s="150" t="s">
        <v>45</v>
      </c>
      <c r="D111" s="4">
        <v>210210087368.10999</v>
      </c>
      <c r="E111" s="3">
        <f t="shared" si="44"/>
        <v>0.16164027805422579</v>
      </c>
      <c r="F111" s="2">
        <v>177458.78</v>
      </c>
      <c r="G111" s="2">
        <v>177458.78</v>
      </c>
      <c r="H111" s="60">
        <v>3125</v>
      </c>
      <c r="I111" s="5">
        <v>5.33E-2</v>
      </c>
      <c r="J111" s="5">
        <v>5.3800000000000001E-2</v>
      </c>
      <c r="K111" s="4">
        <v>219487768802.22</v>
      </c>
      <c r="L111" s="3">
        <f t="shared" si="33"/>
        <v>0.16057468875275094</v>
      </c>
      <c r="M111" s="2">
        <v>185758.46</v>
      </c>
      <c r="N111" s="2">
        <v>185758.46</v>
      </c>
      <c r="O111" s="60">
        <v>3131</v>
      </c>
      <c r="P111" s="5">
        <v>5.33E-2</v>
      </c>
      <c r="Q111" s="5">
        <v>5.3800000000000001E-2</v>
      </c>
      <c r="R111" s="81">
        <f t="shared" si="34"/>
        <v>4.4135281756785431E-2</v>
      </c>
      <c r="S111" s="81">
        <f t="shared" si="35"/>
        <v>4.6769621655237306E-2</v>
      </c>
      <c r="T111" s="81">
        <f t="shared" si="36"/>
        <v>1.92E-3</v>
      </c>
      <c r="U111" s="81">
        <f t="shared" si="37"/>
        <v>0</v>
      </c>
      <c r="V111" s="83">
        <f t="shared" si="38"/>
        <v>0</v>
      </c>
    </row>
    <row r="112" spans="1:28" ht="6" customHeight="1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</row>
    <row r="113" spans="1:24">
      <c r="A113" s="166" t="s">
        <v>231</v>
      </c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</row>
    <row r="114" spans="1:24">
      <c r="A114" s="75">
        <v>97</v>
      </c>
      <c r="B114" s="149" t="s">
        <v>140</v>
      </c>
      <c r="C114" s="150" t="s">
        <v>97</v>
      </c>
      <c r="D114" s="4">
        <v>1280772811.4400001</v>
      </c>
      <c r="E114" s="3">
        <f>(D114/$D$126)</f>
        <v>9.8484557024574476E-4</v>
      </c>
      <c r="F114" s="2">
        <v>169757.38</v>
      </c>
      <c r="G114" s="2">
        <v>169757.38</v>
      </c>
      <c r="H114" s="60">
        <v>23</v>
      </c>
      <c r="I114" s="5">
        <v>4.0559999999999997E-3</v>
      </c>
      <c r="J114" s="5">
        <v>5.3699999999999998E-2</v>
      </c>
      <c r="K114" s="4">
        <v>1270866613.8099999</v>
      </c>
      <c r="L114" s="3">
        <f t="shared" ref="L114:L125" si="45">(K114/$K$126)</f>
        <v>9.2975117507659139E-4</v>
      </c>
      <c r="M114" s="2">
        <v>169854.41</v>
      </c>
      <c r="N114" s="2">
        <v>169854.41</v>
      </c>
      <c r="O114" s="60">
        <v>22</v>
      </c>
      <c r="P114" s="5">
        <v>3.0479999999999999E-3</v>
      </c>
      <c r="Q114" s="5">
        <v>5.4199999999999998E-2</v>
      </c>
      <c r="R114" s="81">
        <f>((K114-D114)/D114)</f>
        <v>-7.7345470965005624E-3</v>
      </c>
      <c r="S114" s="81">
        <f>((N114-G114)/G114)</f>
        <v>5.7158045205456655E-4</v>
      </c>
      <c r="T114" s="81">
        <f>((O114-H114)/H114)</f>
        <v>-4.3478260869565216E-2</v>
      </c>
      <c r="U114" s="81">
        <f>P114-I114</f>
        <v>-1.0079999999999998E-3</v>
      </c>
      <c r="V114" s="83">
        <f>Q114-J114</f>
        <v>5.0000000000000044E-4</v>
      </c>
    </row>
    <row r="115" spans="1:24">
      <c r="A115" s="75">
        <v>98</v>
      </c>
      <c r="B115" s="150" t="s">
        <v>141</v>
      </c>
      <c r="C115" s="150" t="s">
        <v>23</v>
      </c>
      <c r="D115" s="2">
        <f>8659794.68*1383.065</f>
        <v>11977058929.0942</v>
      </c>
      <c r="E115" s="3">
        <f>(D115/$D$126)</f>
        <v>9.2097156697358955E-3</v>
      </c>
      <c r="F115" s="4">
        <f>134.22*1383.065</f>
        <v>185634.98430000001</v>
      </c>
      <c r="G115" s="4">
        <f>134.22*1383.065</f>
        <v>185634.98430000001</v>
      </c>
      <c r="H115" s="60">
        <v>422</v>
      </c>
      <c r="I115" s="5">
        <v>5.0000000000000001E-4</v>
      </c>
      <c r="J115" s="5">
        <v>1.9300000000000001E-2</v>
      </c>
      <c r="K115" s="2">
        <f>9450534.81*1457.514</f>
        <v>13774286793.06234</v>
      </c>
      <c r="L115" s="3">
        <f t="shared" si="45"/>
        <v>1.0077107378954512E-2</v>
      </c>
      <c r="M115" s="4">
        <f>134.35*1457.514</f>
        <v>195817.00589999999</v>
      </c>
      <c r="N115" s="4">
        <f>134.35*1457.514</f>
        <v>195817.00589999999</v>
      </c>
      <c r="O115" s="60">
        <v>423</v>
      </c>
      <c r="P115" s="5">
        <v>5.0000000000000001E-4</v>
      </c>
      <c r="Q115" s="5">
        <v>2.0400000000000001E-2</v>
      </c>
      <c r="R115" s="81">
        <f t="shared" ref="R115:R126" si="46">((K115-D115)/D115)</f>
        <v>0.15005585883879927</v>
      </c>
      <c r="S115" s="81">
        <f t="shared" ref="S115:S126" si="47">((N115-G115)/G115)</f>
        <v>5.4849691389770965E-2</v>
      </c>
      <c r="T115" s="81">
        <f t="shared" ref="T115:T126" si="48">((O115-H115)/H115)</f>
        <v>2.3696682464454978E-3</v>
      </c>
      <c r="U115" s="81">
        <f t="shared" ref="U115:U126" si="49">P115-I115</f>
        <v>0</v>
      </c>
      <c r="V115" s="83">
        <f t="shared" ref="V115:V126" si="50">Q115-J115</f>
        <v>1.1000000000000003E-3</v>
      </c>
    </row>
    <row r="116" spans="1:24">
      <c r="A116" s="75">
        <v>99</v>
      </c>
      <c r="B116" s="149" t="s">
        <v>142</v>
      </c>
      <c r="C116" s="150" t="s">
        <v>58</v>
      </c>
      <c r="D116" s="4">
        <v>12972253512</v>
      </c>
      <c r="E116" s="3">
        <f t="shared" ref="E116:E125" si="51">(D116/$D$126)</f>
        <v>9.9749669053593136E-3</v>
      </c>
      <c r="F116" s="4">
        <v>133800</v>
      </c>
      <c r="G116" s="4">
        <v>133800</v>
      </c>
      <c r="H116" s="60">
        <v>601</v>
      </c>
      <c r="I116" s="5">
        <v>2.7000000000000001E-3</v>
      </c>
      <c r="J116" s="5">
        <v>6.4199999999999993E-2</v>
      </c>
      <c r="K116" s="4">
        <v>12989575920</v>
      </c>
      <c r="L116" s="3">
        <f t="shared" si="45"/>
        <v>9.5030220670917487E-3</v>
      </c>
      <c r="M116" s="4">
        <v>133968</v>
      </c>
      <c r="N116" s="4">
        <v>133968</v>
      </c>
      <c r="O116" s="60">
        <v>602</v>
      </c>
      <c r="P116" s="5">
        <v>1.2999999999999999E-3</v>
      </c>
      <c r="Q116" s="5">
        <v>6.4299999999999996E-2</v>
      </c>
      <c r="R116" s="81">
        <f t="shared" si="46"/>
        <v>1.335343006053334E-3</v>
      </c>
      <c r="S116" s="81">
        <f t="shared" si="47"/>
        <v>1.2556053811659193E-3</v>
      </c>
      <c r="T116" s="81">
        <f t="shared" si="48"/>
        <v>1.6638935108153079E-3</v>
      </c>
      <c r="U116" s="81">
        <f t="shared" si="49"/>
        <v>-1.4000000000000002E-3</v>
      </c>
      <c r="V116" s="83">
        <f t="shared" si="50"/>
        <v>1.0000000000000286E-4</v>
      </c>
    </row>
    <row r="117" spans="1:24">
      <c r="A117" s="75">
        <v>100</v>
      </c>
      <c r="B117" s="149" t="s">
        <v>143</v>
      </c>
      <c r="C117" s="150" t="s">
        <v>56</v>
      </c>
      <c r="D117" s="4">
        <v>5741841638.0285454</v>
      </c>
      <c r="E117" s="3">
        <f t="shared" si="51"/>
        <v>4.4151681326738516E-3</v>
      </c>
      <c r="F117" s="4">
        <v>1706.2298691972046</v>
      </c>
      <c r="G117" s="4">
        <v>1706.2298691972046</v>
      </c>
      <c r="H117" s="60">
        <v>174</v>
      </c>
      <c r="I117" s="5">
        <v>5.1474746480178496E-2</v>
      </c>
      <c r="J117" s="5">
        <v>5.0257101221995309E-2</v>
      </c>
      <c r="K117" s="4">
        <v>5874966303.1145897</v>
      </c>
      <c r="L117" s="3">
        <f t="shared" si="45"/>
        <v>4.2980567468686361E-3</v>
      </c>
      <c r="M117" s="4">
        <v>1773.0010123149295</v>
      </c>
      <c r="N117" s="4">
        <v>1773.0010123149295</v>
      </c>
      <c r="O117" s="60">
        <v>174</v>
      </c>
      <c r="P117" s="5">
        <v>5.5785231365457079E-2</v>
      </c>
      <c r="Q117" s="5">
        <v>5.0603253095277939E-2</v>
      </c>
      <c r="R117" s="81">
        <f t="shared" si="46"/>
        <v>2.3185011617936666E-2</v>
      </c>
      <c r="S117" s="81">
        <f t="shared" si="47"/>
        <v>3.9133732402153593E-2</v>
      </c>
      <c r="T117" s="81">
        <f t="shared" si="48"/>
        <v>0</v>
      </c>
      <c r="U117" s="81">
        <f t="shared" si="49"/>
        <v>4.3104848852785829E-3</v>
      </c>
      <c r="V117" s="83">
        <f t="shared" si="50"/>
        <v>3.4615187328262964E-4</v>
      </c>
    </row>
    <row r="118" spans="1:24" ht="15.75">
      <c r="A118" s="75">
        <v>101</v>
      </c>
      <c r="B118" s="149" t="s">
        <v>253</v>
      </c>
      <c r="C118" s="150" t="s">
        <v>114</v>
      </c>
      <c r="D118" s="4">
        <v>1075016875.51</v>
      </c>
      <c r="E118" s="3">
        <f t="shared" si="51"/>
        <v>8.266302956533697E-4</v>
      </c>
      <c r="F118" s="4">
        <f>1.0615*1383.065</f>
        <v>1468.1234975000002</v>
      </c>
      <c r="G118" s="4">
        <f>1.0615*1383.065</f>
        <v>1468.1234975000002</v>
      </c>
      <c r="H118" s="60">
        <v>36</v>
      </c>
      <c r="I118" s="5">
        <v>4.2299999999999997E-2</v>
      </c>
      <c r="J118" s="5">
        <v>5.1000000000000004E-3</v>
      </c>
      <c r="K118" s="4">
        <v>1335484925.47</v>
      </c>
      <c r="L118" s="3">
        <f t="shared" si="45"/>
        <v>9.7702517735542729E-4</v>
      </c>
      <c r="M118" s="4">
        <f>1.054816*1457.514</f>
        <v>1537.4090874239998</v>
      </c>
      <c r="N118" s="4">
        <f>1.069383*1457.514</f>
        <v>1558.6406938619998</v>
      </c>
      <c r="O118" s="60">
        <v>36</v>
      </c>
      <c r="P118" s="5">
        <v>1.4E-3</v>
      </c>
      <c r="Q118" s="5">
        <v>8.1600000000000006E-2</v>
      </c>
      <c r="R118" s="81">
        <f t="shared" si="46"/>
        <v>0.24229205689113587</v>
      </c>
      <c r="S118" s="81">
        <f t="shared" si="47"/>
        <v>6.1655028692161905E-2</v>
      </c>
      <c r="T118" s="81">
        <f t="shared" si="48"/>
        <v>0</v>
      </c>
      <c r="U118" s="81">
        <f t="shared" si="49"/>
        <v>-4.0899999999999999E-2</v>
      </c>
      <c r="V118" s="83">
        <f t="shared" si="50"/>
        <v>7.6500000000000012E-2</v>
      </c>
      <c r="X118" s="117"/>
    </row>
    <row r="119" spans="1:24" ht="15.75">
      <c r="A119" s="75">
        <v>102</v>
      </c>
      <c r="B119" s="149" t="s">
        <v>259</v>
      </c>
      <c r="C119" s="150" t="s">
        <v>36</v>
      </c>
      <c r="D119" s="2">
        <f>987454.58*1383.065</f>
        <v>1365713868.6877</v>
      </c>
      <c r="E119" s="3">
        <f t="shared" si="51"/>
        <v>1.0501606856316919E-3</v>
      </c>
      <c r="F119" s="4">
        <f>10.25*1383.065</f>
        <v>14176.41625</v>
      </c>
      <c r="G119" s="4">
        <f>10.25*1383.065</f>
        <v>14176.41625</v>
      </c>
      <c r="H119" s="60">
        <v>42</v>
      </c>
      <c r="I119" s="5">
        <v>7.6399999999999996E-2</v>
      </c>
      <c r="J119" s="5">
        <v>8.9300000000000004E-2</v>
      </c>
      <c r="K119" s="2">
        <f>1030762.3*1457.514</f>
        <v>1502350482.9222</v>
      </c>
      <c r="L119" s="3">
        <f t="shared" si="45"/>
        <v>1.0991020707407058E-3</v>
      </c>
      <c r="M119" s="4">
        <f>10.27*1457.514</f>
        <v>14968.668779999998</v>
      </c>
      <c r="N119" s="4">
        <f>10.27*1457.514</f>
        <v>14968.668779999998</v>
      </c>
      <c r="O119" s="60">
        <v>42</v>
      </c>
      <c r="P119" s="5">
        <v>7.6399999999999996E-2</v>
      </c>
      <c r="Q119" s="5">
        <v>9.7000000000000003E-2</v>
      </c>
      <c r="R119" s="81">
        <f t="shared" ref="R119" si="52">((K119-D119)/D119)</f>
        <v>0.10004776063802633</v>
      </c>
      <c r="S119" s="81">
        <f t="shared" ref="S119" si="53">((N119-G119)/G119)</f>
        <v>5.5885247443972164E-2</v>
      </c>
      <c r="T119" s="81">
        <f t="shared" ref="T119" si="54">((O119-H119)/H119)</f>
        <v>0</v>
      </c>
      <c r="U119" s="81">
        <f t="shared" ref="U119" si="55">P119-I119</f>
        <v>0</v>
      </c>
      <c r="V119" s="83">
        <f t="shared" ref="V119" si="56">Q119-J119</f>
        <v>7.6999999999999985E-3</v>
      </c>
      <c r="X119" s="117"/>
    </row>
    <row r="120" spans="1:24" ht="15.75">
      <c r="A120" s="75">
        <v>103</v>
      </c>
      <c r="B120" s="150" t="s">
        <v>144</v>
      </c>
      <c r="C120" s="154" t="s">
        <v>40</v>
      </c>
      <c r="D120" s="4">
        <v>16270230897</v>
      </c>
      <c r="E120" s="3">
        <f t="shared" si="51"/>
        <v>1.2510934556590214E-2</v>
      </c>
      <c r="F120" s="4">
        <f>1.0458*1383.065</f>
        <v>1446.4093770000002</v>
      </c>
      <c r="G120" s="4">
        <f>1.0458*1383.065</f>
        <v>1446.4093770000002</v>
      </c>
      <c r="H120" s="60">
        <v>371</v>
      </c>
      <c r="I120" s="5">
        <v>1.6999999999999999E-3</v>
      </c>
      <c r="J120" s="5">
        <v>8.7099999999999997E-2</v>
      </c>
      <c r="K120" s="4">
        <v>18002723413</v>
      </c>
      <c r="L120" s="3">
        <f t="shared" si="45"/>
        <v>1.3170582235719999E-2</v>
      </c>
      <c r="M120" s="4">
        <f>1.0478*1457.514</f>
        <v>1527.1831692000001</v>
      </c>
      <c r="N120" s="4">
        <f>1.0478*1457.514</f>
        <v>1527.1831692000001</v>
      </c>
      <c r="O120" s="60">
        <v>371</v>
      </c>
      <c r="P120" s="5">
        <v>1.6999999999999999E-3</v>
      </c>
      <c r="Q120" s="5">
        <v>8.7900000000000006E-2</v>
      </c>
      <c r="R120" s="81">
        <f t="shared" si="46"/>
        <v>0.10648235584164002</v>
      </c>
      <c r="S120" s="81">
        <f t="shared" si="47"/>
        <v>5.5844350489162989E-2</v>
      </c>
      <c r="T120" s="81">
        <f t="shared" si="48"/>
        <v>0</v>
      </c>
      <c r="U120" s="81">
        <f t="shared" si="49"/>
        <v>0</v>
      </c>
      <c r="V120" s="83">
        <f t="shared" si="50"/>
        <v>8.0000000000000904E-4</v>
      </c>
      <c r="X120" s="117"/>
    </row>
    <row r="121" spans="1:24">
      <c r="A121" s="75">
        <v>104</v>
      </c>
      <c r="B121" s="149" t="s">
        <v>145</v>
      </c>
      <c r="C121" s="150" t="s">
        <v>80</v>
      </c>
      <c r="D121" s="4">
        <v>341742880.89999998</v>
      </c>
      <c r="E121" s="3">
        <f t="shared" si="51"/>
        <v>2.6278193869448094E-4</v>
      </c>
      <c r="F121" s="4">
        <f>1.05*11361</f>
        <v>11929.050000000001</v>
      </c>
      <c r="G121" s="4">
        <f>1.05*11361</f>
        <v>11929.050000000001</v>
      </c>
      <c r="H121" s="60">
        <v>2</v>
      </c>
      <c r="I121" s="5">
        <v>-1.1000000000000001E-3</v>
      </c>
      <c r="J121" s="5">
        <v>1.0999999999999999E-2</v>
      </c>
      <c r="K121" s="4">
        <v>370651487.20999998</v>
      </c>
      <c r="L121" s="3">
        <f t="shared" si="45"/>
        <v>2.7116430003952004E-4</v>
      </c>
      <c r="M121" s="4">
        <f>1.06*1457.514</f>
        <v>1544.9648399999999</v>
      </c>
      <c r="N121" s="4">
        <f>1.06*1457.514</f>
        <v>1544.9648399999999</v>
      </c>
      <c r="O121" s="60">
        <v>2</v>
      </c>
      <c r="P121" s="5">
        <v>3.777E-3</v>
      </c>
      <c r="Q121" s="5">
        <v>2.5352E-2</v>
      </c>
      <c r="R121" s="81">
        <f t="shared" si="46"/>
        <v>8.4591685520609791E-2</v>
      </c>
      <c r="S121" s="81">
        <f t="shared" si="47"/>
        <v>-0.87048718548417514</v>
      </c>
      <c r="T121" s="81">
        <f t="shared" si="48"/>
        <v>0</v>
      </c>
      <c r="U121" s="81">
        <f t="shared" si="49"/>
        <v>4.8770000000000003E-3</v>
      </c>
      <c r="V121" s="83">
        <f t="shared" si="50"/>
        <v>1.4352E-2</v>
      </c>
    </row>
    <row r="122" spans="1:24">
      <c r="A122" s="75">
        <v>105</v>
      </c>
      <c r="B122" s="149" t="s">
        <v>146</v>
      </c>
      <c r="C122" s="150" t="s">
        <v>42</v>
      </c>
      <c r="D122" s="2">
        <v>783153802755.43994</v>
      </c>
      <c r="E122" s="3">
        <f t="shared" si="51"/>
        <v>0.60220325304815925</v>
      </c>
      <c r="F122" s="4">
        <v>2104.9699999999998</v>
      </c>
      <c r="G122" s="4">
        <v>2104.9699999999998</v>
      </c>
      <c r="H122" s="60">
        <v>7287</v>
      </c>
      <c r="I122" s="5">
        <v>1.4E-3</v>
      </c>
      <c r="J122" s="5">
        <v>2.4899999999999999E-2</v>
      </c>
      <c r="K122" s="2">
        <v>815989352853.05005</v>
      </c>
      <c r="L122" s="3">
        <f t="shared" si="45"/>
        <v>0.5969682824467798</v>
      </c>
      <c r="M122" s="4">
        <v>2188.0700000000002</v>
      </c>
      <c r="N122" s="4">
        <v>2188.0700000000002</v>
      </c>
      <c r="O122" s="60">
        <v>7327</v>
      </c>
      <c r="P122" s="5">
        <v>1.4E-3</v>
      </c>
      <c r="Q122" s="5">
        <v>2.64E-2</v>
      </c>
      <c r="R122" s="81">
        <f t="shared" si="46"/>
        <v>4.192733276922344E-2</v>
      </c>
      <c r="S122" s="81">
        <f t="shared" si="47"/>
        <v>3.9477997311125751E-2</v>
      </c>
      <c r="T122" s="81">
        <f t="shared" si="48"/>
        <v>5.4892273912446827E-3</v>
      </c>
      <c r="U122" s="81">
        <f t="shared" si="49"/>
        <v>0</v>
      </c>
      <c r="V122" s="83">
        <f t="shared" si="50"/>
        <v>1.5000000000000013E-3</v>
      </c>
    </row>
    <row r="123" spans="1:24" ht="16.5" customHeight="1">
      <c r="A123" s="75">
        <v>106</v>
      </c>
      <c r="B123" s="149" t="s">
        <v>147</v>
      </c>
      <c r="C123" s="150" t="s">
        <v>45</v>
      </c>
      <c r="D123" s="2">
        <v>44600674753.419998</v>
      </c>
      <c r="E123" s="3">
        <f t="shared" si="51"/>
        <v>3.4295525770484891E-2</v>
      </c>
      <c r="F123" s="4">
        <v>1560.08</v>
      </c>
      <c r="G123" s="4">
        <v>1560.08</v>
      </c>
      <c r="H123" s="60">
        <v>251</v>
      </c>
      <c r="I123" s="5">
        <v>6.7900000000000002E-2</v>
      </c>
      <c r="J123" s="5">
        <v>7.5800000000000006E-2</v>
      </c>
      <c r="K123" s="2">
        <v>48454653725.699997</v>
      </c>
      <c r="L123" s="3">
        <f t="shared" si="45"/>
        <v>3.5448858873032126E-2</v>
      </c>
      <c r="M123" s="4">
        <v>1634.5</v>
      </c>
      <c r="N123" s="4">
        <v>1634.5</v>
      </c>
      <c r="O123" s="60">
        <v>259</v>
      </c>
      <c r="P123" s="5">
        <v>0.1033</v>
      </c>
      <c r="Q123" s="5">
        <v>7.7200000000000005E-2</v>
      </c>
      <c r="R123" s="81">
        <f t="shared" si="46"/>
        <v>8.6410777271580946E-2</v>
      </c>
      <c r="S123" s="81">
        <f t="shared" si="47"/>
        <v>4.770268191374806E-2</v>
      </c>
      <c r="T123" s="81">
        <f t="shared" si="48"/>
        <v>3.1872509960159362E-2</v>
      </c>
      <c r="U123" s="81">
        <f t="shared" si="49"/>
        <v>3.5400000000000001E-2</v>
      </c>
      <c r="V123" s="83">
        <f t="shared" si="50"/>
        <v>1.3999999999999985E-3</v>
      </c>
    </row>
    <row r="124" spans="1:24" ht="16.5" customHeight="1">
      <c r="A124" s="75">
        <v>107</v>
      </c>
      <c r="B124" s="149" t="s">
        <v>148</v>
      </c>
      <c r="C124" s="150" t="s">
        <v>32</v>
      </c>
      <c r="D124" s="4">
        <v>50560903285.524849</v>
      </c>
      <c r="E124" s="3">
        <f t="shared" ref="E124" si="57">(D124/$D$126)</f>
        <v>3.8878621706832962E-2</v>
      </c>
      <c r="F124" s="4">
        <f>1.1095*1383.065</f>
        <v>1534.5106174999999</v>
      </c>
      <c r="G124" s="4">
        <f>1.1095*1383.065</f>
        <v>1534.5106174999999</v>
      </c>
      <c r="H124" s="60">
        <v>1313</v>
      </c>
      <c r="I124" s="5">
        <v>9.9242150848066757E-4</v>
      </c>
      <c r="J124" s="5">
        <v>1.7143381004766978E-2</v>
      </c>
      <c r="K124" s="4">
        <v>51367664163.402283</v>
      </c>
      <c r="L124" s="3">
        <f t="shared" ref="L124" si="58">(K124/$K$126)</f>
        <v>3.7579983294771788E-2</v>
      </c>
      <c r="M124" s="4">
        <f>1.11*1390.96</f>
        <v>1543.9656000000002</v>
      </c>
      <c r="N124" s="4">
        <f>1.11*1390.96</f>
        <v>1543.9656000000002</v>
      </c>
      <c r="O124" s="60">
        <v>1334</v>
      </c>
      <c r="P124" s="5">
        <v>4.5065344749906089E-4</v>
      </c>
      <c r="Q124" s="5">
        <v>1.7601760176017667E-2</v>
      </c>
      <c r="R124" s="81">
        <f t="shared" ref="R124" si="59">((K124-D124)/D124)</f>
        <v>1.5956219637167805E-2</v>
      </c>
      <c r="S124" s="81">
        <f t="shared" ref="S124" si="60">((N124-G124)/G124)</f>
        <v>6.1615621242193004E-3</v>
      </c>
      <c r="T124" s="81">
        <f t="shared" ref="T124" si="61">((O124-H124)/H124)</f>
        <v>1.5993907083015995E-2</v>
      </c>
      <c r="U124" s="81">
        <f t="shared" ref="U124" si="62">P124-I124</f>
        <v>-5.4176806098160668E-4</v>
      </c>
      <c r="V124" s="83">
        <f t="shared" ref="V124" si="63">Q124-J124</f>
        <v>4.5837917125068905E-4</v>
      </c>
    </row>
    <row r="125" spans="1:24">
      <c r="A125" s="75">
        <v>108</v>
      </c>
      <c r="B125" s="149" t="s">
        <v>263</v>
      </c>
      <c r="C125" s="150" t="s">
        <v>261</v>
      </c>
      <c r="D125" s="4">
        <f>630658.05*1383.065</f>
        <v>872241075.92325008</v>
      </c>
      <c r="E125" s="3">
        <f t="shared" si="51"/>
        <v>6.7070658600534904E-4</v>
      </c>
      <c r="F125" s="4">
        <f>1.16*1383.065</f>
        <v>1604.3553999999999</v>
      </c>
      <c r="G125" s="4">
        <f>1.16*1383.065</f>
        <v>1604.3553999999999</v>
      </c>
      <c r="H125" s="60">
        <v>29</v>
      </c>
      <c r="I125" s="5">
        <v>2.8999999999999998E-3</v>
      </c>
      <c r="J125" s="5">
        <v>5.4199999999999998E-2</v>
      </c>
      <c r="K125" s="4">
        <f>690012.74*1457.514</f>
        <v>1005703228.7283599</v>
      </c>
      <c r="L125" s="3">
        <f t="shared" si="45"/>
        <v>7.3576073879639203E-4</v>
      </c>
      <c r="M125" s="4">
        <f>1.16*1457.514</f>
        <v>1690.7162399999997</v>
      </c>
      <c r="N125" s="4">
        <f>1.16*1457.514</f>
        <v>1690.7162399999997</v>
      </c>
      <c r="O125" s="60">
        <v>32</v>
      </c>
      <c r="P125" s="5">
        <v>1.8E-3</v>
      </c>
      <c r="Q125" s="5">
        <v>5.6000000000000001E-2</v>
      </c>
      <c r="R125" s="81">
        <f t="shared" si="46"/>
        <v>0.15301062571932053</v>
      </c>
      <c r="S125" s="81">
        <f t="shared" si="47"/>
        <v>5.3828995744957649E-2</v>
      </c>
      <c r="T125" s="81">
        <f t="shared" si="48"/>
        <v>0.10344827586206896</v>
      </c>
      <c r="U125" s="81">
        <f t="shared" si="49"/>
        <v>-1.0999999999999998E-3</v>
      </c>
      <c r="V125" s="83">
        <f t="shared" si="50"/>
        <v>1.800000000000003E-3</v>
      </c>
    </row>
    <row r="126" spans="1:24">
      <c r="A126" s="75"/>
      <c r="B126" s="19"/>
      <c r="C126" s="66" t="s">
        <v>46</v>
      </c>
      <c r="D126" s="59">
        <f>SUM(D98:D125)</f>
        <v>1300480857237.7634</v>
      </c>
      <c r="E126" s="100">
        <f>(D126/$D$189)</f>
        <v>0.47600120953017822</v>
      </c>
      <c r="F126" s="30"/>
      <c r="G126" s="11"/>
      <c r="H126" s="65">
        <f>SUM(H98:H125)</f>
        <v>17524</v>
      </c>
      <c r="I126" s="33"/>
      <c r="J126" s="33"/>
      <c r="K126" s="59">
        <f>SUM(K98:K125)</f>
        <v>1366888956827.947</v>
      </c>
      <c r="L126" s="100">
        <f>(K126/$K$189)</f>
        <v>0.48723846333939436</v>
      </c>
      <c r="M126" s="30"/>
      <c r="N126" s="11"/>
      <c r="O126" s="65">
        <f>SUM(O98:O125)</f>
        <v>17607</v>
      </c>
      <c r="P126" s="33"/>
      <c r="Q126" s="33"/>
      <c r="R126" s="81">
        <f t="shared" si="46"/>
        <v>5.1064265360456884E-2</v>
      </c>
      <c r="S126" s="81" t="e">
        <f t="shared" si="47"/>
        <v>#DIV/0!</v>
      </c>
      <c r="T126" s="81">
        <f t="shared" si="48"/>
        <v>4.7363615612873774E-3</v>
      </c>
      <c r="U126" s="81">
        <f t="shared" si="49"/>
        <v>0</v>
      </c>
      <c r="V126" s="83">
        <f t="shared" si="50"/>
        <v>0</v>
      </c>
    </row>
    <row r="127" spans="1:24" ht="8.25" customHeight="1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</row>
    <row r="128" spans="1:24" ht="15.75">
      <c r="A128" s="162" t="s">
        <v>149</v>
      </c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</row>
    <row r="129" spans="1:22">
      <c r="A129" s="75">
        <v>109</v>
      </c>
      <c r="B129" s="149" t="s">
        <v>245</v>
      </c>
      <c r="C129" s="150" t="s">
        <v>246</v>
      </c>
      <c r="D129" s="2">
        <v>2260982483.3099999</v>
      </c>
      <c r="E129" s="3">
        <f>(D129/$D$134)</f>
        <v>2.2795533938180859E-2</v>
      </c>
      <c r="F129" s="14">
        <v>106.65</v>
      </c>
      <c r="G129" s="14">
        <v>106.65</v>
      </c>
      <c r="H129" s="60">
        <v>7</v>
      </c>
      <c r="I129" s="5">
        <v>2E-3</v>
      </c>
      <c r="J129" s="5">
        <v>4.2651816275404375E-2</v>
      </c>
      <c r="K129" s="2">
        <v>2272605066.8011203</v>
      </c>
      <c r="L129" s="3">
        <f>(K129/$K$134)</f>
        <v>2.2941440416700851E-2</v>
      </c>
      <c r="M129" s="14">
        <v>107.1</v>
      </c>
      <c r="N129" s="14">
        <v>107.1</v>
      </c>
      <c r="O129" s="60">
        <v>7</v>
      </c>
      <c r="P129" s="5">
        <v>4.1999999999999997E-3</v>
      </c>
      <c r="Q129" s="5">
        <v>4.8000000000000001E-2</v>
      </c>
      <c r="R129" s="81">
        <f t="shared" ref="R129:R134" si="64">((K129-D129)/D129)</f>
        <v>5.140501342631049E-3</v>
      </c>
      <c r="S129" s="81">
        <f t="shared" ref="S129:T134" si="65">((N129-G129)/G129)</f>
        <v>4.2194092827003149E-3</v>
      </c>
      <c r="T129" s="81">
        <f t="shared" si="65"/>
        <v>0</v>
      </c>
      <c r="U129" s="81">
        <f t="shared" ref="U129:V134" si="66">P129-I129</f>
        <v>2.1999999999999997E-3</v>
      </c>
      <c r="V129" s="83">
        <f t="shared" si="66"/>
        <v>5.348183724595626E-3</v>
      </c>
    </row>
    <row r="130" spans="1:22">
      <c r="A130" s="75">
        <v>110</v>
      </c>
      <c r="B130" s="149" t="s">
        <v>150</v>
      </c>
      <c r="C130" s="150" t="s">
        <v>40</v>
      </c>
      <c r="D130" s="2">
        <v>53749983529</v>
      </c>
      <c r="E130" s="3">
        <f>(D130/$D$134)</f>
        <v>0.54191466884707751</v>
      </c>
      <c r="F130" s="14">
        <v>102.5</v>
      </c>
      <c r="G130" s="14">
        <v>102.5</v>
      </c>
      <c r="H130" s="60">
        <v>666</v>
      </c>
      <c r="I130" s="5">
        <v>0</v>
      </c>
      <c r="J130" s="5">
        <v>7.6999999999999999E-2</v>
      </c>
      <c r="K130" s="2">
        <v>53749983529</v>
      </c>
      <c r="L130" s="3">
        <f>(K130/$K$134)</f>
        <v>0.54259407520590397</v>
      </c>
      <c r="M130" s="14">
        <v>102.5</v>
      </c>
      <c r="N130" s="14">
        <v>102.5</v>
      </c>
      <c r="O130" s="60">
        <v>666</v>
      </c>
      <c r="P130" s="5">
        <v>0</v>
      </c>
      <c r="Q130" s="5">
        <v>7.6999999999999999E-2</v>
      </c>
      <c r="R130" s="81">
        <f t="shared" si="64"/>
        <v>0</v>
      </c>
      <c r="S130" s="81">
        <f t="shared" si="65"/>
        <v>0</v>
      </c>
      <c r="T130" s="81">
        <f t="shared" si="65"/>
        <v>0</v>
      </c>
      <c r="U130" s="81">
        <f t="shared" si="66"/>
        <v>0</v>
      </c>
      <c r="V130" s="83">
        <f t="shared" si="66"/>
        <v>0</v>
      </c>
    </row>
    <row r="131" spans="1:22" ht="15.75" customHeight="1">
      <c r="A131" s="75">
        <v>111</v>
      </c>
      <c r="B131" s="149" t="s">
        <v>151</v>
      </c>
      <c r="C131" s="150" t="s">
        <v>120</v>
      </c>
      <c r="D131" s="2">
        <v>2604779203.0564218</v>
      </c>
      <c r="E131" s="3">
        <f>(D131/$D$134)</f>
        <v>2.6261739382347622E-2</v>
      </c>
      <c r="F131" s="14">
        <v>101.35</v>
      </c>
      <c r="G131" s="14">
        <v>101.35</v>
      </c>
      <c r="H131" s="60">
        <v>2760</v>
      </c>
      <c r="I131" s="5">
        <v>3.5499999999999997E-2</v>
      </c>
      <c r="J131" s="5">
        <v>8.9700000000000002E-2</v>
      </c>
      <c r="K131" s="2">
        <v>2418466104.7887802</v>
      </c>
      <c r="L131" s="3">
        <f>(K131/$K$134)</f>
        <v>2.4413875007732622E-2</v>
      </c>
      <c r="M131" s="14">
        <v>101.35</v>
      </c>
      <c r="N131" s="14">
        <v>101.35</v>
      </c>
      <c r="O131" s="60">
        <v>2760</v>
      </c>
      <c r="P131" s="5">
        <v>0.85268701307001149</v>
      </c>
      <c r="Q131" s="5">
        <v>0.11801729320475729</v>
      </c>
      <c r="R131" s="81">
        <f t="shared" si="64"/>
        <v>-7.1527405489503149E-2</v>
      </c>
      <c r="S131" s="81">
        <f t="shared" si="65"/>
        <v>0</v>
      </c>
      <c r="T131" s="81">
        <f t="shared" si="65"/>
        <v>0</v>
      </c>
      <c r="U131" s="81">
        <f t="shared" si="66"/>
        <v>0.81718701307001151</v>
      </c>
      <c r="V131" s="83">
        <f t="shared" si="66"/>
        <v>2.8317293204757288E-2</v>
      </c>
    </row>
    <row r="132" spans="1:22">
      <c r="A132" s="75">
        <v>112</v>
      </c>
      <c r="B132" s="149" t="s">
        <v>152</v>
      </c>
      <c r="C132" s="150" t="s">
        <v>120</v>
      </c>
      <c r="D132" s="2">
        <v>10437442898.09</v>
      </c>
      <c r="E132" s="3">
        <f>(D132/$D$134)</f>
        <v>0.10523172362791523</v>
      </c>
      <c r="F132" s="14">
        <v>36.6</v>
      </c>
      <c r="G132" s="14">
        <v>36.6</v>
      </c>
      <c r="H132" s="60">
        <v>5264</v>
      </c>
      <c r="I132" s="5">
        <v>7.7399999999999997E-2</v>
      </c>
      <c r="J132" s="5">
        <v>0.15290000000000001</v>
      </c>
      <c r="K132" s="2">
        <v>10465629591.1</v>
      </c>
      <c r="L132" s="3">
        <f>(K132/$K$134)</f>
        <v>0.10564819254998749</v>
      </c>
      <c r="M132" s="14">
        <v>36.6</v>
      </c>
      <c r="N132" s="14">
        <v>36.6</v>
      </c>
      <c r="O132" s="60">
        <v>5264</v>
      </c>
      <c r="P132" s="5">
        <v>0.13619999999999999</v>
      </c>
      <c r="Q132" s="5">
        <v>0.1489</v>
      </c>
      <c r="R132" s="81">
        <f t="shared" si="64"/>
        <v>2.7005362601943673E-3</v>
      </c>
      <c r="S132" s="81">
        <f t="shared" si="65"/>
        <v>0</v>
      </c>
      <c r="T132" s="81">
        <f t="shared" si="65"/>
        <v>0</v>
      </c>
      <c r="U132" s="81">
        <f t="shared" si="66"/>
        <v>5.8799999999999991E-2</v>
      </c>
      <c r="V132" s="83">
        <f t="shared" si="66"/>
        <v>-4.0000000000000036E-3</v>
      </c>
    </row>
    <row r="133" spans="1:22">
      <c r="A133" s="75">
        <v>113</v>
      </c>
      <c r="B133" s="149" t="s">
        <v>153</v>
      </c>
      <c r="C133" s="150" t="s">
        <v>42</v>
      </c>
      <c r="D133" s="2">
        <v>30132138689.66</v>
      </c>
      <c r="E133" s="3">
        <f>(D133/$D$134)</f>
        <v>0.30379633420447871</v>
      </c>
      <c r="F133" s="14">
        <v>4.45</v>
      </c>
      <c r="G133" s="14">
        <v>4.45</v>
      </c>
      <c r="H133" s="60">
        <v>208300</v>
      </c>
      <c r="I133" s="5">
        <v>9.8799999999999999E-2</v>
      </c>
      <c r="J133" s="5">
        <v>-0.30470000000000003</v>
      </c>
      <c r="K133" s="2">
        <v>30154448118.580002</v>
      </c>
      <c r="L133" s="3">
        <f>(K133/$K$134)</f>
        <v>0.30440241681967506</v>
      </c>
      <c r="M133" s="14">
        <v>4.45</v>
      </c>
      <c r="N133" s="14">
        <v>4.45</v>
      </c>
      <c r="O133" s="60">
        <v>208348</v>
      </c>
      <c r="P133" s="5">
        <v>1.12E-2</v>
      </c>
      <c r="Q133" s="5">
        <v>-0.30470000000000003</v>
      </c>
      <c r="R133" s="81">
        <f t="shared" si="64"/>
        <v>7.4038650723646051E-4</v>
      </c>
      <c r="S133" s="81">
        <f t="shared" si="65"/>
        <v>0</v>
      </c>
      <c r="T133" s="81">
        <f t="shared" si="65"/>
        <v>2.3043686989918387E-4</v>
      </c>
      <c r="U133" s="81">
        <f t="shared" si="66"/>
        <v>-8.7599999999999997E-2</v>
      </c>
      <c r="V133" s="83">
        <f t="shared" si="66"/>
        <v>0</v>
      </c>
    </row>
    <row r="134" spans="1:22">
      <c r="A134" s="119"/>
      <c r="B134" s="120"/>
      <c r="C134" s="121" t="s">
        <v>46</v>
      </c>
      <c r="D134" s="58">
        <f>SUM(D129:D133)</f>
        <v>99185326803.116425</v>
      </c>
      <c r="E134" s="100">
        <f>(D134/$D$189)</f>
        <v>3.630375277203924E-2</v>
      </c>
      <c r="F134" s="30"/>
      <c r="G134" s="34"/>
      <c r="H134" s="65">
        <f>SUM(H129:H133)</f>
        <v>216997</v>
      </c>
      <c r="I134" s="35"/>
      <c r="J134" s="35"/>
      <c r="K134" s="58">
        <f>SUM(K129:K133)</f>
        <v>99061132410.269897</v>
      </c>
      <c r="L134" s="100">
        <f>(K134/$K$189)</f>
        <v>3.5311130206398735E-2</v>
      </c>
      <c r="M134" s="30"/>
      <c r="N134" s="34"/>
      <c r="O134" s="65">
        <f>SUM(O129:O133)</f>
        <v>217045</v>
      </c>
      <c r="P134" s="35"/>
      <c r="Q134" s="35"/>
      <c r="R134" s="81">
        <f t="shared" si="64"/>
        <v>-1.2521448166728719E-3</v>
      </c>
      <c r="S134" s="81" t="e">
        <f t="shared" si="65"/>
        <v>#DIV/0!</v>
      </c>
      <c r="T134" s="81">
        <f t="shared" si="65"/>
        <v>2.2120121476333775E-4</v>
      </c>
      <c r="U134" s="81">
        <f t="shared" si="66"/>
        <v>0</v>
      </c>
      <c r="V134" s="83">
        <f t="shared" si="66"/>
        <v>0</v>
      </c>
    </row>
    <row r="135" spans="1:22" ht="7.5" customHeight="1">
      <c r="A135" s="155"/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</row>
    <row r="136" spans="1:22" ht="15" customHeight="1">
      <c r="A136" s="162" t="s">
        <v>154</v>
      </c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</row>
    <row r="137" spans="1:22">
      <c r="A137" s="75">
        <v>114</v>
      </c>
      <c r="B137" s="149" t="s">
        <v>155</v>
      </c>
      <c r="C137" s="150" t="s">
        <v>50</v>
      </c>
      <c r="D137" s="4">
        <v>232343288.19</v>
      </c>
      <c r="E137" s="3">
        <f t="shared" ref="E137:E162" si="67">(D137/$D$163)</f>
        <v>4.8105383591777054E-3</v>
      </c>
      <c r="F137" s="4">
        <v>5.23</v>
      </c>
      <c r="G137" s="4">
        <v>5.28</v>
      </c>
      <c r="H137" s="62">
        <v>11832</v>
      </c>
      <c r="I137" s="6">
        <v>8.8999999999999999E-3</v>
      </c>
      <c r="J137" s="6">
        <v>3.8899999999999997E-2</v>
      </c>
      <c r="K137" s="4">
        <v>232801681.03999999</v>
      </c>
      <c r="L137" s="16">
        <f t="shared" ref="L137:L153" si="68">(K137/$K$163)</f>
        <v>4.748266601629767E-3</v>
      </c>
      <c r="M137" s="4">
        <v>5.24</v>
      </c>
      <c r="N137" s="4">
        <v>5.29</v>
      </c>
      <c r="O137" s="62">
        <v>11832</v>
      </c>
      <c r="P137" s="6">
        <v>-0.122794</v>
      </c>
      <c r="Q137" s="6">
        <v>4.5564E-2</v>
      </c>
      <c r="R137" s="81">
        <f>((K137-D137)/D137)</f>
        <v>1.9729119509797966E-3</v>
      </c>
      <c r="S137" s="81">
        <f>((N137-G137)/G137)</f>
        <v>1.8939393939393534E-3</v>
      </c>
      <c r="T137" s="81">
        <f>((O137-H137)/H137)</f>
        <v>0</v>
      </c>
      <c r="U137" s="81">
        <f>P137-I137</f>
        <v>-0.13169400000000001</v>
      </c>
      <c r="V137" s="83">
        <f>Q137-J137</f>
        <v>6.6640000000000033E-3</v>
      </c>
    </row>
    <row r="138" spans="1:22">
      <c r="A138" s="75">
        <v>115</v>
      </c>
      <c r="B138" s="149" t="s">
        <v>255</v>
      </c>
      <c r="C138" s="149" t="s">
        <v>254</v>
      </c>
      <c r="D138" s="4">
        <v>586927653.8099227</v>
      </c>
      <c r="E138" s="3">
        <f t="shared" si="67"/>
        <v>1.2152010134271337E-2</v>
      </c>
      <c r="F138" s="4">
        <v>1121.2005588267789</v>
      </c>
      <c r="G138" s="4">
        <v>1131.6665476745429</v>
      </c>
      <c r="H138" s="62">
        <v>172</v>
      </c>
      <c r="I138" s="6">
        <v>1.432455088561263E-2</v>
      </c>
      <c r="J138" s="6">
        <v>7.4784614177851767E-4</v>
      </c>
      <c r="K138" s="4">
        <v>590803597.99000359</v>
      </c>
      <c r="L138" s="16">
        <f t="shared" si="68"/>
        <v>1.205014061722616E-2</v>
      </c>
      <c r="M138" s="4">
        <v>1128.5831352274172</v>
      </c>
      <c r="N138" s="4">
        <v>1139.1539259808849</v>
      </c>
      <c r="O138" s="62">
        <v>172</v>
      </c>
      <c r="P138" s="6">
        <v>6.6037852449461571E-3</v>
      </c>
      <c r="Q138" s="6">
        <v>7.356570002041242E-3</v>
      </c>
      <c r="R138" s="81">
        <f>((K138-D138)/D138)</f>
        <v>6.6037852449462543E-3</v>
      </c>
      <c r="S138" s="81">
        <f>((N138-G138)/G138)</f>
        <v>6.6162407307415209E-3</v>
      </c>
      <c r="T138" s="81">
        <f>((O138-H138)/H138)</f>
        <v>0</v>
      </c>
      <c r="U138" s="81">
        <f>P138-I138</f>
        <v>-7.7207656406664731E-3</v>
      </c>
      <c r="V138" s="83">
        <f>Q138-J138</f>
        <v>6.6087238602627243E-3</v>
      </c>
    </row>
    <row r="139" spans="1:22">
      <c r="A139" s="75">
        <v>116</v>
      </c>
      <c r="B139" s="149" t="s">
        <v>156</v>
      </c>
      <c r="C139" s="150" t="s">
        <v>21</v>
      </c>
      <c r="D139" s="4">
        <v>7233298650.4399996</v>
      </c>
      <c r="E139" s="3">
        <f t="shared" si="67"/>
        <v>0.14976141937388471</v>
      </c>
      <c r="F139" s="4">
        <v>759.05619999999999</v>
      </c>
      <c r="G139" s="4">
        <v>781.94240000000002</v>
      </c>
      <c r="H139" s="62">
        <v>21244</v>
      </c>
      <c r="I139" s="6">
        <v>0.6946</v>
      </c>
      <c r="J139" s="6">
        <v>0.4304</v>
      </c>
      <c r="K139" s="4">
        <v>7246306782.2399998</v>
      </c>
      <c r="L139" s="16">
        <f t="shared" si="68"/>
        <v>0.14779702760549041</v>
      </c>
      <c r="M139" s="4">
        <v>757.9529</v>
      </c>
      <c r="N139" s="4">
        <v>780.8057</v>
      </c>
      <c r="O139" s="62">
        <v>21251</v>
      </c>
      <c r="P139" s="6">
        <v>-7.5999999999999998E-2</v>
      </c>
      <c r="Q139" s="6">
        <v>0.4027</v>
      </c>
      <c r="R139" s="81">
        <f t="shared" ref="R139:R163" si="69">((K139-D139)/D139)</f>
        <v>1.7983678579632418E-3</v>
      </c>
      <c r="S139" s="81">
        <f t="shared" ref="S139:S163" si="70">((N139-G139)/G139)</f>
        <v>-1.4536876373502945E-3</v>
      </c>
      <c r="T139" s="81">
        <f t="shared" ref="T139:T163" si="71">((O139-H139)/H139)</f>
        <v>3.2950480135567691E-4</v>
      </c>
      <c r="U139" s="81">
        <f t="shared" ref="U139:U163" si="72">P139-I139</f>
        <v>-0.77059999999999995</v>
      </c>
      <c r="V139" s="83">
        <f t="shared" ref="V139:V163" si="73">Q139-J139</f>
        <v>-2.7700000000000002E-2</v>
      </c>
    </row>
    <row r="140" spans="1:22">
      <c r="A140" s="75">
        <v>117</v>
      </c>
      <c r="B140" s="149" t="s">
        <v>157</v>
      </c>
      <c r="C140" s="150" t="s">
        <v>91</v>
      </c>
      <c r="D140" s="4">
        <v>3435732256.54</v>
      </c>
      <c r="E140" s="3">
        <f t="shared" si="67"/>
        <v>7.1134922556636157E-2</v>
      </c>
      <c r="F140" s="4">
        <v>18.437799999999999</v>
      </c>
      <c r="G140" s="4">
        <v>18.641100000000002</v>
      </c>
      <c r="H140" s="60">
        <v>6251</v>
      </c>
      <c r="I140" s="5">
        <v>2.2700000000000001E-2</v>
      </c>
      <c r="J140" s="5">
        <v>-6.9999999999999999E-4</v>
      </c>
      <c r="K140" s="4">
        <v>3487591301.0100002</v>
      </c>
      <c r="L140" s="16">
        <f t="shared" si="68"/>
        <v>7.1133564073684458E-2</v>
      </c>
      <c r="M140" s="4">
        <v>19.504799999999999</v>
      </c>
      <c r="N140" s="4">
        <v>19.730799999999999</v>
      </c>
      <c r="O140" s="60">
        <v>6249</v>
      </c>
      <c r="P140" s="5">
        <v>2.1000000000000001E-2</v>
      </c>
      <c r="Q140" s="5">
        <v>5.74E-2</v>
      </c>
      <c r="R140" s="81">
        <f t="shared" si="69"/>
        <v>1.509402962680963E-2</v>
      </c>
      <c r="S140" s="81">
        <f t="shared" si="70"/>
        <v>5.8456850722328452E-2</v>
      </c>
      <c r="T140" s="81">
        <f t="shared" si="71"/>
        <v>-3.1994880819068947E-4</v>
      </c>
      <c r="U140" s="81">
        <f t="shared" si="72"/>
        <v>-1.7000000000000001E-3</v>
      </c>
      <c r="V140" s="83">
        <f t="shared" si="73"/>
        <v>5.8099999999999999E-2</v>
      </c>
    </row>
    <row r="141" spans="1:22">
      <c r="A141" s="75">
        <v>118</v>
      </c>
      <c r="B141" s="149" t="s">
        <v>158</v>
      </c>
      <c r="C141" s="150" t="s">
        <v>101</v>
      </c>
      <c r="D141" s="2">
        <v>1475170435.9088736</v>
      </c>
      <c r="E141" s="3">
        <f t="shared" si="67"/>
        <v>3.0542582157404272E-2</v>
      </c>
      <c r="F141" s="4">
        <v>3.4674</v>
      </c>
      <c r="G141" s="4">
        <v>3.5545</v>
      </c>
      <c r="H141" s="60">
        <v>2753</v>
      </c>
      <c r="I141" s="5">
        <v>2.3502000000000001</v>
      </c>
      <c r="J141" s="5">
        <v>0.34570000000000001</v>
      </c>
      <c r="K141" s="2">
        <v>1479966933.4112084</v>
      </c>
      <c r="L141" s="16">
        <f t="shared" si="68"/>
        <v>3.0185682208306041E-2</v>
      </c>
      <c r="M141" s="4">
        <v>3.4792999999999998</v>
      </c>
      <c r="N141" s="4">
        <v>3.5655000000000001</v>
      </c>
      <c r="O141" s="60">
        <v>2753</v>
      </c>
      <c r="P141" s="5">
        <v>0.1618</v>
      </c>
      <c r="Q141" s="5">
        <v>0.33689999999999998</v>
      </c>
      <c r="R141" s="81">
        <f t="shared" si="69"/>
        <v>3.2514870048759095E-3</v>
      </c>
      <c r="S141" s="81">
        <f t="shared" si="70"/>
        <v>3.0946687297791872E-3</v>
      </c>
      <c r="T141" s="81">
        <f t="shared" si="71"/>
        <v>0</v>
      </c>
      <c r="U141" s="81">
        <f t="shared" si="72"/>
        <v>-2.1884000000000001</v>
      </c>
      <c r="V141" s="83">
        <f t="shared" si="73"/>
        <v>-8.80000000000003E-3</v>
      </c>
    </row>
    <row r="142" spans="1:22">
      <c r="A142" s="75">
        <v>119</v>
      </c>
      <c r="B142" s="149" t="s">
        <v>159</v>
      </c>
      <c r="C142" s="150" t="s">
        <v>56</v>
      </c>
      <c r="D142" s="4">
        <v>3214096708.0365901</v>
      </c>
      <c r="E142" s="3">
        <f t="shared" si="67"/>
        <v>6.6546081983108754E-2</v>
      </c>
      <c r="F142" s="4">
        <v>6002.68345625436</v>
      </c>
      <c r="G142" s="4">
        <v>6045.54274215839</v>
      </c>
      <c r="H142" s="60">
        <v>867</v>
      </c>
      <c r="I142" s="5">
        <v>1.8817575305430825</v>
      </c>
      <c r="J142" s="5">
        <v>0.10974914796105485</v>
      </c>
      <c r="K142" s="4">
        <v>3253365555.1160402</v>
      </c>
      <c r="L142" s="16">
        <f t="shared" si="68"/>
        <v>6.635625197910805E-2</v>
      </c>
      <c r="M142" s="4">
        <v>6091.9844976719796</v>
      </c>
      <c r="N142" s="4">
        <v>6136.1277353019404</v>
      </c>
      <c r="O142" s="60">
        <v>868</v>
      </c>
      <c r="P142" s="5">
        <v>0.77784690314020566</v>
      </c>
      <c r="Q142" s="5">
        <v>0.14699450530120312</v>
      </c>
      <c r="R142" s="81">
        <f t="shared" si="69"/>
        <v>1.2217693071045914E-2</v>
      </c>
      <c r="S142" s="81">
        <f t="shared" si="70"/>
        <v>1.4983765231177521E-2</v>
      </c>
      <c r="T142" s="81">
        <f t="shared" si="71"/>
        <v>1.1534025374855825E-3</v>
      </c>
      <c r="U142" s="81">
        <f t="shared" si="72"/>
        <v>-1.1039106274028767</v>
      </c>
      <c r="V142" s="83">
        <f t="shared" si="73"/>
        <v>3.7245357340148263E-2</v>
      </c>
    </row>
    <row r="143" spans="1:22">
      <c r="A143" s="75">
        <v>120</v>
      </c>
      <c r="B143" s="149" t="s">
        <v>160</v>
      </c>
      <c r="C143" s="150" t="s">
        <v>58</v>
      </c>
      <c r="D143" s="4">
        <v>582609049.78999996</v>
      </c>
      <c r="E143" s="3">
        <f t="shared" si="67"/>
        <v>1.2062595843642254E-2</v>
      </c>
      <c r="F143" s="4">
        <v>158.86000000000001</v>
      </c>
      <c r="G143" s="4">
        <v>160.12</v>
      </c>
      <c r="H143" s="60">
        <v>670</v>
      </c>
      <c r="I143" s="5">
        <v>4.5499999999999999E-2</v>
      </c>
      <c r="J143" s="5">
        <v>4.19E-2</v>
      </c>
      <c r="K143" s="4">
        <v>661997042.80999994</v>
      </c>
      <c r="L143" s="16">
        <f t="shared" si="68"/>
        <v>1.3502215425206939E-2</v>
      </c>
      <c r="M143" s="4">
        <v>161.81</v>
      </c>
      <c r="N143" s="4">
        <v>162.94999999999999</v>
      </c>
      <c r="O143" s="60">
        <v>672</v>
      </c>
      <c r="P143" s="5">
        <v>1.8100000000000002E-2</v>
      </c>
      <c r="Q143" s="5">
        <v>5.8500000000000003E-2</v>
      </c>
      <c r="R143" s="81">
        <f t="shared" si="69"/>
        <v>0.13626289026683536</v>
      </c>
      <c r="S143" s="81">
        <f t="shared" si="70"/>
        <v>1.7674244316762327E-2</v>
      </c>
      <c r="T143" s="81">
        <f t="shared" si="71"/>
        <v>2.9850746268656717E-3</v>
      </c>
      <c r="U143" s="81">
        <f t="shared" si="72"/>
        <v>-2.7399999999999997E-2</v>
      </c>
      <c r="V143" s="83">
        <f t="shared" si="73"/>
        <v>1.6600000000000004E-2</v>
      </c>
    </row>
    <row r="144" spans="1:22">
      <c r="A144" s="75">
        <v>121</v>
      </c>
      <c r="B144" s="149" t="s">
        <v>161</v>
      </c>
      <c r="C144" s="150" t="s">
        <v>60</v>
      </c>
      <c r="D144" s="4">
        <v>3734808.11</v>
      </c>
      <c r="E144" s="3">
        <f t="shared" si="67"/>
        <v>7.7327121507511911E-5</v>
      </c>
      <c r="F144" s="4">
        <v>102.747</v>
      </c>
      <c r="G144" s="4">
        <v>102.99</v>
      </c>
      <c r="H144" s="60">
        <v>0</v>
      </c>
      <c r="I144" s="5">
        <v>0</v>
      </c>
      <c r="J144" s="5">
        <v>0</v>
      </c>
      <c r="K144" s="4">
        <v>3734808.11</v>
      </c>
      <c r="L144" s="16">
        <f t="shared" si="68"/>
        <v>7.6175844319448702E-5</v>
      </c>
      <c r="M144" s="4">
        <v>102.747</v>
      </c>
      <c r="N144" s="4">
        <v>102.99</v>
      </c>
      <c r="O144" s="60">
        <v>0</v>
      </c>
      <c r="P144" s="5">
        <v>0</v>
      </c>
      <c r="Q144" s="5">
        <v>0</v>
      </c>
      <c r="R144" s="81">
        <f t="shared" si="69"/>
        <v>0</v>
      </c>
      <c r="S144" s="81">
        <f t="shared" si="70"/>
        <v>0</v>
      </c>
      <c r="T144" s="81" t="e">
        <f t="shared" si="71"/>
        <v>#DIV/0!</v>
      </c>
      <c r="U144" s="81">
        <f t="shared" si="72"/>
        <v>0</v>
      </c>
      <c r="V144" s="83">
        <f t="shared" si="73"/>
        <v>0</v>
      </c>
    </row>
    <row r="145" spans="1:24">
      <c r="A145" s="75">
        <v>122</v>
      </c>
      <c r="B145" s="149" t="s">
        <v>162</v>
      </c>
      <c r="C145" s="150" t="s">
        <v>105</v>
      </c>
      <c r="D145" s="4">
        <v>184158639.77000001</v>
      </c>
      <c r="E145" s="3">
        <f t="shared" si="67"/>
        <v>3.8129020540637378E-3</v>
      </c>
      <c r="F145" s="4">
        <v>1.5417000000000001</v>
      </c>
      <c r="G145" s="4">
        <v>1.5548</v>
      </c>
      <c r="H145" s="60">
        <v>296</v>
      </c>
      <c r="I145" s="5">
        <v>1.2544332063575636E-2</v>
      </c>
      <c r="J145" s="5">
        <v>3.7972126843061949E-2</v>
      </c>
      <c r="K145" s="4">
        <v>184961434.55000001</v>
      </c>
      <c r="L145" s="16">
        <f t="shared" si="68"/>
        <v>3.7725079919521489E-3</v>
      </c>
      <c r="M145" s="4">
        <v>1.5488999999999999</v>
      </c>
      <c r="N145" s="4">
        <v>1.5619000000000001</v>
      </c>
      <c r="O145" s="60">
        <v>300</v>
      </c>
      <c r="P145" s="5">
        <v>4.6701692936368389E-3</v>
      </c>
      <c r="Q145" s="5">
        <v>4.2819632397495422E-2</v>
      </c>
      <c r="R145" s="81">
        <f t="shared" si="69"/>
        <v>4.3592566767577685E-3</v>
      </c>
      <c r="S145" s="81">
        <f t="shared" si="70"/>
        <v>4.5665037303833974E-3</v>
      </c>
      <c r="T145" s="81">
        <f t="shared" si="71"/>
        <v>1.3513513513513514E-2</v>
      </c>
      <c r="U145" s="81">
        <f t="shared" si="72"/>
        <v>-7.8741627699387973E-3</v>
      </c>
      <c r="V145" s="83">
        <f t="shared" si="73"/>
        <v>4.8475055544334733E-3</v>
      </c>
    </row>
    <row r="146" spans="1:24">
      <c r="A146" s="75">
        <v>123</v>
      </c>
      <c r="B146" s="149" t="s">
        <v>163</v>
      </c>
      <c r="C146" s="150" t="s">
        <v>25</v>
      </c>
      <c r="D146" s="9">
        <v>128867123.59</v>
      </c>
      <c r="E146" s="3">
        <f t="shared" si="67"/>
        <v>2.6681220107363118E-3</v>
      </c>
      <c r="F146" s="4">
        <v>143.23769999999999</v>
      </c>
      <c r="G146" s="4">
        <v>143.7439</v>
      </c>
      <c r="H146" s="60">
        <v>103</v>
      </c>
      <c r="I146" s="5">
        <v>2.6919999999999999E-3</v>
      </c>
      <c r="J146" s="5">
        <v>0.30890000000000001</v>
      </c>
      <c r="K146" s="9">
        <v>128378789.75</v>
      </c>
      <c r="L146" s="16">
        <f t="shared" si="68"/>
        <v>2.6184377922203977E-3</v>
      </c>
      <c r="M146" s="4">
        <v>143.23769999999999</v>
      </c>
      <c r="N146" s="4">
        <v>143.1961</v>
      </c>
      <c r="O146" s="60">
        <v>103</v>
      </c>
      <c r="P146" s="5">
        <v>-4.1000000000000003E-3</v>
      </c>
      <c r="Q146" s="5">
        <v>0.30480000000000002</v>
      </c>
      <c r="R146" s="81">
        <f t="shared" si="69"/>
        <v>-3.7894369517680296E-3</v>
      </c>
      <c r="S146" s="81">
        <f t="shared" si="70"/>
        <v>-3.8109443252895962E-3</v>
      </c>
      <c r="T146" s="81">
        <f t="shared" si="71"/>
        <v>0</v>
      </c>
      <c r="U146" s="81">
        <f t="shared" si="72"/>
        <v>-6.7920000000000003E-3</v>
      </c>
      <c r="V146" s="83">
        <f t="shared" si="73"/>
        <v>-4.0999999999999925E-3</v>
      </c>
    </row>
    <row r="147" spans="1:24">
      <c r="A147" s="75">
        <v>124</v>
      </c>
      <c r="B147" s="149" t="s">
        <v>164</v>
      </c>
      <c r="C147" s="150" t="s">
        <v>64</v>
      </c>
      <c r="D147" s="9">
        <v>198595379.75</v>
      </c>
      <c r="E147" s="3">
        <f t="shared" si="67"/>
        <v>4.1118067136141885E-3</v>
      </c>
      <c r="F147" s="4">
        <v>111.56</v>
      </c>
      <c r="G147" s="4">
        <v>112.28</v>
      </c>
      <c r="H147" s="60">
        <v>28</v>
      </c>
      <c r="I147" s="5">
        <v>-1.4E-3</v>
      </c>
      <c r="J147" s="5">
        <v>7.4399999999999994E-2</v>
      </c>
      <c r="K147" s="9">
        <v>199849512.53999999</v>
      </c>
      <c r="L147" s="16">
        <f t="shared" si="68"/>
        <v>4.0761680135059869E-3</v>
      </c>
      <c r="M147" s="4">
        <v>111.69</v>
      </c>
      <c r="N147" s="4">
        <v>112.45</v>
      </c>
      <c r="O147" s="60">
        <v>28</v>
      </c>
      <c r="P147" s="5">
        <v>2.7000000000000001E-3</v>
      </c>
      <c r="Q147" s="5">
        <v>8.0100000000000005E-2</v>
      </c>
      <c r="R147" s="81">
        <f t="shared" si="69"/>
        <v>6.3150149393140231E-3</v>
      </c>
      <c r="S147" s="81">
        <f t="shared" si="70"/>
        <v>1.5140719629497836E-3</v>
      </c>
      <c r="T147" s="81">
        <f t="shared" si="71"/>
        <v>0</v>
      </c>
      <c r="U147" s="81">
        <f t="shared" si="72"/>
        <v>4.1000000000000003E-3</v>
      </c>
      <c r="V147" s="83">
        <f t="shared" si="73"/>
        <v>5.7000000000000106E-3</v>
      </c>
    </row>
    <row r="148" spans="1:24" ht="15.75" customHeight="1">
      <c r="A148" s="75">
        <v>125</v>
      </c>
      <c r="B148" s="149" t="s">
        <v>165</v>
      </c>
      <c r="C148" s="150" t="s">
        <v>67</v>
      </c>
      <c r="D148" s="2">
        <v>322029492.49000001</v>
      </c>
      <c r="E148" s="3">
        <f t="shared" si="67"/>
        <v>6.6674412610656522E-3</v>
      </c>
      <c r="F148" s="4">
        <v>1.3620000000000001</v>
      </c>
      <c r="G148" s="4">
        <v>1.3779999999999999</v>
      </c>
      <c r="H148" s="60">
        <v>141</v>
      </c>
      <c r="I148" s="5">
        <v>3.6106403360107041E-3</v>
      </c>
      <c r="J148" s="5">
        <v>4.4799018103712798E-2</v>
      </c>
      <c r="K148" s="2">
        <v>325797840.11000001</v>
      </c>
      <c r="L148" s="16">
        <f t="shared" si="68"/>
        <v>6.645033644802705E-3</v>
      </c>
      <c r="M148" s="4">
        <v>1.3794999999999999</v>
      </c>
      <c r="N148" s="4">
        <v>1.3794999999999999</v>
      </c>
      <c r="O148" s="60">
        <v>107</v>
      </c>
      <c r="P148" s="5">
        <v>1.2848751835535865E-2</v>
      </c>
      <c r="Q148" s="5">
        <v>5.8223381405338948E-2</v>
      </c>
      <c r="R148" s="81">
        <f t="shared" si="69"/>
        <v>1.1701871126344191E-2</v>
      </c>
      <c r="S148" s="81">
        <f t="shared" si="70"/>
        <v>1.0885341074020733E-3</v>
      </c>
      <c r="T148" s="81">
        <f t="shared" si="71"/>
        <v>-0.24113475177304963</v>
      </c>
      <c r="U148" s="81">
        <f t="shared" si="72"/>
        <v>9.2381114995251611E-3</v>
      </c>
      <c r="V148" s="83">
        <f t="shared" si="73"/>
        <v>1.3424363301626149E-2</v>
      </c>
      <c r="X148" s="105"/>
    </row>
    <row r="149" spans="1:24">
      <c r="A149" s="75">
        <v>126</v>
      </c>
      <c r="B149" s="149" t="s">
        <v>166</v>
      </c>
      <c r="C149" s="150" t="s">
        <v>27</v>
      </c>
      <c r="D149" s="4">
        <v>8148373900.5799999</v>
      </c>
      <c r="E149" s="3">
        <f t="shared" si="67"/>
        <v>0.16870754270124694</v>
      </c>
      <c r="F149" s="4">
        <v>297.58999999999997</v>
      </c>
      <c r="G149" s="4">
        <v>299.58999999999997</v>
      </c>
      <c r="H149" s="60">
        <v>5499</v>
      </c>
      <c r="I149" s="5">
        <v>8.8000000000000005E-3</v>
      </c>
      <c r="J149" s="5">
        <v>0.10050000000000001</v>
      </c>
      <c r="K149" s="4">
        <v>8200531686.04</v>
      </c>
      <c r="L149" s="16">
        <f t="shared" si="68"/>
        <v>0.16725957710649</v>
      </c>
      <c r="M149" s="4">
        <v>299.57</v>
      </c>
      <c r="N149" s="4">
        <v>301.57</v>
      </c>
      <c r="O149" s="60">
        <v>5498</v>
      </c>
      <c r="P149" s="5">
        <v>6.6E-3</v>
      </c>
      <c r="Q149" s="5">
        <v>0.10780000000000001</v>
      </c>
      <c r="R149" s="81">
        <f t="shared" si="69"/>
        <v>6.4010054148702549E-3</v>
      </c>
      <c r="S149" s="81">
        <f t="shared" si="70"/>
        <v>6.609032344203806E-3</v>
      </c>
      <c r="T149" s="81">
        <f t="shared" si="71"/>
        <v>-1.8185124568103291E-4</v>
      </c>
      <c r="U149" s="81">
        <f t="shared" si="72"/>
        <v>-2.2000000000000006E-3</v>
      </c>
      <c r="V149" s="83">
        <f t="shared" si="73"/>
        <v>7.3000000000000009E-3</v>
      </c>
    </row>
    <row r="150" spans="1:24">
      <c r="A150" s="75">
        <v>127</v>
      </c>
      <c r="B150" s="149" t="s">
        <v>167</v>
      </c>
      <c r="C150" s="150" t="s">
        <v>72</v>
      </c>
      <c r="D150" s="4">
        <v>2673440497.71</v>
      </c>
      <c r="E150" s="3">
        <f t="shared" si="67"/>
        <v>5.5352096311455289E-2</v>
      </c>
      <c r="F150" s="4">
        <v>1.8715999999999999</v>
      </c>
      <c r="G150" s="4">
        <v>1.9027000000000001</v>
      </c>
      <c r="H150" s="60">
        <v>10316</v>
      </c>
      <c r="I150" s="5">
        <v>1.8700000000000001E-2</v>
      </c>
      <c r="J150" s="5">
        <v>7.2700000000000001E-2</v>
      </c>
      <c r="K150" s="4">
        <v>2679689111.75</v>
      </c>
      <c r="L150" s="16">
        <f t="shared" si="68"/>
        <v>5.4655440008988782E-2</v>
      </c>
      <c r="M150" s="4">
        <v>1.8759999999999999</v>
      </c>
      <c r="N150" s="4">
        <v>1.9072</v>
      </c>
      <c r="O150" s="60">
        <v>10314</v>
      </c>
      <c r="P150" s="5">
        <v>2.3E-3</v>
      </c>
      <c r="Q150" s="5">
        <v>7.5200000000000003E-2</v>
      </c>
      <c r="R150" s="81">
        <f t="shared" si="69"/>
        <v>2.3372931042798081E-3</v>
      </c>
      <c r="S150" s="81">
        <f t="shared" si="70"/>
        <v>2.3650601776422707E-3</v>
      </c>
      <c r="T150" s="81">
        <f t="shared" si="71"/>
        <v>-1.9387359441644047E-4</v>
      </c>
      <c r="U150" s="81">
        <f t="shared" si="72"/>
        <v>-1.6400000000000001E-2</v>
      </c>
      <c r="V150" s="83">
        <f t="shared" si="73"/>
        <v>2.5000000000000022E-3</v>
      </c>
    </row>
    <row r="151" spans="1:24">
      <c r="A151" s="75">
        <v>128</v>
      </c>
      <c r="B151" s="149" t="s">
        <v>168</v>
      </c>
      <c r="C151" s="150" t="s">
        <v>74</v>
      </c>
      <c r="D151" s="4">
        <v>196481963.42566061</v>
      </c>
      <c r="E151" s="3">
        <f t="shared" si="67"/>
        <v>4.0680496058606262E-3</v>
      </c>
      <c r="F151" s="4">
        <v>249.41910411574622</v>
      </c>
      <c r="G151" s="4">
        <v>255.6511153704958</v>
      </c>
      <c r="H151" s="60">
        <v>183</v>
      </c>
      <c r="I151" s="5">
        <v>7.9622589907124119E-2</v>
      </c>
      <c r="J151" s="5">
        <v>2.128860910550423E-2</v>
      </c>
      <c r="K151" s="4">
        <v>188465053.42217278</v>
      </c>
      <c r="L151" s="16">
        <f t="shared" si="68"/>
        <v>3.8439684573631327E-3</v>
      </c>
      <c r="M151" s="4">
        <v>245.21996968931984</v>
      </c>
      <c r="N151" s="4">
        <v>251.59</v>
      </c>
      <c r="O151" s="60">
        <v>183</v>
      </c>
      <c r="P151" s="5">
        <v>-1.683565676058929E-2</v>
      </c>
      <c r="Q151" s="5">
        <v>4.0945446291043019E-3</v>
      </c>
      <c r="R151" s="81">
        <f t="shared" si="69"/>
        <v>-4.0802269397725362E-2</v>
      </c>
      <c r="S151" s="81">
        <f t="shared" si="70"/>
        <v>-1.5885380999063239E-2</v>
      </c>
      <c r="T151" s="81">
        <f t="shared" si="71"/>
        <v>0</v>
      </c>
      <c r="U151" s="81">
        <f t="shared" si="72"/>
        <v>-9.645824666771341E-2</v>
      </c>
      <c r="V151" s="83">
        <f t="shared" si="73"/>
        <v>-1.7194064476399928E-2</v>
      </c>
    </row>
    <row r="152" spans="1:24" ht="13.5" customHeight="1">
      <c r="A152" s="75">
        <v>129</v>
      </c>
      <c r="B152" s="149" t="s">
        <v>240</v>
      </c>
      <c r="C152" s="150" t="s">
        <v>32</v>
      </c>
      <c r="D152" s="2">
        <v>2514015987.0323</v>
      </c>
      <c r="E152" s="3">
        <f t="shared" si="67"/>
        <v>5.2051300622530279E-2</v>
      </c>
      <c r="F152" s="4">
        <v>3.4948000000000001</v>
      </c>
      <c r="G152" s="4">
        <v>3.5558000000000001</v>
      </c>
      <c r="H152" s="60">
        <v>2313</v>
      </c>
      <c r="I152" s="5">
        <v>2.3547328959700131E-2</v>
      </c>
      <c r="J152" s="5">
        <v>-3.9177411816457286E-2</v>
      </c>
      <c r="K152" s="2">
        <v>2561401959.8427</v>
      </c>
      <c r="L152" s="16">
        <f t="shared" si="68"/>
        <v>5.2242833148530433E-2</v>
      </c>
      <c r="M152" s="4">
        <v>3.5689000000000002</v>
      </c>
      <c r="N152" s="4">
        <v>3.6307</v>
      </c>
      <c r="O152" s="60">
        <v>2313</v>
      </c>
      <c r="P152" s="5">
        <v>2.1202930067528936E-2</v>
      </c>
      <c r="Q152" s="5">
        <v>-1.8805157671899497E-2</v>
      </c>
      <c r="R152" s="81">
        <f t="shared" si="69"/>
        <v>1.8848715781770879E-2</v>
      </c>
      <c r="S152" s="81">
        <f t="shared" si="70"/>
        <v>2.106417683784239E-2</v>
      </c>
      <c r="T152" s="81">
        <f t="shared" si="71"/>
        <v>0</v>
      </c>
      <c r="U152" s="81">
        <f t="shared" si="72"/>
        <v>-2.3443988921711956E-3</v>
      </c>
      <c r="V152" s="83">
        <f>Q152-J152</f>
        <v>2.0372254144557789E-2</v>
      </c>
    </row>
    <row r="153" spans="1:24">
      <c r="A153" s="75">
        <v>130</v>
      </c>
      <c r="B153" s="149" t="s">
        <v>169</v>
      </c>
      <c r="C153" s="150" t="s">
        <v>114</v>
      </c>
      <c r="D153" s="2">
        <v>212904955.69</v>
      </c>
      <c r="E153" s="3">
        <f t="shared" si="67"/>
        <v>4.4080785125509619E-3</v>
      </c>
      <c r="F153" s="4">
        <v>185.4419</v>
      </c>
      <c r="G153" s="4">
        <v>188.93219999999999</v>
      </c>
      <c r="H153" s="60">
        <v>139</v>
      </c>
      <c r="I153" s="5">
        <v>-4.8999999999999998E-3</v>
      </c>
      <c r="J153" s="5">
        <v>5.91E-2</v>
      </c>
      <c r="K153" s="2">
        <v>212052560.09999999</v>
      </c>
      <c r="L153" s="16">
        <f t="shared" si="68"/>
        <v>4.3250636525254144E-3</v>
      </c>
      <c r="M153" s="4">
        <v>185.016178</v>
      </c>
      <c r="N153" s="4">
        <v>187.848311</v>
      </c>
      <c r="O153" s="60">
        <v>139</v>
      </c>
      <c r="P153" s="5">
        <v>-4.0000000000000002E-4</v>
      </c>
      <c r="Q153" s="5">
        <v>5.2400000000000002E-2</v>
      </c>
      <c r="R153" s="81">
        <f t="shared" si="69"/>
        <v>-4.0036437256121609E-3</v>
      </c>
      <c r="S153" s="81">
        <f t="shared" si="70"/>
        <v>-5.7369204402425806E-3</v>
      </c>
      <c r="T153" s="81">
        <f t="shared" si="71"/>
        <v>0</v>
      </c>
      <c r="U153" s="81">
        <f t="shared" si="72"/>
        <v>4.4999999999999997E-3</v>
      </c>
      <c r="V153" s="83">
        <f t="shared" si="73"/>
        <v>-6.6999999999999976E-3</v>
      </c>
    </row>
    <row r="154" spans="1:24">
      <c r="A154" s="75">
        <v>131</v>
      </c>
      <c r="B154" s="149" t="s">
        <v>170</v>
      </c>
      <c r="C154" s="150" t="s">
        <v>29</v>
      </c>
      <c r="D154" s="2">
        <v>1634275788.26</v>
      </c>
      <c r="E154" s="3">
        <f t="shared" si="67"/>
        <v>3.3836769850959174E-2</v>
      </c>
      <c r="F154" s="4">
        <v>552.22</v>
      </c>
      <c r="G154" s="4">
        <v>552.22</v>
      </c>
      <c r="H154" s="60">
        <v>823</v>
      </c>
      <c r="I154" s="5">
        <v>-1.6199999999999999E-3</v>
      </c>
      <c r="J154" s="5">
        <v>4.5407000000000003E-2</v>
      </c>
      <c r="K154" s="2">
        <v>1634965094.1500001</v>
      </c>
      <c r="L154" s="16">
        <f t="shared" ref="L154:L162" si="74">(K154/$K$163)</f>
        <v>3.3347053666889247E-2</v>
      </c>
      <c r="M154" s="4">
        <v>552.22</v>
      </c>
      <c r="N154" s="4">
        <v>552.22</v>
      </c>
      <c r="O154" s="60">
        <v>823</v>
      </c>
      <c r="P154" s="5">
        <v>4.2000000000000002E-4</v>
      </c>
      <c r="Q154" s="5">
        <v>4.5848E-2</v>
      </c>
      <c r="R154" s="81">
        <f t="shared" si="69"/>
        <v>4.2178064127964794E-4</v>
      </c>
      <c r="S154" s="81">
        <f t="shared" si="70"/>
        <v>0</v>
      </c>
      <c r="T154" s="81">
        <f t="shared" si="71"/>
        <v>0</v>
      </c>
      <c r="U154" s="81">
        <f t="shared" si="72"/>
        <v>2.0400000000000001E-3</v>
      </c>
      <c r="V154" s="83">
        <f t="shared" si="73"/>
        <v>4.4099999999999695E-4</v>
      </c>
    </row>
    <row r="155" spans="1:24">
      <c r="A155" s="75">
        <v>132</v>
      </c>
      <c r="B155" s="149" t="s">
        <v>171</v>
      </c>
      <c r="C155" s="150" t="s">
        <v>80</v>
      </c>
      <c r="D155" s="4">
        <v>24737889.100000001</v>
      </c>
      <c r="E155" s="3">
        <f t="shared" si="67"/>
        <v>5.1218421400371617E-4</v>
      </c>
      <c r="F155" s="4">
        <v>1.58</v>
      </c>
      <c r="G155" s="4">
        <v>1.58</v>
      </c>
      <c r="H155" s="60">
        <v>8</v>
      </c>
      <c r="I155" s="5">
        <v>8.0999999999999996E-3</v>
      </c>
      <c r="J155" s="122">
        <v>-2.87E-2</v>
      </c>
      <c r="K155" s="4">
        <v>25238101.010000002</v>
      </c>
      <c r="L155" s="16">
        <f t="shared" si="74"/>
        <v>5.1476102568929073E-4</v>
      </c>
      <c r="M155" s="4">
        <v>1.61</v>
      </c>
      <c r="N155" s="4">
        <v>1.61</v>
      </c>
      <c r="O155" s="60">
        <v>7</v>
      </c>
      <c r="P155" s="5">
        <v>4.7943E-2</v>
      </c>
      <c r="Q155" s="122">
        <v>-9.1070000000000005E-3</v>
      </c>
      <c r="R155" s="81">
        <f t="shared" si="69"/>
        <v>2.0220476693785492E-2</v>
      </c>
      <c r="S155" s="81">
        <f t="shared" si="70"/>
        <v>1.8987341772151913E-2</v>
      </c>
      <c r="T155" s="81">
        <f t="shared" si="71"/>
        <v>-0.125</v>
      </c>
      <c r="U155" s="81">
        <f t="shared" si="72"/>
        <v>3.9843000000000003E-2</v>
      </c>
      <c r="V155" s="83">
        <f t="shared" si="73"/>
        <v>1.9592999999999999E-2</v>
      </c>
    </row>
    <row r="156" spans="1:24">
      <c r="A156" s="75">
        <v>133</v>
      </c>
      <c r="B156" s="149" t="s">
        <v>172</v>
      </c>
      <c r="C156" s="150" t="s">
        <v>38</v>
      </c>
      <c r="D156" s="4">
        <v>239763230.88</v>
      </c>
      <c r="E156" s="3">
        <f t="shared" si="67"/>
        <v>4.9641641394238571E-3</v>
      </c>
      <c r="F156" s="4">
        <v>2.4300000000000002</v>
      </c>
      <c r="G156" s="4">
        <v>2.4700000000000002</v>
      </c>
      <c r="H156" s="60">
        <v>119</v>
      </c>
      <c r="I156" s="5">
        <v>3.5200000000000002E-2</v>
      </c>
      <c r="J156" s="5">
        <v>4.4900000000000002E-2</v>
      </c>
      <c r="K156" s="4">
        <v>243702833.88999999</v>
      </c>
      <c r="L156" s="16">
        <f t="shared" si="74"/>
        <v>4.9706085527947263E-3</v>
      </c>
      <c r="M156" s="4">
        <v>2.4672390000000002</v>
      </c>
      <c r="N156" s="4">
        <v>2.5111629999999998</v>
      </c>
      <c r="O156" s="60">
        <v>118</v>
      </c>
      <c r="P156" s="5">
        <v>-1.6199999999999999E-2</v>
      </c>
      <c r="Q156" s="5">
        <v>6.1899999999999997E-2</v>
      </c>
      <c r="R156" s="81">
        <f t="shared" si="69"/>
        <v>1.6431222567115544E-2</v>
      </c>
      <c r="S156" s="81">
        <f t="shared" si="70"/>
        <v>1.666518218623466E-2</v>
      </c>
      <c r="T156" s="81">
        <f t="shared" si="71"/>
        <v>-8.4033613445378148E-3</v>
      </c>
      <c r="U156" s="81">
        <f t="shared" si="72"/>
        <v>-5.1400000000000001E-2</v>
      </c>
      <c r="V156" s="83">
        <f t="shared" si="73"/>
        <v>1.6999999999999994E-2</v>
      </c>
    </row>
    <row r="157" spans="1:24">
      <c r="A157" s="75">
        <v>134</v>
      </c>
      <c r="B157" s="149" t="s">
        <v>173</v>
      </c>
      <c r="C157" s="150" t="s">
        <v>42</v>
      </c>
      <c r="D157" s="2">
        <v>2704678714.4699998</v>
      </c>
      <c r="E157" s="3">
        <f t="shared" si="67"/>
        <v>5.5998866188764589E-2</v>
      </c>
      <c r="F157" s="4">
        <v>5298.37</v>
      </c>
      <c r="G157" s="4">
        <v>5349.75</v>
      </c>
      <c r="H157" s="60">
        <v>2245</v>
      </c>
      <c r="I157" s="5">
        <v>2.1399999999999999E-2</v>
      </c>
      <c r="J157" s="5">
        <v>6.54E-2</v>
      </c>
      <c r="K157" s="2">
        <v>2694555372.5599999</v>
      </c>
      <c r="L157" s="3">
        <f t="shared" si="74"/>
        <v>5.4958655043261286E-2</v>
      </c>
      <c r="M157" s="4">
        <v>5342.43</v>
      </c>
      <c r="N157" s="4">
        <v>5395.09</v>
      </c>
      <c r="O157" s="60">
        <v>2245</v>
      </c>
      <c r="P157" s="5">
        <v>8.5000000000000006E-3</v>
      </c>
      <c r="Q157" s="5">
        <v>7.4499999999999997E-2</v>
      </c>
      <c r="R157" s="81">
        <f t="shared" si="69"/>
        <v>-3.742899981369353E-3</v>
      </c>
      <c r="S157" s="81">
        <f t="shared" si="70"/>
        <v>8.4751623907659505E-3</v>
      </c>
      <c r="T157" s="81">
        <f t="shared" si="71"/>
        <v>0</v>
      </c>
      <c r="U157" s="81">
        <f t="shared" si="72"/>
        <v>-1.2899999999999998E-2</v>
      </c>
      <c r="V157" s="83">
        <f t="shared" si="73"/>
        <v>9.099999999999997E-3</v>
      </c>
    </row>
    <row r="158" spans="1:24">
      <c r="A158" s="75">
        <v>135</v>
      </c>
      <c r="B158" s="149" t="s">
        <v>256</v>
      </c>
      <c r="C158" s="149" t="s">
        <v>257</v>
      </c>
      <c r="D158" s="2">
        <v>635608405.23000002</v>
      </c>
      <c r="E158" s="3">
        <f t="shared" si="67"/>
        <v>1.3159917975656339E-2</v>
      </c>
      <c r="F158" s="4">
        <v>1.22</v>
      </c>
      <c r="G158" s="4">
        <v>1.22</v>
      </c>
      <c r="H158" s="60">
        <v>32</v>
      </c>
      <c r="I158" s="5">
        <v>2.5000000000000001E-3</v>
      </c>
      <c r="J158" s="5">
        <v>7.5399999999999995E-2</v>
      </c>
      <c r="K158" s="2">
        <v>637809587.91999996</v>
      </c>
      <c r="L158" s="3">
        <f t="shared" si="74"/>
        <v>1.3008883574167254E-2</v>
      </c>
      <c r="M158" s="4">
        <v>1.224</v>
      </c>
      <c r="N158" s="4">
        <v>1.224</v>
      </c>
      <c r="O158" s="60">
        <v>32</v>
      </c>
      <c r="P158" s="5">
        <v>3.3E-3</v>
      </c>
      <c r="Q158" s="5">
        <v>8.1299999999999997E-2</v>
      </c>
      <c r="R158" s="81">
        <f>((K158-D158)/D158)</f>
        <v>3.4631113621026179E-3</v>
      </c>
      <c r="S158" s="81">
        <f>((N158-G158)/G158)</f>
        <v>3.278688524590167E-3</v>
      </c>
      <c r="T158" s="81">
        <f>((O158-H158)/H158)</f>
        <v>0</v>
      </c>
      <c r="U158" s="81">
        <f>P158-I158</f>
        <v>7.9999999999999993E-4</v>
      </c>
      <c r="V158" s="83">
        <f>Q158-J158</f>
        <v>5.9000000000000025E-3</v>
      </c>
    </row>
    <row r="159" spans="1:24">
      <c r="A159" s="75">
        <v>136</v>
      </c>
      <c r="B159" s="149" t="s">
        <v>174</v>
      </c>
      <c r="C159" s="150" t="s">
        <v>45</v>
      </c>
      <c r="D159" s="4">
        <v>1658622776.5599999</v>
      </c>
      <c r="E159" s="3">
        <f t="shared" si="67"/>
        <v>3.4340860681643395E-2</v>
      </c>
      <c r="F159" s="4">
        <v>1.8548</v>
      </c>
      <c r="G159" s="4">
        <v>1.8652</v>
      </c>
      <c r="H159" s="60">
        <v>2020</v>
      </c>
      <c r="I159" s="5">
        <v>2.5000000000000001E-3</v>
      </c>
      <c r="J159" s="5">
        <v>3.0000000000000001E-3</v>
      </c>
      <c r="K159" s="4">
        <v>1673434515.54</v>
      </c>
      <c r="L159" s="16">
        <f t="shared" si="74"/>
        <v>3.4131683176238763E-2</v>
      </c>
      <c r="M159" s="4">
        <v>1.8732</v>
      </c>
      <c r="N159" s="4">
        <v>1.8838999999999999</v>
      </c>
      <c r="O159" s="60">
        <v>2029</v>
      </c>
      <c r="P159" s="5">
        <v>9.9000000000000008E-3</v>
      </c>
      <c r="Q159" s="5">
        <v>1.2999999999999999E-2</v>
      </c>
      <c r="R159" s="81">
        <f t="shared" si="69"/>
        <v>8.930143242527824E-3</v>
      </c>
      <c r="S159" s="81">
        <f t="shared" si="70"/>
        <v>1.0025734505683004E-2</v>
      </c>
      <c r="T159" s="81">
        <f t="shared" si="71"/>
        <v>4.4554455445544551E-3</v>
      </c>
      <c r="U159" s="81">
        <f t="shared" si="72"/>
        <v>7.4000000000000003E-3</v>
      </c>
      <c r="V159" s="83">
        <f t="shared" si="73"/>
        <v>9.9999999999999985E-3</v>
      </c>
    </row>
    <row r="160" spans="1:24">
      <c r="A160" s="75">
        <v>137</v>
      </c>
      <c r="B160" s="149" t="s">
        <v>175</v>
      </c>
      <c r="C160" s="150" t="s">
        <v>45</v>
      </c>
      <c r="D160" s="4">
        <v>1032700688.0700001</v>
      </c>
      <c r="E160" s="3">
        <f t="shared" si="67"/>
        <v>2.1381492498494133E-2</v>
      </c>
      <c r="F160" s="4">
        <v>1.5984</v>
      </c>
      <c r="G160" s="4">
        <v>1.6073</v>
      </c>
      <c r="H160" s="60">
        <v>622</v>
      </c>
      <c r="I160" s="5">
        <v>3.0000000000000001E-3</v>
      </c>
      <c r="J160" s="5">
        <v>0.1235</v>
      </c>
      <c r="K160" s="4">
        <v>1043372253.49</v>
      </c>
      <c r="L160" s="16">
        <f t="shared" si="74"/>
        <v>2.1280815508641113E-2</v>
      </c>
      <c r="M160" s="4">
        <v>1.6165</v>
      </c>
      <c r="N160" s="4">
        <v>1.6256999999999999</v>
      </c>
      <c r="O160" s="60">
        <v>624</v>
      </c>
      <c r="P160" s="5">
        <v>1.1299999999999999E-2</v>
      </c>
      <c r="Q160" s="5">
        <v>0.13619999999999999</v>
      </c>
      <c r="R160" s="81">
        <f t="shared" si="69"/>
        <v>1.0333648019489458E-2</v>
      </c>
      <c r="S160" s="81">
        <f t="shared" si="70"/>
        <v>1.1447769551421622E-2</v>
      </c>
      <c r="T160" s="81">
        <f t="shared" si="71"/>
        <v>3.2154340836012861E-3</v>
      </c>
      <c r="U160" s="81">
        <f t="shared" si="72"/>
        <v>8.2999999999999984E-3</v>
      </c>
      <c r="V160" s="83">
        <f t="shared" si="73"/>
        <v>1.2699999999999989E-2</v>
      </c>
    </row>
    <row r="161" spans="1:22">
      <c r="A161" s="75">
        <v>138</v>
      </c>
      <c r="B161" s="149" t="s">
        <v>176</v>
      </c>
      <c r="C161" s="150" t="s">
        <v>87</v>
      </c>
      <c r="D161" s="2">
        <v>8608009895.4599991</v>
      </c>
      <c r="E161" s="3">
        <f t="shared" si="67"/>
        <v>0.1782240499429836</v>
      </c>
      <c r="F161" s="4">
        <v>421.15</v>
      </c>
      <c r="G161" s="4">
        <v>425.37</v>
      </c>
      <c r="H161" s="60">
        <v>32</v>
      </c>
      <c r="I161" s="5">
        <v>4.2000000000000003E-2</v>
      </c>
      <c r="J161" s="5">
        <v>0.20780000000000001</v>
      </c>
      <c r="K161" s="2">
        <v>9012800401.6000004</v>
      </c>
      <c r="L161" s="16">
        <f t="shared" si="74"/>
        <v>0.18382676165778872</v>
      </c>
      <c r="M161" s="4">
        <v>441</v>
      </c>
      <c r="N161" s="4">
        <v>445.35</v>
      </c>
      <c r="O161" s="60">
        <v>32</v>
      </c>
      <c r="P161" s="5">
        <v>4.7E-2</v>
      </c>
      <c r="Q161" s="5">
        <v>0.2646</v>
      </c>
      <c r="R161" s="81">
        <f t="shared" si="69"/>
        <v>4.7024865335423723E-2</v>
      </c>
      <c r="S161" s="81">
        <f t="shared" si="70"/>
        <v>4.6970872416954697E-2</v>
      </c>
      <c r="T161" s="81">
        <f t="shared" si="71"/>
        <v>0</v>
      </c>
      <c r="U161" s="81">
        <f t="shared" si="72"/>
        <v>4.9999999999999975E-3</v>
      </c>
      <c r="V161" s="83">
        <f t="shared" si="73"/>
        <v>5.6799999999999989E-2</v>
      </c>
    </row>
    <row r="162" spans="1:22">
      <c r="A162" s="75">
        <v>139</v>
      </c>
      <c r="B162" s="149" t="s">
        <v>177</v>
      </c>
      <c r="C162" s="150" t="s">
        <v>40</v>
      </c>
      <c r="D162" s="2">
        <v>417633896.20999998</v>
      </c>
      <c r="E162" s="3">
        <f t="shared" si="67"/>
        <v>8.6468771853144243E-3</v>
      </c>
      <c r="F162" s="4">
        <v>217.14</v>
      </c>
      <c r="G162" s="4">
        <v>219.84</v>
      </c>
      <c r="H162" s="60">
        <v>690</v>
      </c>
      <c r="I162" s="5">
        <v>-5.1000000000000004E-3</v>
      </c>
      <c r="J162" s="5">
        <v>0.12520000000000001</v>
      </c>
      <c r="K162" s="2">
        <v>425198281.30000001</v>
      </c>
      <c r="L162" s="16">
        <f t="shared" si="74"/>
        <v>8.6724236231793869E-3</v>
      </c>
      <c r="M162" s="4">
        <v>221.05</v>
      </c>
      <c r="N162" s="4">
        <v>223.84</v>
      </c>
      <c r="O162" s="60">
        <v>690</v>
      </c>
      <c r="P162" s="5">
        <v>9.4000000000000004E-3</v>
      </c>
      <c r="Q162" s="5">
        <v>0.14560000000000001</v>
      </c>
      <c r="R162" s="81">
        <f t="shared" si="69"/>
        <v>1.8112478796971053E-2</v>
      </c>
      <c r="S162" s="81">
        <f t="shared" si="70"/>
        <v>1.8195050946142648E-2</v>
      </c>
      <c r="T162" s="81">
        <f t="shared" si="71"/>
        <v>0</v>
      </c>
      <c r="U162" s="81">
        <f t="shared" si="72"/>
        <v>1.4500000000000001E-2</v>
      </c>
      <c r="V162" s="83">
        <f t="shared" si="73"/>
        <v>2.0400000000000001E-2</v>
      </c>
    </row>
    <row r="163" spans="1:22">
      <c r="A163" s="84"/>
      <c r="B163" s="19"/>
      <c r="C163" s="71" t="s">
        <v>46</v>
      </c>
      <c r="D163" s="72">
        <f>SUM(D137:D162)</f>
        <v>48298812075.103348</v>
      </c>
      <c r="E163" s="100">
        <f>(D163/$D$189)</f>
        <v>1.7678301713299819E-2</v>
      </c>
      <c r="F163" s="30"/>
      <c r="G163" s="36"/>
      <c r="H163" s="65">
        <f>SUM(H137:H162)</f>
        <v>69398</v>
      </c>
      <c r="I163" s="37"/>
      <c r="J163" s="37"/>
      <c r="K163" s="72">
        <f>SUM(K137:K162)</f>
        <v>49028772091.292122</v>
      </c>
      <c r="L163" s="100">
        <f>(K163/$K$189)</f>
        <v>1.7476696591810621E-2</v>
      </c>
      <c r="M163" s="30"/>
      <c r="N163" s="36"/>
      <c r="O163" s="65">
        <f>SUM(O137:O162)</f>
        <v>69382</v>
      </c>
      <c r="P163" s="37"/>
      <c r="Q163" s="37"/>
      <c r="R163" s="81">
        <f t="shared" si="69"/>
        <v>1.5113415523630396E-2</v>
      </c>
      <c r="S163" s="81" t="e">
        <f t="shared" si="70"/>
        <v>#DIV/0!</v>
      </c>
      <c r="T163" s="81">
        <f t="shared" si="71"/>
        <v>-2.3055419464537884E-4</v>
      </c>
      <c r="U163" s="81">
        <f t="shared" si="72"/>
        <v>0</v>
      </c>
      <c r="V163" s="83">
        <f t="shared" si="73"/>
        <v>0</v>
      </c>
    </row>
    <row r="164" spans="1:22" ht="8.25" customHeight="1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</row>
    <row r="165" spans="1:22" ht="15" customHeight="1">
      <c r="A165" s="162" t="s">
        <v>178</v>
      </c>
      <c r="B165" s="162"/>
      <c r="C165" s="162"/>
      <c r="D165" s="162"/>
      <c r="E165" s="162"/>
      <c r="F165" s="162"/>
      <c r="G165" s="162"/>
      <c r="H165" s="162"/>
      <c r="I165" s="162"/>
      <c r="J165" s="162"/>
      <c r="K165" s="162"/>
      <c r="L165" s="162"/>
      <c r="M165" s="162"/>
      <c r="N165" s="162"/>
      <c r="O165" s="162"/>
      <c r="P165" s="162"/>
      <c r="Q165" s="162"/>
      <c r="R165" s="162"/>
      <c r="S165" s="162"/>
      <c r="T165" s="162"/>
      <c r="U165" s="162"/>
      <c r="V165" s="162"/>
    </row>
    <row r="166" spans="1:22">
      <c r="A166" s="75">
        <v>140</v>
      </c>
      <c r="B166" s="149" t="s">
        <v>179</v>
      </c>
      <c r="C166" s="150" t="s">
        <v>21</v>
      </c>
      <c r="D166" s="17">
        <v>920279154.82000005</v>
      </c>
      <c r="E166" s="3">
        <f>(D166/$D$169)</f>
        <v>0.19140796674918661</v>
      </c>
      <c r="F166" s="17">
        <v>63.713700000000003</v>
      </c>
      <c r="G166" s="17">
        <v>65.634699999999995</v>
      </c>
      <c r="H166" s="62">
        <v>1526</v>
      </c>
      <c r="I166" s="6">
        <v>0.1366</v>
      </c>
      <c r="J166" s="6">
        <v>0.49719999999999998</v>
      </c>
      <c r="K166" s="17">
        <v>913941488.5</v>
      </c>
      <c r="L166" s="16">
        <f>(K166/$K$169)</f>
        <v>0.18700152854249263</v>
      </c>
      <c r="M166" s="17">
        <v>63.865000000000002</v>
      </c>
      <c r="N166" s="17">
        <v>65.790499999999994</v>
      </c>
      <c r="O166" s="62">
        <v>1533</v>
      </c>
      <c r="P166" s="6">
        <v>0.1241</v>
      </c>
      <c r="Q166" s="6">
        <v>0.47839999999999999</v>
      </c>
      <c r="R166" s="81">
        <f>((K166-D166)/D166)</f>
        <v>-6.8866781202271765E-3</v>
      </c>
      <c r="S166" s="81">
        <f t="shared" ref="S166:T169" si="75">((N166-G166)/G166)</f>
        <v>2.373744376069355E-3</v>
      </c>
      <c r="T166" s="81">
        <f t="shared" si="75"/>
        <v>4.5871559633027525E-3</v>
      </c>
      <c r="U166" s="81">
        <f t="shared" ref="U166:V169" si="76">P166-I166</f>
        <v>-1.2499999999999997E-2</v>
      </c>
      <c r="V166" s="83">
        <f t="shared" si="76"/>
        <v>-1.8799999999999983E-2</v>
      </c>
    </row>
    <row r="167" spans="1:22">
      <c r="A167" s="75">
        <v>141</v>
      </c>
      <c r="B167" s="149" t="s">
        <v>180</v>
      </c>
      <c r="C167" s="150" t="s">
        <v>181</v>
      </c>
      <c r="D167" s="98">
        <v>772393675.12</v>
      </c>
      <c r="E167" s="3">
        <f>(D167/$D$169)</f>
        <v>0.16064940959525253</v>
      </c>
      <c r="F167" s="17">
        <v>21.250599999999999</v>
      </c>
      <c r="G167" s="17">
        <v>21.414200000000001</v>
      </c>
      <c r="H167" s="60">
        <v>1498</v>
      </c>
      <c r="I167" s="5">
        <v>2.7199999999999998E-2</v>
      </c>
      <c r="J167" s="5">
        <v>-2.5499999999999998E-2</v>
      </c>
      <c r="K167" s="98">
        <v>807312217.55999994</v>
      </c>
      <c r="L167" s="16">
        <f>(K167/$K$169)</f>
        <v>0.16518411801451921</v>
      </c>
      <c r="M167" s="17">
        <v>22.9009</v>
      </c>
      <c r="N167" s="17">
        <v>23.099699999999999</v>
      </c>
      <c r="O167" s="60">
        <v>1497</v>
      </c>
      <c r="P167" s="5">
        <v>2.6499999999999999E-2</v>
      </c>
      <c r="Q167" s="5">
        <v>5.0700000000000002E-2</v>
      </c>
      <c r="R167" s="81">
        <f>((K167-D167)/D167)</f>
        <v>4.5208219027136586E-2</v>
      </c>
      <c r="S167" s="81">
        <f t="shared" si="75"/>
        <v>7.8709454474133869E-2</v>
      </c>
      <c r="T167" s="81">
        <f t="shared" si="75"/>
        <v>-6.6755674232309744E-4</v>
      </c>
      <c r="U167" s="81">
        <f t="shared" si="76"/>
        <v>-6.9999999999999923E-4</v>
      </c>
      <c r="V167" s="83">
        <f t="shared" si="76"/>
        <v>7.6200000000000004E-2</v>
      </c>
    </row>
    <row r="168" spans="1:22">
      <c r="A168" s="75">
        <v>142</v>
      </c>
      <c r="B168" s="149" t="s">
        <v>182</v>
      </c>
      <c r="C168" s="150" t="s">
        <v>42</v>
      </c>
      <c r="D168" s="9">
        <v>3115273100.6799998</v>
      </c>
      <c r="E168" s="3">
        <f>(D168/$D$169)</f>
        <v>0.64794262365556088</v>
      </c>
      <c r="F168" s="17">
        <v>2.25</v>
      </c>
      <c r="G168" s="17">
        <v>2.27</v>
      </c>
      <c r="H168" s="60">
        <v>10066</v>
      </c>
      <c r="I168" s="5">
        <v>2.7099999999999999E-2</v>
      </c>
      <c r="J168" s="5">
        <v>9.1300000000000006E-2</v>
      </c>
      <c r="K168" s="9">
        <v>3166093983.6799998</v>
      </c>
      <c r="L168" s="16">
        <f>(K168/$K$169)</f>
        <v>0.6478143534429881</v>
      </c>
      <c r="M168" s="17">
        <v>2.29</v>
      </c>
      <c r="N168" s="17">
        <v>2.3199999999999998</v>
      </c>
      <c r="O168" s="60">
        <v>10075</v>
      </c>
      <c r="P168" s="5">
        <v>2.1999999999999999E-2</v>
      </c>
      <c r="Q168" s="5">
        <v>0.1154</v>
      </c>
      <c r="R168" s="81">
        <f>((K168-D168)/D168)</f>
        <v>1.6313459962436952E-2</v>
      </c>
      <c r="S168" s="81">
        <f t="shared" si="75"/>
        <v>2.2026431718061595E-2</v>
      </c>
      <c r="T168" s="81">
        <f t="shared" si="75"/>
        <v>8.9409894695012917E-4</v>
      </c>
      <c r="U168" s="81">
        <f t="shared" si="76"/>
        <v>-5.1000000000000004E-3</v>
      </c>
      <c r="V168" s="83">
        <f t="shared" si="76"/>
        <v>2.4099999999999996E-2</v>
      </c>
    </row>
    <row r="169" spans="1:22">
      <c r="A169" s="75"/>
      <c r="B169" s="19"/>
      <c r="C169" s="66" t="s">
        <v>46</v>
      </c>
      <c r="D169" s="72">
        <f>SUM(D166:D168)</f>
        <v>4807945930.6199999</v>
      </c>
      <c r="E169" s="100">
        <f>(D169/$D$189)</f>
        <v>1.7598014346722536E-3</v>
      </c>
      <c r="F169" s="30"/>
      <c r="G169" s="36"/>
      <c r="H169" s="65">
        <f>SUM(H166:H168)</f>
        <v>13090</v>
      </c>
      <c r="I169" s="37"/>
      <c r="J169" s="37"/>
      <c r="K169" s="72">
        <f>SUM(K166:K168)</f>
        <v>4887347689.7399998</v>
      </c>
      <c r="L169" s="100">
        <f>(K169/$K$189)</f>
        <v>1.7421340382179969E-3</v>
      </c>
      <c r="M169" s="30"/>
      <c r="N169" s="36"/>
      <c r="O169" s="65">
        <f>SUM(O166:O168)</f>
        <v>13105</v>
      </c>
      <c r="P169" s="37"/>
      <c r="Q169" s="37"/>
      <c r="R169" s="81">
        <f>((K169-D169)/D169)</f>
        <v>1.6514694687874906E-2</v>
      </c>
      <c r="S169" s="81" t="e">
        <f t="shared" si="75"/>
        <v>#DIV/0!</v>
      </c>
      <c r="T169" s="81">
        <f t="shared" si="75"/>
        <v>1.1459129106187931E-3</v>
      </c>
      <c r="U169" s="81">
        <f t="shared" si="76"/>
        <v>0</v>
      </c>
      <c r="V169" s="83">
        <f t="shared" si="76"/>
        <v>0</v>
      </c>
    </row>
    <row r="170" spans="1:22" ht="6" customHeight="1">
      <c r="A170" s="155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</row>
    <row r="171" spans="1:22" ht="15" customHeight="1">
      <c r="A171" s="162" t="s">
        <v>183</v>
      </c>
      <c r="B171" s="162"/>
      <c r="C171" s="162"/>
      <c r="D171" s="162"/>
      <c r="E171" s="162"/>
      <c r="F171" s="162"/>
      <c r="G171" s="162"/>
      <c r="H171" s="162"/>
      <c r="I171" s="162"/>
      <c r="J171" s="162"/>
      <c r="K171" s="162"/>
      <c r="L171" s="162"/>
      <c r="M171" s="162"/>
      <c r="N171" s="162"/>
      <c r="O171" s="162"/>
      <c r="P171" s="162"/>
      <c r="Q171" s="162"/>
      <c r="R171" s="162"/>
      <c r="S171" s="162"/>
      <c r="T171" s="162"/>
      <c r="U171" s="162"/>
      <c r="V171" s="162"/>
    </row>
    <row r="172" spans="1:22">
      <c r="A172" s="166" t="s">
        <v>232</v>
      </c>
      <c r="B172" s="166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</row>
    <row r="173" spans="1:22">
      <c r="A173" s="75">
        <v>143</v>
      </c>
      <c r="B173" s="149" t="s">
        <v>184</v>
      </c>
      <c r="C173" s="150" t="s">
        <v>185</v>
      </c>
      <c r="D173" s="13">
        <v>4077794451.2600002</v>
      </c>
      <c r="E173" s="3">
        <f>(D173/$D$188)</f>
        <v>7.9120383283443188E-2</v>
      </c>
      <c r="F173" s="18">
        <v>1.93</v>
      </c>
      <c r="G173" s="18">
        <v>1.97</v>
      </c>
      <c r="H173" s="61">
        <v>14986</v>
      </c>
      <c r="I173" s="12">
        <v>5.5999999999999999E-3</v>
      </c>
      <c r="J173" s="12">
        <v>6.88E-2</v>
      </c>
      <c r="K173" s="13">
        <v>4107653047.6599998</v>
      </c>
      <c r="L173" s="3">
        <f>(K173/$K$188)</f>
        <v>8.0158558776404751E-2</v>
      </c>
      <c r="M173" s="18">
        <v>1.94</v>
      </c>
      <c r="N173" s="18">
        <v>1.98</v>
      </c>
      <c r="O173" s="61">
        <v>14982</v>
      </c>
      <c r="P173" s="12">
        <v>6.7000000000000002E-3</v>
      </c>
      <c r="Q173" s="12">
        <v>7.51E-2</v>
      </c>
      <c r="R173" s="81">
        <f>((K173-D173)/D173)</f>
        <v>7.3222416570736153E-3</v>
      </c>
      <c r="S173" s="81">
        <f>((N173-G173)/G173)</f>
        <v>5.0761421319797002E-3</v>
      </c>
      <c r="T173" s="81">
        <f>((O173-H173)/H173)</f>
        <v>-2.6691578806886429E-4</v>
      </c>
      <c r="U173" s="81">
        <f>P173-I173</f>
        <v>1.1000000000000003E-3</v>
      </c>
      <c r="V173" s="83">
        <f>Q173-J173</f>
        <v>6.3E-3</v>
      </c>
    </row>
    <row r="174" spans="1:22">
      <c r="A174" s="75">
        <v>144</v>
      </c>
      <c r="B174" s="149" t="s">
        <v>186</v>
      </c>
      <c r="C174" s="150" t="s">
        <v>42</v>
      </c>
      <c r="D174" s="13">
        <v>734505709.77999997</v>
      </c>
      <c r="E174" s="3">
        <f>(D174/$D$188)</f>
        <v>1.4251422914098647E-2</v>
      </c>
      <c r="F174" s="18">
        <v>423.37</v>
      </c>
      <c r="G174" s="18">
        <v>428.87</v>
      </c>
      <c r="H174" s="61">
        <v>824</v>
      </c>
      <c r="I174" s="12">
        <v>6.4999999999999997E-3</v>
      </c>
      <c r="J174" s="12">
        <v>0.1231</v>
      </c>
      <c r="K174" s="13">
        <v>734122476.17999995</v>
      </c>
      <c r="L174" s="3">
        <f>(K174/$K$188)</f>
        <v>1.4325990772145945E-2</v>
      </c>
      <c r="M174" s="18">
        <v>426.48</v>
      </c>
      <c r="N174" s="18">
        <v>432.08</v>
      </c>
      <c r="O174" s="61">
        <v>828</v>
      </c>
      <c r="P174" s="12">
        <v>7.4999999999999997E-3</v>
      </c>
      <c r="Q174" s="12">
        <v>0.13150000000000001</v>
      </c>
      <c r="R174" s="81">
        <f>((K174-D174)/D174)</f>
        <v>-5.217571421123607E-4</v>
      </c>
      <c r="S174" s="81">
        <f>((N174-G174)/G174)</f>
        <v>7.4847855993657271E-3</v>
      </c>
      <c r="T174" s="81">
        <f>((O174-H174)/H174)</f>
        <v>4.8543689320388345E-3</v>
      </c>
      <c r="U174" s="81">
        <f>P174-I174</f>
        <v>1E-3</v>
      </c>
      <c r="V174" s="83">
        <f>Q174-J174</f>
        <v>8.4000000000000047E-3</v>
      </c>
    </row>
    <row r="175" spans="1:22" ht="6" customHeight="1">
      <c r="A175" s="155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</row>
    <row r="176" spans="1:22" ht="15" customHeight="1">
      <c r="A176" s="166" t="s">
        <v>231</v>
      </c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</row>
    <row r="177" spans="1:24">
      <c r="A177" s="75">
        <v>145</v>
      </c>
      <c r="B177" s="149" t="s">
        <v>187</v>
      </c>
      <c r="C177" s="150" t="s">
        <v>188</v>
      </c>
      <c r="D177" s="2">
        <v>401343559.44</v>
      </c>
      <c r="E177" s="3">
        <f t="shared" ref="E177:E187" si="77">(D177/$D$188)</f>
        <v>7.7871645152252185E-3</v>
      </c>
      <c r="F177" s="2">
        <v>1034.9000000000001</v>
      </c>
      <c r="G177" s="2">
        <v>1034.9000000000001</v>
      </c>
      <c r="H177" s="60">
        <v>19</v>
      </c>
      <c r="I177" s="5">
        <v>2E-3</v>
      </c>
      <c r="J177" s="5">
        <v>0.04</v>
      </c>
      <c r="K177" s="2">
        <v>401951816.95999998</v>
      </c>
      <c r="L177" s="3">
        <f t="shared" ref="L177:L187" si="78">(K177/$K$188)</f>
        <v>7.8438655775529744E-3</v>
      </c>
      <c r="M177" s="2">
        <v>1036.47</v>
      </c>
      <c r="N177" s="2">
        <v>1036.47</v>
      </c>
      <c r="O177" s="60">
        <v>19</v>
      </c>
      <c r="P177" s="5">
        <v>1.9E-3</v>
      </c>
      <c r="Q177" s="5">
        <v>4.19E-2</v>
      </c>
      <c r="R177" s="81">
        <f>((K177-D177)/D177)</f>
        <v>1.5155532104431692E-3</v>
      </c>
      <c r="S177" s="81">
        <f>((N177-G177)/G177)</f>
        <v>1.5170547879021512E-3</v>
      </c>
      <c r="T177" s="81">
        <f>((O177-H177)/H177)</f>
        <v>0</v>
      </c>
      <c r="U177" s="81">
        <f>P177-I177</f>
        <v>-1.0000000000000005E-4</v>
      </c>
      <c r="V177" s="83">
        <f>Q177-J177</f>
        <v>1.8999999999999989E-3</v>
      </c>
      <c r="X177" s="70"/>
    </row>
    <row r="178" spans="1:24">
      <c r="A178" s="75">
        <v>146</v>
      </c>
      <c r="B178" s="149" t="s">
        <v>189</v>
      </c>
      <c r="C178" s="150" t="s">
        <v>58</v>
      </c>
      <c r="D178" s="2">
        <v>110967696.69</v>
      </c>
      <c r="E178" s="3">
        <f t="shared" si="77"/>
        <v>2.1530773066506066E-3</v>
      </c>
      <c r="F178" s="17">
        <v>110.26</v>
      </c>
      <c r="G178" s="17">
        <v>110.26</v>
      </c>
      <c r="H178" s="60">
        <v>70</v>
      </c>
      <c r="I178" s="5">
        <v>1.4E-3</v>
      </c>
      <c r="J178" s="5">
        <v>0.10199999999999999</v>
      </c>
      <c r="K178" s="2">
        <v>110376997.17</v>
      </c>
      <c r="L178" s="3">
        <f t="shared" si="78"/>
        <v>2.153945552985479E-3</v>
      </c>
      <c r="M178" s="17">
        <v>110.47</v>
      </c>
      <c r="N178" s="17">
        <v>110.47</v>
      </c>
      <c r="O178" s="60">
        <v>70</v>
      </c>
      <c r="P178" s="5">
        <v>1.9E-3</v>
      </c>
      <c r="Q178" s="5">
        <v>0.1026</v>
      </c>
      <c r="R178" s="81">
        <f t="shared" ref="R178:R189" si="79">((K178-D178)/D178)</f>
        <v>-5.3231664495134784E-3</v>
      </c>
      <c r="S178" s="81">
        <f t="shared" ref="S178:S188" si="80">((N178-G178)/G178)</f>
        <v>1.9045891529112437E-3</v>
      </c>
      <c r="T178" s="81">
        <f t="shared" ref="T178:T188" si="81">((O178-H178)/H178)</f>
        <v>0</v>
      </c>
      <c r="U178" s="81">
        <f t="shared" ref="U178:U188" si="82">P178-I178</f>
        <v>5.0000000000000001E-4</v>
      </c>
      <c r="V178" s="83">
        <f t="shared" ref="V178:V188" si="83">Q178-J178</f>
        <v>6.0000000000000331E-4</v>
      </c>
    </row>
    <row r="179" spans="1:24">
      <c r="A179" s="75">
        <v>147</v>
      </c>
      <c r="B179" s="152" t="s">
        <v>190</v>
      </c>
      <c r="C179" s="150" t="s">
        <v>64</v>
      </c>
      <c r="D179" s="9">
        <v>56508523.899999999</v>
      </c>
      <c r="E179" s="3">
        <f t="shared" si="77"/>
        <v>1.0964201661435192E-3</v>
      </c>
      <c r="F179" s="17">
        <v>101.95</v>
      </c>
      <c r="G179" s="17">
        <v>103.25</v>
      </c>
      <c r="H179" s="60">
        <v>12</v>
      </c>
      <c r="I179" s="5">
        <v>0</v>
      </c>
      <c r="J179" s="5">
        <v>6.4299999999999996E-2</v>
      </c>
      <c r="K179" s="9">
        <v>56651980.590000004</v>
      </c>
      <c r="L179" s="3">
        <f t="shared" si="78"/>
        <v>1.1055318117751452E-3</v>
      </c>
      <c r="M179" s="17">
        <v>102.07</v>
      </c>
      <c r="N179" s="17">
        <v>103.47</v>
      </c>
      <c r="O179" s="60">
        <v>12</v>
      </c>
      <c r="P179" s="5">
        <v>1.6999999999999999E-3</v>
      </c>
      <c r="Q179" s="5">
        <v>6.6000000000000003E-2</v>
      </c>
      <c r="R179" s="81">
        <f t="shared" si="79"/>
        <v>2.5386734619696032E-3</v>
      </c>
      <c r="S179" s="81">
        <f t="shared" si="80"/>
        <v>2.1307506053268653E-3</v>
      </c>
      <c r="T179" s="81">
        <f t="shared" si="81"/>
        <v>0</v>
      </c>
      <c r="U179" s="81">
        <f t="shared" si="82"/>
        <v>1.6999999999999999E-3</v>
      </c>
      <c r="V179" s="83">
        <f t="shared" si="83"/>
        <v>1.7000000000000071E-3</v>
      </c>
    </row>
    <row r="180" spans="1:24">
      <c r="A180" s="75">
        <v>148</v>
      </c>
      <c r="B180" s="149" t="s">
        <v>191</v>
      </c>
      <c r="C180" s="150" t="s">
        <v>27</v>
      </c>
      <c r="D180" s="2">
        <v>10048634449.73</v>
      </c>
      <c r="E180" s="3">
        <f t="shared" si="77"/>
        <v>0.19497103609334338</v>
      </c>
      <c r="F180" s="17">
        <v>139.88</v>
      </c>
      <c r="G180" s="17">
        <v>139.88</v>
      </c>
      <c r="H180" s="60">
        <v>700</v>
      </c>
      <c r="I180" s="5">
        <v>2.8999999999999998E-3</v>
      </c>
      <c r="J180" s="5">
        <v>4.6100000000000002E-2</v>
      </c>
      <c r="K180" s="2">
        <v>9657688870.0100002</v>
      </c>
      <c r="L180" s="3">
        <f t="shared" si="78"/>
        <v>0.18846441312075599</v>
      </c>
      <c r="M180" s="17">
        <v>140.29</v>
      </c>
      <c r="N180" s="17">
        <v>140.29</v>
      </c>
      <c r="O180" s="60">
        <v>696</v>
      </c>
      <c r="P180" s="5">
        <v>2.8999999999999998E-3</v>
      </c>
      <c r="Q180" s="5">
        <v>4.9200000000000001E-2</v>
      </c>
      <c r="R180" s="81">
        <f t="shared" si="79"/>
        <v>-3.8905343972434364E-2</v>
      </c>
      <c r="S180" s="81">
        <f t="shared" si="80"/>
        <v>2.9310837861023491E-3</v>
      </c>
      <c r="T180" s="81">
        <f t="shared" si="81"/>
        <v>-5.7142857142857143E-3</v>
      </c>
      <c r="U180" s="81">
        <f t="shared" si="82"/>
        <v>0</v>
      </c>
      <c r="V180" s="83">
        <f t="shared" si="83"/>
        <v>3.0999999999999986E-3</v>
      </c>
    </row>
    <row r="181" spans="1:24">
      <c r="A181" s="75">
        <v>149</v>
      </c>
      <c r="B181" s="149" t="s">
        <v>249</v>
      </c>
      <c r="C181" s="150" t="s">
        <v>56</v>
      </c>
      <c r="D181" s="2">
        <v>267575954.46791601</v>
      </c>
      <c r="E181" s="3">
        <f t="shared" si="77"/>
        <v>5.1917065286096282E-3</v>
      </c>
      <c r="F181" s="4">
        <v>1071.5267668005999</v>
      </c>
      <c r="G181" s="4">
        <v>1071.5267668005999</v>
      </c>
      <c r="H181" s="60">
        <v>72</v>
      </c>
      <c r="I181" s="5">
        <v>0.14644821591184679</v>
      </c>
      <c r="J181" s="5">
        <v>0.12108166974656595</v>
      </c>
      <c r="K181" s="2">
        <v>270685626.85654002</v>
      </c>
      <c r="L181" s="3">
        <f t="shared" si="78"/>
        <v>5.2822790723935321E-3</v>
      </c>
      <c r="M181" s="4">
        <v>1074.42686552189</v>
      </c>
      <c r="N181" s="4">
        <v>1074.42686552189</v>
      </c>
      <c r="O181" s="60">
        <v>73</v>
      </c>
      <c r="P181" s="5">
        <v>0.14151184817761614</v>
      </c>
      <c r="Q181" s="5">
        <v>0.12248355635258672</v>
      </c>
      <c r="R181" s="81">
        <f t="shared" si="79"/>
        <v>1.1621643636879491E-2</v>
      </c>
      <c r="S181" s="81">
        <f t="shared" si="80"/>
        <v>2.7065107574953903E-3</v>
      </c>
      <c r="T181" s="81">
        <f t="shared" si="81"/>
        <v>1.3888888888888888E-2</v>
      </c>
      <c r="U181" s="81">
        <f t="shared" si="82"/>
        <v>-4.9363677342306456E-3</v>
      </c>
      <c r="V181" s="83">
        <f t="shared" si="83"/>
        <v>1.4018866060207663E-3</v>
      </c>
    </row>
    <row r="182" spans="1:24">
      <c r="A182" s="75">
        <v>150</v>
      </c>
      <c r="B182" s="149" t="s">
        <v>192</v>
      </c>
      <c r="C182" s="150" t="s">
        <v>185</v>
      </c>
      <c r="D182" s="2">
        <v>20063822357.970001</v>
      </c>
      <c r="E182" s="3">
        <f t="shared" si="77"/>
        <v>0.38929311765652974</v>
      </c>
      <c r="F182" s="7">
        <v>1208.55</v>
      </c>
      <c r="G182" s="7">
        <v>1208.55</v>
      </c>
      <c r="H182" s="60">
        <v>8047</v>
      </c>
      <c r="I182" s="5">
        <v>2.7000000000000001E-3</v>
      </c>
      <c r="J182" s="5">
        <v>4.99E-2</v>
      </c>
      <c r="K182" s="2">
        <v>20217935215.950001</v>
      </c>
      <c r="L182" s="3">
        <f t="shared" si="78"/>
        <v>0.3945417321135482</v>
      </c>
      <c r="M182" s="7">
        <v>1212.08</v>
      </c>
      <c r="N182" s="7">
        <v>1212.08</v>
      </c>
      <c r="O182" s="60">
        <v>8334</v>
      </c>
      <c r="P182" s="5">
        <v>2.8999999999999998E-3</v>
      </c>
      <c r="Q182" s="5">
        <v>5.28E-2</v>
      </c>
      <c r="R182" s="81">
        <f t="shared" si="79"/>
        <v>7.6811315027807206E-3</v>
      </c>
      <c r="S182" s="81">
        <f t="shared" si="80"/>
        <v>2.9208555707252266E-3</v>
      </c>
      <c r="T182" s="81">
        <f t="shared" si="81"/>
        <v>3.5665465390828884E-2</v>
      </c>
      <c r="U182" s="81">
        <f t="shared" si="82"/>
        <v>1.9999999999999966E-4</v>
      </c>
      <c r="V182" s="83">
        <f t="shared" si="83"/>
        <v>2.8999999999999998E-3</v>
      </c>
    </row>
    <row r="183" spans="1:24" ht="13.5" customHeight="1">
      <c r="A183" s="75">
        <v>151</v>
      </c>
      <c r="B183" s="149" t="s">
        <v>193</v>
      </c>
      <c r="C183" s="150" t="s">
        <v>78</v>
      </c>
      <c r="D183" s="2">
        <v>1080489214.4000001</v>
      </c>
      <c r="E183" s="3">
        <f t="shared" si="77"/>
        <v>2.0964450709510193E-2</v>
      </c>
      <c r="F183" s="14">
        <v>103.55</v>
      </c>
      <c r="G183" s="14">
        <v>103.55</v>
      </c>
      <c r="H183" s="60">
        <v>552</v>
      </c>
      <c r="I183" s="5">
        <v>1.6000000000000001E-3</v>
      </c>
      <c r="J183" s="5">
        <v>3.8100000000000002E-2</v>
      </c>
      <c r="K183" s="2">
        <v>1069425433.66</v>
      </c>
      <c r="L183" s="3">
        <f t="shared" si="78"/>
        <v>2.0869241020697031E-2</v>
      </c>
      <c r="M183" s="14">
        <v>103.78</v>
      </c>
      <c r="N183" s="14">
        <v>103.78</v>
      </c>
      <c r="O183" s="60">
        <v>552</v>
      </c>
      <c r="P183" s="5">
        <v>2.2000000000000001E-3</v>
      </c>
      <c r="Q183" s="5">
        <v>4.0300000000000002E-2</v>
      </c>
      <c r="R183" s="81">
        <f t="shared" si="79"/>
        <v>-1.0239603128425387E-2</v>
      </c>
      <c r="S183" s="81">
        <f t="shared" si="80"/>
        <v>2.2211492032834764E-3</v>
      </c>
      <c r="T183" s="81">
        <f t="shared" si="81"/>
        <v>0</v>
      </c>
      <c r="U183" s="81">
        <f t="shared" si="82"/>
        <v>6.0000000000000006E-4</v>
      </c>
      <c r="V183" s="83">
        <f t="shared" si="83"/>
        <v>2.2000000000000006E-3</v>
      </c>
    </row>
    <row r="184" spans="1:24" ht="15.75" customHeight="1">
      <c r="A184" s="75">
        <v>152</v>
      </c>
      <c r="B184" s="149" t="s">
        <v>194</v>
      </c>
      <c r="C184" s="150" t="s">
        <v>42</v>
      </c>
      <c r="D184" s="2">
        <v>9828770114.9899998</v>
      </c>
      <c r="E184" s="3">
        <f t="shared" si="77"/>
        <v>0.19070506569122736</v>
      </c>
      <c r="F184" s="14">
        <v>130.66999999999999</v>
      </c>
      <c r="G184" s="14">
        <v>130.66999999999999</v>
      </c>
      <c r="H184" s="60">
        <v>1195</v>
      </c>
      <c r="I184" s="5">
        <v>6.9999999999999999E-4</v>
      </c>
      <c r="J184" s="5">
        <v>1.8599999999999998E-2</v>
      </c>
      <c r="K184" s="2">
        <v>9806183753.5499992</v>
      </c>
      <c r="L184" s="3">
        <f t="shared" si="78"/>
        <v>0.19136220797152051</v>
      </c>
      <c r="M184" s="14">
        <v>130.75</v>
      </c>
      <c r="N184" s="14">
        <v>130.75</v>
      </c>
      <c r="O184" s="60">
        <v>1200</v>
      </c>
      <c r="P184" s="5">
        <v>5.9999999999999995E-4</v>
      </c>
      <c r="Q184" s="5">
        <v>1.9199999999999998E-2</v>
      </c>
      <c r="R184" s="81">
        <f t="shared" si="79"/>
        <v>-2.2979845062765024E-3</v>
      </c>
      <c r="S184" s="81">
        <f t="shared" si="80"/>
        <v>6.1222927986540531E-4</v>
      </c>
      <c r="T184" s="81">
        <f t="shared" si="81"/>
        <v>4.1841004184100415E-3</v>
      </c>
      <c r="U184" s="81">
        <f t="shared" si="82"/>
        <v>-1.0000000000000005E-4</v>
      </c>
      <c r="V184" s="83">
        <f t="shared" si="83"/>
        <v>5.9999999999999984E-4</v>
      </c>
    </row>
    <row r="185" spans="1:24">
      <c r="A185" s="75">
        <v>153</v>
      </c>
      <c r="B185" s="149" t="s">
        <v>195</v>
      </c>
      <c r="C185" s="150" t="s">
        <v>45</v>
      </c>
      <c r="D185" s="2">
        <v>4294214724.0599999</v>
      </c>
      <c r="E185" s="3">
        <f t="shared" si="77"/>
        <v>8.3319529449075058E-2</v>
      </c>
      <c r="F185" s="14">
        <v>1.2169000000000001</v>
      </c>
      <c r="G185" s="14">
        <v>1.2169000000000001</v>
      </c>
      <c r="H185" s="60">
        <v>645</v>
      </c>
      <c r="I185" s="5">
        <v>9.4200000000000006E-2</v>
      </c>
      <c r="J185" s="5">
        <v>9.5699999999999993E-2</v>
      </c>
      <c r="K185" s="2">
        <v>4229499047.8299999</v>
      </c>
      <c r="L185" s="3">
        <f t="shared" si="78"/>
        <v>8.2536315527759571E-2</v>
      </c>
      <c r="M185" s="14">
        <v>1.2194</v>
      </c>
      <c r="N185" s="14">
        <v>1.2194</v>
      </c>
      <c r="O185" s="60">
        <v>637</v>
      </c>
      <c r="P185" s="5">
        <v>0.113</v>
      </c>
      <c r="Q185" s="5">
        <v>9.6600000000000005E-2</v>
      </c>
      <c r="R185" s="81">
        <f t="shared" si="79"/>
        <v>-1.5070433219700309E-2</v>
      </c>
      <c r="S185" s="81">
        <f t="shared" si="80"/>
        <v>2.0544005259264908E-3</v>
      </c>
      <c r="T185" s="81">
        <f t="shared" si="81"/>
        <v>-1.2403100775193798E-2</v>
      </c>
      <c r="U185" s="81">
        <f t="shared" si="82"/>
        <v>1.8799999999999997E-2</v>
      </c>
      <c r="V185" s="83">
        <f t="shared" si="83"/>
        <v>9.000000000000119E-4</v>
      </c>
    </row>
    <row r="186" spans="1:24">
      <c r="A186" s="75">
        <v>154</v>
      </c>
      <c r="B186" s="149" t="s">
        <v>196</v>
      </c>
      <c r="C186" s="150" t="s">
        <v>197</v>
      </c>
      <c r="D186" s="2">
        <v>418136248.64999998</v>
      </c>
      <c r="E186" s="3">
        <f t="shared" si="77"/>
        <v>8.1129886886934025E-3</v>
      </c>
      <c r="F186" s="18">
        <v>110.88800000000001</v>
      </c>
      <c r="G186" s="18">
        <v>111.41070000000001</v>
      </c>
      <c r="H186" s="61">
        <v>163</v>
      </c>
      <c r="I186" s="5">
        <v>-3.581E-3</v>
      </c>
      <c r="J186" s="5">
        <v>0.1192</v>
      </c>
      <c r="K186" s="2">
        <v>425026188.63999999</v>
      </c>
      <c r="L186" s="3">
        <f t="shared" si="78"/>
        <v>8.2941490744986458E-3</v>
      </c>
      <c r="M186" s="18">
        <v>112.3939</v>
      </c>
      <c r="N186" s="18">
        <v>112.9285</v>
      </c>
      <c r="O186" s="61">
        <v>163</v>
      </c>
      <c r="P186" s="5">
        <v>1.3599999999999999E-2</v>
      </c>
      <c r="Q186" s="5">
        <v>0.1338</v>
      </c>
      <c r="R186" s="81">
        <f>((K186-D186)/D186)</f>
        <v>1.6477739043780484E-2</v>
      </c>
      <c r="S186" s="81">
        <f>((N186-G186)/G186)</f>
        <v>1.3623467045804343E-2</v>
      </c>
      <c r="T186" s="81">
        <f>((O186-H186)/H186)</f>
        <v>0</v>
      </c>
      <c r="U186" s="81">
        <f>P186-I186</f>
        <v>1.7180999999999998E-2</v>
      </c>
      <c r="V186" s="83">
        <f>Q186-J186</f>
        <v>1.4600000000000002E-2</v>
      </c>
    </row>
    <row r="187" spans="1:24">
      <c r="A187" s="75">
        <v>155</v>
      </c>
      <c r="B187" s="149" t="s">
        <v>244</v>
      </c>
      <c r="C187" s="150" t="s">
        <v>197</v>
      </c>
      <c r="D187" s="2">
        <v>156350962.94999999</v>
      </c>
      <c r="E187" s="3">
        <f t="shared" si="77"/>
        <v>3.0336369974501881E-3</v>
      </c>
      <c r="F187" s="18">
        <v>102.77889999999999</v>
      </c>
      <c r="G187" s="18">
        <v>102.77889999999999</v>
      </c>
      <c r="H187" s="61">
        <v>66</v>
      </c>
      <c r="I187" s="5">
        <v>2.7360000000000002E-3</v>
      </c>
      <c r="J187" s="5">
        <v>2.6296E-2</v>
      </c>
      <c r="K187" s="2">
        <v>156897622.08000001</v>
      </c>
      <c r="L187" s="3">
        <f t="shared" si="78"/>
        <v>3.0617696079619874E-3</v>
      </c>
      <c r="M187" s="18">
        <v>103.06570000000001</v>
      </c>
      <c r="N187" s="18">
        <v>103.06570000000001</v>
      </c>
      <c r="O187" s="61">
        <v>67</v>
      </c>
      <c r="P187" s="5">
        <v>2.7899999999999999E-3</v>
      </c>
      <c r="Q187" s="5">
        <v>2.92E-2</v>
      </c>
      <c r="R187" s="81">
        <f t="shared" si="79"/>
        <v>3.4963592144606299E-3</v>
      </c>
      <c r="S187" s="81">
        <f t="shared" si="80"/>
        <v>2.7904560177236157E-3</v>
      </c>
      <c r="T187" s="81">
        <f t="shared" si="81"/>
        <v>1.5151515151515152E-2</v>
      </c>
      <c r="U187" s="81">
        <f t="shared" si="82"/>
        <v>5.3999999999999795E-5</v>
      </c>
      <c r="V187" s="83">
        <f t="shared" si="83"/>
        <v>2.9040000000000003E-3</v>
      </c>
    </row>
    <row r="188" spans="1:24">
      <c r="A188" s="85"/>
      <c r="B188" s="19"/>
      <c r="C188" s="66" t="s">
        <v>46</v>
      </c>
      <c r="D188" s="59">
        <f>SUM(D173:D187)</f>
        <v>51539113968.28791</v>
      </c>
      <c r="E188" s="100">
        <f>(D188/$D$189)</f>
        <v>1.8864315034306963E-2</v>
      </c>
      <c r="F188" s="30"/>
      <c r="G188" s="34"/>
      <c r="H188" s="68">
        <f>SUM(H173:H187)</f>
        <v>27351</v>
      </c>
      <c r="I188" s="35"/>
      <c r="J188" s="35"/>
      <c r="K188" s="59">
        <f>SUM(K173:K187)</f>
        <v>51244098077.136551</v>
      </c>
      <c r="L188" s="100">
        <f>(K188/$K$189)</f>
        <v>1.8266367196541781E-2</v>
      </c>
      <c r="M188" s="30"/>
      <c r="N188" s="34"/>
      <c r="O188" s="68">
        <f>SUM(O173:O187)</f>
        <v>27633</v>
      </c>
      <c r="P188" s="35"/>
      <c r="Q188" s="35"/>
      <c r="R188" s="81">
        <f t="shared" si="79"/>
        <v>-5.724116470703847E-3</v>
      </c>
      <c r="S188" s="81" t="e">
        <f t="shared" si="80"/>
        <v>#DIV/0!</v>
      </c>
      <c r="T188" s="81">
        <f t="shared" si="81"/>
        <v>1.0310409125808929E-2</v>
      </c>
      <c r="U188" s="81">
        <f t="shared" si="82"/>
        <v>0</v>
      </c>
      <c r="V188" s="83">
        <f t="shared" si="83"/>
        <v>0</v>
      </c>
    </row>
    <row r="189" spans="1:24">
      <c r="A189" s="86"/>
      <c r="B189" s="38"/>
      <c r="C189" s="67" t="s">
        <v>198</v>
      </c>
      <c r="D189" s="69">
        <f>SUM(D23,D57,D94,D126,D134,D163,D169,D188)</f>
        <v>2732095698919.2559</v>
      </c>
      <c r="E189" s="39"/>
      <c r="F189" s="39"/>
      <c r="G189" s="40"/>
      <c r="H189" s="69">
        <f>SUM(H23,H57,H94,H126,H134,H163,H169,H188)</f>
        <v>728649</v>
      </c>
      <c r="I189" s="41"/>
      <c r="J189" s="41"/>
      <c r="K189" s="69">
        <f>SUM(K23,K57,K94,K126,K134,K163,K169,K188)</f>
        <v>2805379828718.1138</v>
      </c>
      <c r="L189" s="39"/>
      <c r="M189" s="39"/>
      <c r="N189" s="40"/>
      <c r="O189" s="69">
        <f>SUM(O23,O57,O94,O126,O134,O163,O169,O188)</f>
        <v>728449</v>
      </c>
      <c r="P189" s="42"/>
      <c r="Q189" s="69"/>
      <c r="R189" s="25">
        <f t="shared" si="79"/>
        <v>2.6823412455078771E-2</v>
      </c>
      <c r="S189" s="25"/>
      <c r="T189" s="25"/>
      <c r="U189" s="25"/>
      <c r="V189" s="25"/>
    </row>
    <row r="190" spans="1:24" ht="6.75" customHeight="1">
      <c r="A190" s="155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9"/>
    </row>
    <row r="191" spans="1:24" ht="15.75">
      <c r="A191" s="162" t="s">
        <v>199</v>
      </c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  <c r="O191" s="162"/>
      <c r="P191" s="162"/>
      <c r="Q191" s="162"/>
      <c r="R191" s="162"/>
      <c r="S191" s="162"/>
      <c r="T191" s="162"/>
      <c r="U191" s="162"/>
      <c r="V191" s="162"/>
    </row>
    <row r="192" spans="1:24">
      <c r="A192" s="75">
        <v>1</v>
      </c>
      <c r="B192" s="149" t="s">
        <v>200</v>
      </c>
      <c r="C192" s="150" t="s">
        <v>201</v>
      </c>
      <c r="D192" s="2">
        <v>103175705234</v>
      </c>
      <c r="E192" s="3">
        <f>(D192/$D$194)</f>
        <v>0.97930026374087042</v>
      </c>
      <c r="F192" s="14">
        <v>107.39</v>
      </c>
      <c r="G192" s="14">
        <v>107.39</v>
      </c>
      <c r="H192" s="64">
        <v>0</v>
      </c>
      <c r="I192" s="20">
        <v>0</v>
      </c>
      <c r="J192" s="20">
        <v>0.13800000000000001</v>
      </c>
      <c r="K192" s="2">
        <v>103175705234</v>
      </c>
      <c r="L192" s="3">
        <f>(K192/$K$194)</f>
        <v>0.97924422596306626</v>
      </c>
      <c r="M192" s="14">
        <v>107.39</v>
      </c>
      <c r="N192" s="14">
        <v>107.39</v>
      </c>
      <c r="O192" s="64">
        <v>0</v>
      </c>
      <c r="P192" s="20">
        <v>0</v>
      </c>
      <c r="Q192" s="20">
        <v>0.13800000000000001</v>
      </c>
      <c r="R192" s="81">
        <f>((K192-D192)/D192)</f>
        <v>0</v>
      </c>
      <c r="S192" s="81">
        <f>((N192-G192)/G192)</f>
        <v>0</v>
      </c>
      <c r="T192" s="81" t="e">
        <f>((O192-H192)/H192)</f>
        <v>#DIV/0!</v>
      </c>
      <c r="U192" s="81">
        <f>P192-I192</f>
        <v>0</v>
      </c>
      <c r="V192" s="83">
        <f>Q192-J192</f>
        <v>0</v>
      </c>
    </row>
    <row r="193" spans="1:22">
      <c r="A193" s="75">
        <v>2</v>
      </c>
      <c r="B193" s="149" t="s">
        <v>202</v>
      </c>
      <c r="C193" s="150" t="s">
        <v>45</v>
      </c>
      <c r="D193" s="2">
        <v>2180852967.9499998</v>
      </c>
      <c r="E193" s="3">
        <f>(D193/$D$194)</f>
        <v>2.0699736259129575E-2</v>
      </c>
      <c r="F193" s="21">
        <v>1000000</v>
      </c>
      <c r="G193" s="21">
        <v>1000000</v>
      </c>
      <c r="H193" s="64">
        <v>0</v>
      </c>
      <c r="I193" s="20">
        <v>0.16389999999999999</v>
      </c>
      <c r="J193" s="20">
        <v>0.16389999999999999</v>
      </c>
      <c r="K193" s="2">
        <v>2186882053.6900001</v>
      </c>
      <c r="L193" s="3">
        <f>(K193/$K$194)</f>
        <v>2.0755774036933732E-2</v>
      </c>
      <c r="M193" s="21">
        <v>1000000</v>
      </c>
      <c r="N193" s="21">
        <v>1000000</v>
      </c>
      <c r="O193" s="64">
        <v>0</v>
      </c>
      <c r="P193" s="20">
        <v>0.16389999999999999</v>
      </c>
      <c r="Q193" s="20">
        <v>0.16389999999999999</v>
      </c>
      <c r="R193" s="81">
        <f>((K193-D193)/D193)</f>
        <v>2.7645539743413258E-3</v>
      </c>
      <c r="S193" s="81">
        <f>((N193-G193)/G193)</f>
        <v>0</v>
      </c>
      <c r="T193" s="81" t="e">
        <f>((O193-H193)/H193)</f>
        <v>#DIV/0!</v>
      </c>
      <c r="U193" s="81">
        <f>P193-I193</f>
        <v>0</v>
      </c>
      <c r="V193" s="83">
        <f>Q193-J193</f>
        <v>0</v>
      </c>
    </row>
    <row r="194" spans="1:22">
      <c r="A194" s="38"/>
      <c r="B194" s="38"/>
      <c r="C194" s="67" t="s">
        <v>203</v>
      </c>
      <c r="D194" s="73">
        <f>SUM(D192:D193)</f>
        <v>105356558201.95</v>
      </c>
      <c r="E194" s="24"/>
      <c r="F194" s="22"/>
      <c r="G194" s="22"/>
      <c r="H194" s="73">
        <f>SUM(H192:H193)</f>
        <v>0</v>
      </c>
      <c r="I194" s="23"/>
      <c r="J194" s="23"/>
      <c r="K194" s="73">
        <f>SUM(K192:K193)</f>
        <v>105362587287.69</v>
      </c>
      <c r="L194" s="24"/>
      <c r="M194" s="22"/>
      <c r="N194" s="22"/>
      <c r="O194" s="23"/>
      <c r="P194" s="23"/>
      <c r="Q194" s="73"/>
      <c r="R194" s="25">
        <f>((K194-D194)/D194)</f>
        <v>5.7225538143043699E-5</v>
      </c>
      <c r="S194" s="26"/>
      <c r="T194" s="26"/>
      <c r="U194" s="25"/>
      <c r="V194" s="87"/>
    </row>
    <row r="195" spans="1:22" ht="8.25" customHeight="1">
      <c r="A195" s="167"/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</row>
    <row r="196" spans="1:22" ht="15.75">
      <c r="A196" s="162" t="s">
        <v>204</v>
      </c>
      <c r="B196" s="162"/>
      <c r="C196" s="162"/>
      <c r="D196" s="162"/>
      <c r="E196" s="162"/>
      <c r="F196" s="162"/>
      <c r="G196" s="162"/>
      <c r="H196" s="162"/>
      <c r="I196" s="162"/>
      <c r="J196" s="162"/>
      <c r="K196" s="162"/>
      <c r="L196" s="162"/>
      <c r="M196" s="162"/>
      <c r="N196" s="162"/>
      <c r="O196" s="162"/>
      <c r="P196" s="162"/>
      <c r="Q196" s="162"/>
      <c r="R196" s="162"/>
      <c r="S196" s="162"/>
      <c r="T196" s="162"/>
      <c r="U196" s="162"/>
      <c r="V196" s="162"/>
    </row>
    <row r="197" spans="1:22">
      <c r="A197" s="75">
        <v>1</v>
      </c>
      <c r="B197" s="149" t="s">
        <v>205</v>
      </c>
      <c r="C197" s="150" t="s">
        <v>74</v>
      </c>
      <c r="D197" s="27">
        <v>975576257.71999967</v>
      </c>
      <c r="E197" s="10">
        <f t="shared" ref="E197:E208" si="84">(D197/$D$209)</f>
        <v>7.4654297633001632E-2</v>
      </c>
      <c r="F197" s="21">
        <v>227.71098278659639</v>
      </c>
      <c r="G197" s="21">
        <v>229.89896493931889</v>
      </c>
      <c r="H197" s="63">
        <v>61</v>
      </c>
      <c r="I197" s="28">
        <v>1.449533717321394E-2</v>
      </c>
      <c r="J197" s="28">
        <v>0.30247087334322709</v>
      </c>
      <c r="K197" s="27">
        <v>956389353.82000005</v>
      </c>
      <c r="L197" s="10">
        <f t="shared" ref="L197:L208" si="85">(K197/$K$209)</f>
        <v>7.3373707822130652E-2</v>
      </c>
      <c r="M197" s="21">
        <v>225.38</v>
      </c>
      <c r="N197" s="21">
        <v>227.59</v>
      </c>
      <c r="O197" s="63">
        <v>61</v>
      </c>
      <c r="P197" s="28">
        <v>-1.0236584806192273E-2</v>
      </c>
      <c r="Q197" s="28">
        <v>0.28913801979065368</v>
      </c>
      <c r="R197" s="81">
        <f>((K197-D197)/D197)</f>
        <v>-1.9667251789051283E-2</v>
      </c>
      <c r="S197" s="81">
        <f>((N197-G197)/G197)</f>
        <v>-1.0043389886197738E-2</v>
      </c>
      <c r="T197" s="81">
        <f>((O197-H197)/H197)</f>
        <v>0</v>
      </c>
      <c r="U197" s="81">
        <f>P197-I197</f>
        <v>-2.4731921979406213E-2</v>
      </c>
      <c r="V197" s="83">
        <f>Q197-J197</f>
        <v>-1.3332853552573409E-2</v>
      </c>
    </row>
    <row r="198" spans="1:22">
      <c r="A198" s="75">
        <v>2</v>
      </c>
      <c r="B198" s="149" t="s">
        <v>206</v>
      </c>
      <c r="C198" s="150" t="s">
        <v>185</v>
      </c>
      <c r="D198" s="27">
        <v>979896524.95000005</v>
      </c>
      <c r="E198" s="10">
        <f t="shared" si="84"/>
        <v>7.4984898662998317E-2</v>
      </c>
      <c r="F198" s="21">
        <v>27.87</v>
      </c>
      <c r="G198" s="21">
        <v>30.81</v>
      </c>
      <c r="H198" s="63">
        <v>211</v>
      </c>
      <c r="I198" s="28">
        <v>7.4000000000000003E-3</v>
      </c>
      <c r="J198" s="28">
        <v>0.30030000000000001</v>
      </c>
      <c r="K198" s="27">
        <v>978276497.28999996</v>
      </c>
      <c r="L198" s="10">
        <f t="shared" si="85"/>
        <v>7.5052878406385276E-2</v>
      </c>
      <c r="M198" s="21">
        <v>27.83</v>
      </c>
      <c r="N198" s="21">
        <v>30.75</v>
      </c>
      <c r="O198" s="63">
        <v>211</v>
      </c>
      <c r="P198" s="28">
        <v>-1.6999999999999999E-3</v>
      </c>
      <c r="Q198" s="28">
        <v>0.29809999999999998</v>
      </c>
      <c r="R198" s="81">
        <f t="shared" ref="R198:R209" si="86">((K198-D198)/D198)</f>
        <v>-1.6532640118126238E-3</v>
      </c>
      <c r="S198" s="81">
        <f t="shared" ref="S198:S209" si="87">((N198-G198)/G198)</f>
        <v>-1.9474196689386149E-3</v>
      </c>
      <c r="T198" s="81">
        <f t="shared" ref="T198:T209" si="88">((O198-H198)/H198)</f>
        <v>0</v>
      </c>
      <c r="U198" s="81">
        <f t="shared" ref="U198:U209" si="89">P198-I198</f>
        <v>-9.1000000000000004E-3</v>
      </c>
      <c r="V198" s="83">
        <f t="shared" ref="V198:V209" si="90">Q198-J198</f>
        <v>-2.2000000000000353E-3</v>
      </c>
    </row>
    <row r="199" spans="1:22">
      <c r="A199" s="75">
        <v>3</v>
      </c>
      <c r="B199" s="149" t="s">
        <v>207</v>
      </c>
      <c r="C199" s="150" t="s">
        <v>36</v>
      </c>
      <c r="D199" s="27">
        <v>269014853.93000001</v>
      </c>
      <c r="E199" s="10">
        <f t="shared" si="84"/>
        <v>2.0585899681409361E-2</v>
      </c>
      <c r="F199" s="21">
        <v>19.982602</v>
      </c>
      <c r="G199" s="21">
        <v>20.536095</v>
      </c>
      <c r="H199" s="63">
        <v>107</v>
      </c>
      <c r="I199" s="28">
        <v>-5.4502232259497463E-2</v>
      </c>
      <c r="J199" s="28">
        <v>-0.14452321966801829</v>
      </c>
      <c r="K199" s="27">
        <v>266333741.91000003</v>
      </c>
      <c r="L199" s="10">
        <f t="shared" si="85"/>
        <v>2.0432990062075735E-2</v>
      </c>
      <c r="M199" s="21">
        <v>19.917223</v>
      </c>
      <c r="N199" s="21">
        <v>20.390588999999999</v>
      </c>
      <c r="O199" s="63">
        <v>107</v>
      </c>
      <c r="P199" s="28">
        <v>-5.4502232259497463E-2</v>
      </c>
      <c r="Q199" s="28">
        <v>-0.14897566345761781</v>
      </c>
      <c r="R199" s="81">
        <f t="shared" si="86"/>
        <v>-9.9664088463220311E-3</v>
      </c>
      <c r="S199" s="81">
        <f t="shared" si="87"/>
        <v>-7.0853782084666543E-3</v>
      </c>
      <c r="T199" s="81">
        <f t="shared" si="88"/>
        <v>0</v>
      </c>
      <c r="U199" s="81">
        <f t="shared" si="89"/>
        <v>0</v>
      </c>
      <c r="V199" s="83">
        <f t="shared" si="90"/>
        <v>-4.452443789599525E-3</v>
      </c>
    </row>
    <row r="200" spans="1:22">
      <c r="A200" s="75">
        <v>4</v>
      </c>
      <c r="B200" s="149" t="s">
        <v>208</v>
      </c>
      <c r="C200" s="150" t="s">
        <v>36</v>
      </c>
      <c r="D200" s="27">
        <v>530302190.24000001</v>
      </c>
      <c r="E200" s="10">
        <f t="shared" si="84"/>
        <v>4.0580464348459119E-2</v>
      </c>
      <c r="F200" s="21">
        <v>39.858735000000003</v>
      </c>
      <c r="G200" s="21">
        <v>40.546788999999997</v>
      </c>
      <c r="H200" s="63">
        <v>98</v>
      </c>
      <c r="I200" s="28">
        <v>-5.3036812573749037E-3</v>
      </c>
      <c r="J200" s="28">
        <v>6.1360646901863491E-2</v>
      </c>
      <c r="K200" s="27">
        <v>535766157.48000002</v>
      </c>
      <c r="L200" s="10">
        <f t="shared" si="85"/>
        <v>4.1103708801135223E-2</v>
      </c>
      <c r="M200" s="21">
        <v>39.431925</v>
      </c>
      <c r="N200" s="21">
        <v>39.930881999999997</v>
      </c>
      <c r="O200" s="63">
        <v>98</v>
      </c>
      <c r="P200" s="28">
        <v>-5.3036812573749037E-3</v>
      </c>
      <c r="Q200" s="28">
        <v>4.7596682256156209E-2</v>
      </c>
      <c r="R200" s="81">
        <f t="shared" si="86"/>
        <v>1.0303497403107405E-2</v>
      </c>
      <c r="S200" s="81">
        <f t="shared" si="87"/>
        <v>-1.5190031447373058E-2</v>
      </c>
      <c r="T200" s="81">
        <f t="shared" si="88"/>
        <v>0</v>
      </c>
      <c r="U200" s="81">
        <f t="shared" si="89"/>
        <v>0</v>
      </c>
      <c r="V200" s="83">
        <f t="shared" si="90"/>
        <v>-1.3763964645707283E-2</v>
      </c>
    </row>
    <row r="201" spans="1:22">
      <c r="A201" s="75">
        <v>5</v>
      </c>
      <c r="B201" s="149" t="s">
        <v>209</v>
      </c>
      <c r="C201" s="150" t="s">
        <v>210</v>
      </c>
      <c r="D201" s="27">
        <v>1006693918.8</v>
      </c>
      <c r="E201" s="10">
        <f t="shared" si="84"/>
        <v>7.7035523204581652E-2</v>
      </c>
      <c r="F201" s="21">
        <v>23800</v>
      </c>
      <c r="G201" s="21">
        <v>31400</v>
      </c>
      <c r="H201" s="63">
        <v>227</v>
      </c>
      <c r="I201" s="28">
        <v>0.05</v>
      </c>
      <c r="J201" s="28">
        <v>0.72</v>
      </c>
      <c r="K201" s="27">
        <v>1066243710.33</v>
      </c>
      <c r="L201" s="10">
        <f t="shared" si="85"/>
        <v>8.1801678528159602E-2</v>
      </c>
      <c r="M201" s="21">
        <v>25450</v>
      </c>
      <c r="N201" s="21">
        <v>34200</v>
      </c>
      <c r="O201" s="63">
        <v>227</v>
      </c>
      <c r="P201" s="28">
        <v>0.06</v>
      </c>
      <c r="Q201" s="28">
        <v>0.82</v>
      </c>
      <c r="R201" s="81">
        <f t="shared" si="86"/>
        <v>5.9153820657806971E-2</v>
      </c>
      <c r="S201" s="81">
        <f t="shared" si="87"/>
        <v>8.9171974522292988E-2</v>
      </c>
      <c r="T201" s="81">
        <f t="shared" si="88"/>
        <v>0</v>
      </c>
      <c r="U201" s="81">
        <f t="shared" si="89"/>
        <v>9.999999999999995E-3</v>
      </c>
      <c r="V201" s="83">
        <f t="shared" si="90"/>
        <v>9.9999999999999978E-2</v>
      </c>
    </row>
    <row r="202" spans="1:22">
      <c r="A202" s="75">
        <v>6</v>
      </c>
      <c r="B202" s="149" t="s">
        <v>211</v>
      </c>
      <c r="C202" s="150" t="s">
        <v>212</v>
      </c>
      <c r="D202" s="27">
        <v>1034437198.8</v>
      </c>
      <c r="E202" s="10">
        <f t="shared" si="84"/>
        <v>7.9158530059295559E-2</v>
      </c>
      <c r="F202" s="21">
        <v>899.99</v>
      </c>
      <c r="G202" s="21">
        <v>899.99</v>
      </c>
      <c r="H202" s="63">
        <v>113</v>
      </c>
      <c r="I202" s="28">
        <v>5.8799999999999998E-2</v>
      </c>
      <c r="J202" s="28">
        <v>8.3599999999999994E-2</v>
      </c>
      <c r="K202" s="27">
        <v>1020925367.84</v>
      </c>
      <c r="L202" s="10">
        <f t="shared" si="85"/>
        <v>7.8324878198290676E-2</v>
      </c>
      <c r="M202" s="21">
        <v>934.99</v>
      </c>
      <c r="N202" s="21">
        <v>934.99</v>
      </c>
      <c r="O202" s="63">
        <v>119</v>
      </c>
      <c r="P202" s="28">
        <v>-1.3100000000000001E-2</v>
      </c>
      <c r="Q202" s="28">
        <v>9.98E-2</v>
      </c>
      <c r="R202" s="81">
        <f t="shared" si="86"/>
        <v>-1.3062011860820873E-2</v>
      </c>
      <c r="S202" s="81">
        <f t="shared" si="87"/>
        <v>3.888932099245547E-2</v>
      </c>
      <c r="T202" s="81">
        <f t="shared" si="88"/>
        <v>5.3097345132743362E-2</v>
      </c>
      <c r="U202" s="81">
        <f t="shared" si="89"/>
        <v>-7.1899999999999992E-2</v>
      </c>
      <c r="V202" s="83">
        <f t="shared" si="90"/>
        <v>1.6200000000000006E-2</v>
      </c>
    </row>
    <row r="203" spans="1:22">
      <c r="A203" s="75">
        <v>7</v>
      </c>
      <c r="B203" s="149" t="s">
        <v>213</v>
      </c>
      <c r="C203" s="150" t="s">
        <v>212</v>
      </c>
      <c r="D203" s="27">
        <v>927607439.59000003</v>
      </c>
      <c r="E203" s="10">
        <f t="shared" si="84"/>
        <v>7.0983566208940946E-2</v>
      </c>
      <c r="F203" s="21">
        <v>554.39</v>
      </c>
      <c r="G203" s="21">
        <v>554.39</v>
      </c>
      <c r="H203" s="63">
        <v>533</v>
      </c>
      <c r="I203" s="28">
        <v>1.6500000000000001E-2</v>
      </c>
      <c r="J203" s="28">
        <v>0.3881</v>
      </c>
      <c r="K203" s="27">
        <v>915082823.80999994</v>
      </c>
      <c r="L203" s="10">
        <f t="shared" si="85"/>
        <v>7.0204691717973722E-2</v>
      </c>
      <c r="M203" s="21">
        <v>537</v>
      </c>
      <c r="N203" s="21">
        <v>537</v>
      </c>
      <c r="O203" s="63">
        <v>554</v>
      </c>
      <c r="P203" s="28">
        <v>-1.35E-2</v>
      </c>
      <c r="Q203" s="28">
        <v>0.3695</v>
      </c>
      <c r="R203" s="81">
        <f t="shared" si="86"/>
        <v>-1.350206482338686E-2</v>
      </c>
      <c r="S203" s="81">
        <f t="shared" si="87"/>
        <v>-3.136780966467647E-2</v>
      </c>
      <c r="T203" s="81">
        <f t="shared" si="88"/>
        <v>3.9399624765478425E-2</v>
      </c>
      <c r="U203" s="81">
        <f t="shared" si="89"/>
        <v>-0.03</v>
      </c>
      <c r="V203" s="83">
        <f t="shared" si="90"/>
        <v>-1.8600000000000005E-2</v>
      </c>
    </row>
    <row r="204" spans="1:22">
      <c r="A204" s="75">
        <v>8</v>
      </c>
      <c r="B204" s="149" t="s">
        <v>214</v>
      </c>
      <c r="C204" s="150" t="s">
        <v>215</v>
      </c>
      <c r="D204" s="27">
        <v>352588237.86000001</v>
      </c>
      <c r="E204" s="10">
        <f t="shared" si="84"/>
        <v>2.6981209354779892E-2</v>
      </c>
      <c r="F204" s="21">
        <v>15.62</v>
      </c>
      <c r="G204" s="21">
        <v>15.72</v>
      </c>
      <c r="H204" s="63">
        <v>59</v>
      </c>
      <c r="I204" s="28">
        <v>6.1000000000000004E-3</v>
      </c>
      <c r="J204" s="28">
        <v>0.44109999999999999</v>
      </c>
      <c r="K204" s="27">
        <v>347578370.76999998</v>
      </c>
      <c r="L204" s="10">
        <f t="shared" si="85"/>
        <v>2.6666036923462096E-2</v>
      </c>
      <c r="M204" s="21">
        <v>15.43</v>
      </c>
      <c r="N204" s="21">
        <v>15.53</v>
      </c>
      <c r="O204" s="63">
        <v>61</v>
      </c>
      <c r="P204" s="28">
        <v>0</v>
      </c>
      <c r="Q204" s="28">
        <v>0.44109999999999999</v>
      </c>
      <c r="R204" s="81">
        <f t="shared" si="86"/>
        <v>-1.4208832150519071E-2</v>
      </c>
      <c r="S204" s="81">
        <f t="shared" si="87"/>
        <v>-1.2086513994911022E-2</v>
      </c>
      <c r="T204" s="81">
        <f t="shared" si="88"/>
        <v>3.3898305084745763E-2</v>
      </c>
      <c r="U204" s="81">
        <f t="shared" si="89"/>
        <v>-6.1000000000000004E-3</v>
      </c>
      <c r="V204" s="83">
        <f t="shared" si="90"/>
        <v>0</v>
      </c>
    </row>
    <row r="205" spans="1:22">
      <c r="A205" s="75">
        <v>9</v>
      </c>
      <c r="B205" s="149" t="s">
        <v>216</v>
      </c>
      <c r="C205" s="150" t="s">
        <v>215</v>
      </c>
      <c r="D205" s="29">
        <v>688256741.72000003</v>
      </c>
      <c r="E205" s="10">
        <f t="shared" si="84"/>
        <v>5.2667665123756806E-2</v>
      </c>
      <c r="F205" s="21">
        <v>8.32</v>
      </c>
      <c r="G205" s="21">
        <v>8.42</v>
      </c>
      <c r="H205" s="63">
        <v>100</v>
      </c>
      <c r="I205" s="28">
        <v>-2.5000000000000001E-2</v>
      </c>
      <c r="J205" s="28">
        <v>-0.1166</v>
      </c>
      <c r="K205" s="29">
        <v>697244476.73000002</v>
      </c>
      <c r="L205" s="10">
        <f t="shared" si="85"/>
        <v>5.3492243835464109E-2</v>
      </c>
      <c r="M205" s="21">
        <v>8.31</v>
      </c>
      <c r="N205" s="21">
        <v>8.41</v>
      </c>
      <c r="O205" s="63">
        <v>101</v>
      </c>
      <c r="P205" s="28">
        <v>6.6699999999999995E-2</v>
      </c>
      <c r="Q205" s="28">
        <v>-5.7799999999999997E-2</v>
      </c>
      <c r="R205" s="81">
        <f t="shared" si="86"/>
        <v>1.3058695200774982E-2</v>
      </c>
      <c r="S205" s="81">
        <f t="shared" si="87"/>
        <v>-1.1876484560569818E-3</v>
      </c>
      <c r="T205" s="81">
        <f t="shared" si="88"/>
        <v>0.01</v>
      </c>
      <c r="U205" s="81">
        <f t="shared" si="89"/>
        <v>9.1700000000000004E-2</v>
      </c>
      <c r="V205" s="83">
        <f t="shared" si="90"/>
        <v>5.8799999999999998E-2</v>
      </c>
    </row>
    <row r="206" spans="1:22" ht="15" customHeight="1">
      <c r="A206" s="75">
        <v>10</v>
      </c>
      <c r="B206" s="149" t="s">
        <v>217</v>
      </c>
      <c r="C206" s="150" t="s">
        <v>215</v>
      </c>
      <c r="D206" s="27">
        <v>440806393.30000001</v>
      </c>
      <c r="E206" s="10">
        <f t="shared" si="84"/>
        <v>3.3731952190859005E-2</v>
      </c>
      <c r="F206" s="21">
        <v>124.22</v>
      </c>
      <c r="G206" s="21">
        <v>126.22</v>
      </c>
      <c r="H206" s="63">
        <v>252</v>
      </c>
      <c r="I206" s="28">
        <v>-0.72499999999999998</v>
      </c>
      <c r="J206" s="28">
        <v>1.3310999999999999</v>
      </c>
      <c r="K206" s="27">
        <v>447218967.63999999</v>
      </c>
      <c r="L206" s="10">
        <f t="shared" si="85"/>
        <v>3.4310413152411706E-2</v>
      </c>
      <c r="M206" s="21">
        <v>126.04</v>
      </c>
      <c r="N206" s="21">
        <v>128.04</v>
      </c>
      <c r="O206" s="63">
        <v>252</v>
      </c>
      <c r="P206" s="28">
        <v>-0.42030000000000001</v>
      </c>
      <c r="Q206" s="28">
        <v>0.35139999999999999</v>
      </c>
      <c r="R206" s="81">
        <f t="shared" si="86"/>
        <v>1.4547371448026531E-2</v>
      </c>
      <c r="S206" s="81">
        <f t="shared" si="87"/>
        <v>1.441926794485813E-2</v>
      </c>
      <c r="T206" s="81">
        <f t="shared" si="88"/>
        <v>0</v>
      </c>
      <c r="U206" s="81">
        <f t="shared" si="89"/>
        <v>0.30469999999999997</v>
      </c>
      <c r="V206" s="83">
        <f t="shared" si="90"/>
        <v>-0.97970000000000002</v>
      </c>
    </row>
    <row r="207" spans="1:22">
      <c r="A207" s="75">
        <v>11</v>
      </c>
      <c r="B207" s="149" t="s">
        <v>218</v>
      </c>
      <c r="C207" s="150" t="s">
        <v>215</v>
      </c>
      <c r="D207" s="27">
        <v>5364778571.0600004</v>
      </c>
      <c r="E207" s="10">
        <f t="shared" si="84"/>
        <v>0.41053046649072011</v>
      </c>
      <c r="F207" s="21">
        <v>37.15</v>
      </c>
      <c r="G207" s="21">
        <v>37.15</v>
      </c>
      <c r="H207" s="63">
        <v>266</v>
      </c>
      <c r="I207" s="28">
        <v>0</v>
      </c>
      <c r="J207" s="28">
        <v>0.34810000000000002</v>
      </c>
      <c r="K207" s="27">
        <v>5306010760.46</v>
      </c>
      <c r="L207" s="10">
        <f t="shared" si="85"/>
        <v>0.40707446364187228</v>
      </c>
      <c r="M207" s="21">
        <v>36.61</v>
      </c>
      <c r="N207" s="21">
        <v>36.81</v>
      </c>
      <c r="O207" s="63">
        <v>268</v>
      </c>
      <c r="P207" s="28">
        <v>4.3999999999999997E-2</v>
      </c>
      <c r="Q207" s="28">
        <v>0.40739999999999998</v>
      </c>
      <c r="R207" s="81">
        <f t="shared" si="86"/>
        <v>-1.0954377673110326E-2</v>
      </c>
      <c r="S207" s="81">
        <f t="shared" si="87"/>
        <v>-9.1520861372811936E-3</v>
      </c>
      <c r="T207" s="81">
        <f t="shared" si="88"/>
        <v>7.5187969924812026E-3</v>
      </c>
      <c r="U207" s="81">
        <f t="shared" si="89"/>
        <v>4.3999999999999997E-2</v>
      </c>
      <c r="V207" s="83">
        <f t="shared" si="90"/>
        <v>5.9299999999999964E-2</v>
      </c>
    </row>
    <row r="208" spans="1:22">
      <c r="A208" s="75">
        <v>12</v>
      </c>
      <c r="B208" s="149" t="s">
        <v>219</v>
      </c>
      <c r="C208" s="150" t="s">
        <v>215</v>
      </c>
      <c r="D208" s="29">
        <v>497959911.86000001</v>
      </c>
      <c r="E208" s="10">
        <f t="shared" si="84"/>
        <v>3.810552704119749E-2</v>
      </c>
      <c r="F208" s="21">
        <v>46.78</v>
      </c>
      <c r="G208" s="21">
        <v>46.98</v>
      </c>
      <c r="H208" s="63">
        <v>58</v>
      </c>
      <c r="I208" s="28">
        <v>0</v>
      </c>
      <c r="J208" s="28">
        <v>0.81130000000000002</v>
      </c>
      <c r="K208" s="29">
        <v>497426490.25999999</v>
      </c>
      <c r="L208" s="10">
        <f t="shared" si="85"/>
        <v>3.816230891063889E-2</v>
      </c>
      <c r="M208" s="21">
        <v>46.81</v>
      </c>
      <c r="N208" s="21">
        <v>47.01</v>
      </c>
      <c r="O208" s="63">
        <v>58</v>
      </c>
      <c r="P208" s="28">
        <v>0</v>
      </c>
      <c r="Q208" s="28">
        <v>0.81130000000000002</v>
      </c>
      <c r="R208" s="81">
        <f t="shared" si="86"/>
        <v>-1.0712139417158419E-3</v>
      </c>
      <c r="S208" s="81">
        <f t="shared" si="87"/>
        <v>6.3856960408686968E-4</v>
      </c>
      <c r="T208" s="81">
        <f t="shared" si="88"/>
        <v>0</v>
      </c>
      <c r="U208" s="81">
        <f t="shared" si="89"/>
        <v>0</v>
      </c>
      <c r="V208" s="83">
        <f t="shared" si="90"/>
        <v>0</v>
      </c>
    </row>
    <row r="209" spans="1:22">
      <c r="A209" s="43"/>
      <c r="B209" s="43"/>
      <c r="C209" s="74" t="s">
        <v>220</v>
      </c>
      <c r="D209" s="73">
        <f>SUM(D197:D208)</f>
        <v>13067918239.830002</v>
      </c>
      <c r="E209" s="24"/>
      <c r="F209" s="24"/>
      <c r="G209" s="22"/>
      <c r="H209" s="73">
        <f>SUM(H197:H208)</f>
        <v>2085</v>
      </c>
      <c r="I209" s="23"/>
      <c r="J209" s="23"/>
      <c r="K209" s="73">
        <f>SUM(K197:K208)</f>
        <v>13034496718.34</v>
      </c>
      <c r="L209" s="24"/>
      <c r="M209" s="24"/>
      <c r="N209" s="22"/>
      <c r="O209" s="73">
        <f>SUM(O197:O208)</f>
        <v>2117</v>
      </c>
      <c r="P209" s="23"/>
      <c r="Q209" s="23"/>
      <c r="R209" s="81">
        <f t="shared" si="86"/>
        <v>-2.557524532724384E-3</v>
      </c>
      <c r="S209" s="81" t="e">
        <f t="shared" si="87"/>
        <v>#DIV/0!</v>
      </c>
      <c r="T209" s="81">
        <f t="shared" si="88"/>
        <v>1.5347721822541967E-2</v>
      </c>
      <c r="U209" s="81">
        <f t="shared" si="89"/>
        <v>0</v>
      </c>
      <c r="V209" s="83">
        <f t="shared" si="90"/>
        <v>0</v>
      </c>
    </row>
    <row r="210" spans="1:22">
      <c r="A210" s="88"/>
      <c r="B210" s="88"/>
      <c r="C210" s="89" t="s">
        <v>221</v>
      </c>
      <c r="D210" s="90">
        <f>SUM(D189,D194,D209)</f>
        <v>2850520175361.0361</v>
      </c>
      <c r="E210" s="91"/>
      <c r="F210" s="91"/>
      <c r="G210" s="92"/>
      <c r="H210" s="90">
        <f>SUM(H189,H194,H209)</f>
        <v>730734</v>
      </c>
      <c r="I210" s="93"/>
      <c r="J210" s="93"/>
      <c r="K210" s="90">
        <f>SUM(K189,K194,K209)</f>
        <v>2923776912724.1436</v>
      </c>
      <c r="L210" s="91"/>
      <c r="M210" s="91"/>
      <c r="N210" s="92"/>
      <c r="O210" s="90">
        <f>SUM(O189,O194,O209)</f>
        <v>730566</v>
      </c>
      <c r="P210" s="94"/>
      <c r="Q210" s="90"/>
      <c r="R210" s="95"/>
      <c r="S210" s="96"/>
      <c r="T210" s="96"/>
      <c r="U210" s="97"/>
      <c r="V210" s="97"/>
    </row>
    <row r="211" spans="1:22">
      <c r="A211" s="109" t="s">
        <v>250</v>
      </c>
      <c r="B211" s="110" t="s">
        <v>272</v>
      </c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</row>
    <row r="213" spans="1:22">
      <c r="B213" s="113"/>
      <c r="C213" s="113"/>
      <c r="D213" s="112"/>
      <c r="K213" s="112"/>
    </row>
    <row r="214" spans="1:22">
      <c r="B214" s="113"/>
      <c r="D214" s="112"/>
    </row>
  </sheetData>
  <sheetProtection algorithmName="SHA-512" hashValue="evq7Rvp7YQEc5pNkc6y0RZJmvYiq+/bBLd1YRGlf762RPa0AOzrohc7L0a/KwH895yiFy9JrIzUV/C1MHgpbvA==" saltValue="QmrFe1BTGzWAf4LWm3Fo3g==" spinCount="100000" sheet="1" objects="1" scenarios="1"/>
  <mergeCells count="31">
    <mergeCell ref="A195:V195"/>
    <mergeCell ref="A196:V196"/>
    <mergeCell ref="A172:V172"/>
    <mergeCell ref="A175:V175"/>
    <mergeCell ref="A176:V176"/>
    <mergeCell ref="A190:U190"/>
    <mergeCell ref="A191:V191"/>
    <mergeCell ref="A171:V171"/>
    <mergeCell ref="A96:V96"/>
    <mergeCell ref="A97:V97"/>
    <mergeCell ref="A112:V112"/>
    <mergeCell ref="A113:V113"/>
    <mergeCell ref="A127:V127"/>
    <mergeCell ref="A128:V128"/>
    <mergeCell ref="A135:V135"/>
    <mergeCell ref="A136:V136"/>
    <mergeCell ref="A164:V164"/>
    <mergeCell ref="A165:V165"/>
    <mergeCell ref="A170:V170"/>
    <mergeCell ref="A95:V95"/>
    <mergeCell ref="A1:V1"/>
    <mergeCell ref="U2:V2"/>
    <mergeCell ref="A4:V4"/>
    <mergeCell ref="A5:V5"/>
    <mergeCell ref="A24:V24"/>
    <mergeCell ref="A25:V25"/>
    <mergeCell ref="A58:V58"/>
    <mergeCell ref="A59:V59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ignoredErrors>
    <ignoredError sqref="L81 E81 E64" formula="1"/>
    <ignoredError sqref="S134 S23 T34 S57 S94 S126 T144 S163 S169 S188 S209 T192:T19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D28"/>
  <sheetViews>
    <sheetView workbookViewId="0">
      <selection activeCell="H2" sqref="H2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4">
      <c r="A1" s="99"/>
      <c r="B1" s="99"/>
      <c r="C1" s="99"/>
      <c r="D1" s="99"/>
    </row>
    <row r="2" spans="1:4" ht="33">
      <c r="A2" s="129" t="s">
        <v>222</v>
      </c>
      <c r="B2" s="130" t="s">
        <v>269</v>
      </c>
      <c r="C2" s="130" t="s">
        <v>276</v>
      </c>
      <c r="D2" s="99"/>
    </row>
    <row r="3" spans="1:4" ht="16.5">
      <c r="A3" s="131" t="s">
        <v>15</v>
      </c>
      <c r="B3" s="132">
        <f t="shared" ref="B3:C10" si="0">B12</f>
        <v>27.319052490226497</v>
      </c>
      <c r="C3" s="132">
        <f t="shared" si="0"/>
        <v>27.676372012243796</v>
      </c>
      <c r="D3" s="99"/>
    </row>
    <row r="4" spans="1:4" ht="17.25" customHeight="1">
      <c r="A4" s="133" t="s">
        <v>47</v>
      </c>
      <c r="B4" s="134">
        <f t="shared" si="0"/>
        <v>943.17306225288905</v>
      </c>
      <c r="C4" s="134">
        <f t="shared" si="0"/>
        <v>959.75414286804619</v>
      </c>
      <c r="D4" s="99"/>
    </row>
    <row r="5" spans="1:4" ht="19.5" customHeight="1">
      <c r="A5" s="133" t="s">
        <v>223</v>
      </c>
      <c r="B5" s="132">
        <f t="shared" si="0"/>
        <v>257.29152816124872</v>
      </c>
      <c r="C5" s="132">
        <f t="shared" si="0"/>
        <v>246.83900674143806</v>
      </c>
      <c r="D5" s="99"/>
    </row>
    <row r="6" spans="1:4" ht="16.5">
      <c r="A6" s="133" t="s">
        <v>128</v>
      </c>
      <c r="B6" s="134">
        <f t="shared" si="0"/>
        <v>1300.4808572377635</v>
      </c>
      <c r="C6" s="134">
        <f t="shared" si="0"/>
        <v>1366.8889568279469</v>
      </c>
      <c r="D6" s="99"/>
    </row>
    <row r="7" spans="1:4" ht="16.5">
      <c r="A7" s="133" t="s">
        <v>224</v>
      </c>
      <c r="B7" s="132">
        <f t="shared" si="0"/>
        <v>99.185326803116425</v>
      </c>
      <c r="C7" s="132">
        <f t="shared" si="0"/>
        <v>99.061132410269892</v>
      </c>
      <c r="D7" s="99"/>
    </row>
    <row r="8" spans="1:4" ht="16.5">
      <c r="A8" s="133" t="s">
        <v>154</v>
      </c>
      <c r="B8" s="135">
        <f t="shared" si="0"/>
        <v>48.298812075103349</v>
      </c>
      <c r="C8" s="135">
        <f t="shared" si="0"/>
        <v>49.028772091292119</v>
      </c>
      <c r="D8" s="99"/>
    </row>
    <row r="9" spans="1:4" ht="16.5">
      <c r="A9" s="133" t="s">
        <v>178</v>
      </c>
      <c r="B9" s="132">
        <f t="shared" si="0"/>
        <v>4.8079459306199999</v>
      </c>
      <c r="C9" s="132">
        <f t="shared" si="0"/>
        <v>4.8873476897399994</v>
      </c>
      <c r="D9" s="99"/>
    </row>
    <row r="10" spans="1:4" ht="16.5">
      <c r="A10" s="133" t="s">
        <v>225</v>
      </c>
      <c r="B10" s="132">
        <f t="shared" si="0"/>
        <v>51.539113968287907</v>
      </c>
      <c r="C10" s="132">
        <f t="shared" si="0"/>
        <v>51.244098077136549</v>
      </c>
      <c r="D10" s="99"/>
    </row>
    <row r="11" spans="1:4">
      <c r="A11" s="99"/>
      <c r="B11" s="99"/>
      <c r="C11" s="99"/>
      <c r="D11" s="99"/>
    </row>
    <row r="12" spans="1:4">
      <c r="A12" s="136" t="s">
        <v>15</v>
      </c>
      <c r="B12" s="137">
        <f>'Weekly Valuation'!D23/1000000000</f>
        <v>27.319052490226497</v>
      </c>
      <c r="C12" s="138">
        <f>'Weekly Valuation'!K23/1000000000</f>
        <v>27.676372012243796</v>
      </c>
      <c r="D12" s="99"/>
    </row>
    <row r="13" spans="1:4">
      <c r="A13" s="139" t="s">
        <v>47</v>
      </c>
      <c r="B13" s="137">
        <f>'Weekly Valuation'!D57/1000000000</f>
        <v>943.17306225288905</v>
      </c>
      <c r="C13" s="140">
        <f>'Weekly Valuation'!K57/1000000000</f>
        <v>959.75414286804619</v>
      </c>
      <c r="D13" s="99"/>
    </row>
    <row r="14" spans="1:4">
      <c r="A14" s="139" t="s">
        <v>223</v>
      </c>
      <c r="B14" s="137">
        <f>'Weekly Valuation'!D94/1000000000</f>
        <v>257.29152816124872</v>
      </c>
      <c r="C14" s="138">
        <f>'Weekly Valuation'!K94/1000000000</f>
        <v>246.83900674143806</v>
      </c>
      <c r="D14" s="99"/>
    </row>
    <row r="15" spans="1:4">
      <c r="A15" s="139" t="s">
        <v>128</v>
      </c>
      <c r="B15" s="137">
        <f>'Weekly Valuation'!D126/1000000000</f>
        <v>1300.4808572377635</v>
      </c>
      <c r="C15" s="140">
        <f>'Weekly Valuation'!K126/1000000000</f>
        <v>1366.8889568279469</v>
      </c>
      <c r="D15" s="99"/>
    </row>
    <row r="16" spans="1:4">
      <c r="A16" s="139" t="s">
        <v>224</v>
      </c>
      <c r="B16" s="137">
        <f>'Weekly Valuation'!D134/1000000000</f>
        <v>99.185326803116425</v>
      </c>
      <c r="C16" s="138">
        <f>'Weekly Valuation'!K134/1000000000</f>
        <v>99.061132410269892</v>
      </c>
      <c r="D16" s="99"/>
    </row>
    <row r="17" spans="1:4">
      <c r="A17" s="139" t="s">
        <v>154</v>
      </c>
      <c r="B17" s="137">
        <f>'Weekly Valuation'!D163/1000000000</f>
        <v>48.298812075103349</v>
      </c>
      <c r="C17" s="141">
        <f>'Weekly Valuation'!K163/1000000000</f>
        <v>49.028772091292119</v>
      </c>
      <c r="D17" s="99"/>
    </row>
    <row r="18" spans="1:4">
      <c r="A18" s="139" t="s">
        <v>178</v>
      </c>
      <c r="B18" s="137">
        <f>'Weekly Valuation'!D169/1000000000</f>
        <v>4.8079459306199999</v>
      </c>
      <c r="C18" s="138">
        <f>'Weekly Valuation'!K169/1000000000</f>
        <v>4.8873476897399994</v>
      </c>
      <c r="D18" s="99"/>
    </row>
    <row r="19" spans="1:4">
      <c r="A19" s="139" t="s">
        <v>225</v>
      </c>
      <c r="B19" s="137">
        <f>'Weekly Valuation'!D188/1000000000</f>
        <v>51.539113968287907</v>
      </c>
      <c r="C19" s="138">
        <f>'Weekly Valuation'!K188/1000000000</f>
        <v>51.244098077136549</v>
      </c>
      <c r="D19" s="99"/>
    </row>
    <row r="20" spans="1:4" ht="16.5">
      <c r="A20" s="142"/>
      <c r="B20" s="99"/>
      <c r="C20" s="143"/>
      <c r="D20" s="99"/>
    </row>
    <row r="21" spans="1:4" ht="16.5">
      <c r="A21" s="115"/>
      <c r="B21" s="101"/>
      <c r="C21" s="106"/>
      <c r="D21" s="99"/>
    </row>
    <row r="22" spans="1:4" ht="16.5">
      <c r="A22" s="115"/>
      <c r="B22" s="106"/>
      <c r="C22" s="124"/>
      <c r="D22" s="101"/>
    </row>
    <row r="23" spans="1:4" ht="16.5">
      <c r="A23" s="115"/>
      <c r="B23" s="106"/>
      <c r="C23" s="106"/>
      <c r="D23" s="99"/>
    </row>
    <row r="24" spans="1:4" ht="16.5">
      <c r="A24" s="115"/>
      <c r="B24" s="106"/>
      <c r="C24" s="106"/>
      <c r="D24" s="99"/>
    </row>
    <row r="25" spans="1:4" ht="16.5">
      <c r="A25" s="115"/>
      <c r="B25" s="106"/>
      <c r="C25" s="106"/>
      <c r="D25" s="99"/>
    </row>
    <row r="26" spans="1:4" ht="16.5">
      <c r="A26" s="115"/>
      <c r="B26" s="106"/>
      <c r="C26" s="106"/>
    </row>
    <row r="27" spans="1:4">
      <c r="B27" s="101"/>
      <c r="C27" s="101"/>
    </row>
    <row r="28" spans="1:4">
      <c r="B28" s="101"/>
      <c r="C28" s="101"/>
    </row>
  </sheetData>
  <sheetProtection algorithmName="SHA-512" hashValue="zq/0orql9GYFEB/3rdlK8cxN236xeij9DowZmz2DXNEhASRNN0PkDU5w3UEdqjswccsCixaeE1CKbwifEKrkBw==" saltValue="poAaas36t1kXboGwztSG1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33"/>
  <sheetViews>
    <sheetView zoomScale="85" zoomScaleNormal="85" workbookViewId="0">
      <selection activeCell="J4" sqref="J4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69" t="s">
        <v>222</v>
      </c>
      <c r="B1" s="170">
        <v>45422</v>
      </c>
      <c r="C1" s="101"/>
      <c r="D1" s="99"/>
    </row>
    <row r="2" spans="1:4" ht="16.5">
      <c r="A2" s="123" t="s">
        <v>178</v>
      </c>
      <c r="B2" s="127">
        <f>'Weekly Valuation'!K169</f>
        <v>4887347689.7399998</v>
      </c>
      <c r="C2" s="101"/>
      <c r="D2" s="99"/>
    </row>
    <row r="3" spans="1:4" ht="16.5">
      <c r="A3" s="123" t="s">
        <v>15</v>
      </c>
      <c r="B3" s="127">
        <f>'Weekly Valuation'!K23</f>
        <v>27676372012.243797</v>
      </c>
      <c r="C3" s="101"/>
      <c r="D3" s="99"/>
    </row>
    <row r="4" spans="1:4" ht="16.5">
      <c r="A4" s="123" t="s">
        <v>154</v>
      </c>
      <c r="B4" s="49">
        <f>'Weekly Valuation'!K163</f>
        <v>49028772091.292122</v>
      </c>
      <c r="C4" s="101"/>
      <c r="D4" s="99"/>
    </row>
    <row r="5" spans="1:4" ht="16.5">
      <c r="A5" s="123" t="s">
        <v>225</v>
      </c>
      <c r="B5" s="127">
        <f>'Weekly Valuation'!K188</f>
        <v>51244098077.136551</v>
      </c>
      <c r="C5" s="101"/>
      <c r="D5" s="99"/>
    </row>
    <row r="6" spans="1:4" ht="16.5">
      <c r="A6" s="123" t="s">
        <v>224</v>
      </c>
      <c r="B6" s="127">
        <f>'Weekly Valuation'!K134</f>
        <v>99061132410.269897</v>
      </c>
      <c r="C6" s="101"/>
      <c r="D6" s="99"/>
    </row>
    <row r="7" spans="1:4" ht="16.5">
      <c r="A7" s="123" t="s">
        <v>223</v>
      </c>
      <c r="B7" s="127">
        <f>'Weekly Valuation'!K94</f>
        <v>246839006741.43805</v>
      </c>
      <c r="C7" s="101"/>
      <c r="D7" s="99"/>
    </row>
    <row r="8" spans="1:4" ht="16.5">
      <c r="A8" s="123" t="s">
        <v>47</v>
      </c>
      <c r="B8" s="128">
        <f>'Weekly Valuation'!K57</f>
        <v>959754142868.04614</v>
      </c>
      <c r="C8" s="101"/>
      <c r="D8" s="99"/>
    </row>
    <row r="9" spans="1:4" ht="16.5">
      <c r="A9" s="123" t="s">
        <v>128</v>
      </c>
      <c r="B9" s="128">
        <f>'Weekly Valuation'!K126</f>
        <v>1366888956827.947</v>
      </c>
      <c r="C9" s="101"/>
      <c r="D9" s="99"/>
    </row>
    <row r="10" spans="1:4">
      <c r="A10" s="101"/>
      <c r="B10" s="101"/>
      <c r="C10" s="101"/>
      <c r="D10" s="99"/>
    </row>
    <row r="11" spans="1:4" ht="16.5">
      <c r="A11" s="171"/>
      <c r="B11" s="101"/>
      <c r="C11" s="101"/>
      <c r="D11" s="99"/>
    </row>
    <row r="12" spans="1:4" ht="16.5">
      <c r="A12" s="106"/>
      <c r="B12" s="101"/>
      <c r="C12" s="101"/>
      <c r="D12" s="99"/>
    </row>
    <row r="13" spans="1:4" ht="16.5">
      <c r="A13" s="106"/>
      <c r="B13" s="106"/>
      <c r="C13" s="101"/>
      <c r="D13" s="101"/>
    </row>
    <row r="14" spans="1:4" ht="16.5">
      <c r="A14" s="106"/>
      <c r="B14" s="106"/>
      <c r="C14" s="101"/>
      <c r="D14" s="101"/>
    </row>
    <row r="15" spans="1:4" ht="16.5" customHeight="1">
      <c r="A15" s="124"/>
      <c r="B15" s="124"/>
      <c r="C15" s="101"/>
    </row>
    <row r="16" spans="1:4" ht="16.5">
      <c r="A16" s="106"/>
      <c r="B16" s="106"/>
      <c r="C16" s="101"/>
    </row>
    <row r="17" spans="1:17" ht="16.5">
      <c r="A17" s="106"/>
      <c r="B17" s="106"/>
      <c r="C17" s="101"/>
    </row>
    <row r="18" spans="1:17" ht="16.5">
      <c r="A18" s="118"/>
      <c r="B18" s="106"/>
      <c r="C18" s="101"/>
    </row>
    <row r="19" spans="1:17" ht="16.5">
      <c r="A19" s="118"/>
      <c r="B19" s="118"/>
      <c r="C19" s="101"/>
    </row>
    <row r="20" spans="1:17" ht="16.5">
      <c r="A20" s="118"/>
      <c r="B20" s="118"/>
      <c r="C20" s="101"/>
    </row>
    <row r="21" spans="1:17" ht="16.5">
      <c r="A21" s="115"/>
      <c r="B21" s="118"/>
      <c r="C21" s="101"/>
    </row>
    <row r="22" spans="1:17" ht="16.5">
      <c r="A22" s="101"/>
      <c r="B22" s="118"/>
      <c r="C22" s="101"/>
    </row>
    <row r="23" spans="1:17">
      <c r="A23" s="101"/>
      <c r="B23" s="101"/>
      <c r="C23" s="101"/>
    </row>
    <row r="24" spans="1:17">
      <c r="A24" s="101"/>
      <c r="B24" s="101"/>
      <c r="C24" s="101"/>
    </row>
    <row r="25" spans="1:17">
      <c r="A25" s="101"/>
      <c r="B25" s="101"/>
      <c r="C25" s="101"/>
    </row>
    <row r="26" spans="1:17">
      <c r="A26" s="101"/>
      <c r="B26" s="101"/>
    </row>
    <row r="32" spans="1:17" ht="16.5" customHeight="1">
      <c r="A32" s="168" t="s">
        <v>275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07"/>
    </row>
    <row r="33" spans="1:17" ht="15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07"/>
    </row>
  </sheetData>
  <sheetProtection algorithmName="SHA-512" hashValue="JIxi4HD/xDOl824Fe9vBPyMSiiQNQKiuvsJNVKCC+NSUghzWE/hgq8e3GJP5GpTIN3rl3XxD1qAVKGFkTwLK5g==" saltValue="pIJFMsOSUuZzItUgWXPMKQ==" spinCount="100000" sheet="1" objects="1" scenarios="1"/>
  <sortState xmlns:xlrd2="http://schemas.microsoft.com/office/spreadsheetml/2017/richdata2"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M7"/>
  <sheetViews>
    <sheetView zoomScale="110" zoomScaleNormal="110" workbookViewId="0">
      <selection activeCell="H2" sqref="H2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9"/>
      <c r="B1" s="99"/>
      <c r="C1" s="99"/>
      <c r="D1" s="99"/>
      <c r="E1" s="99"/>
      <c r="F1" s="99"/>
      <c r="G1" s="99"/>
      <c r="H1" s="99"/>
      <c r="I1" s="99"/>
      <c r="J1" s="101"/>
      <c r="K1" s="101"/>
      <c r="L1" s="101"/>
      <c r="M1" s="101"/>
    </row>
    <row r="2" spans="1:13">
      <c r="A2" s="144" t="s">
        <v>233</v>
      </c>
      <c r="B2" s="145">
        <v>45373</v>
      </c>
      <c r="C2" s="145">
        <v>45379</v>
      </c>
      <c r="D2" s="145">
        <v>45387</v>
      </c>
      <c r="E2" s="145">
        <v>45394</v>
      </c>
      <c r="F2" s="145">
        <v>45401</v>
      </c>
      <c r="G2" s="145">
        <v>45408</v>
      </c>
      <c r="H2" s="145">
        <v>45415</v>
      </c>
      <c r="I2" s="145">
        <v>45422</v>
      </c>
      <c r="J2" s="101"/>
      <c r="K2" s="101"/>
      <c r="L2" s="101"/>
      <c r="M2" s="101"/>
    </row>
    <row r="3" spans="1:13">
      <c r="A3" s="144" t="s">
        <v>234</v>
      </c>
      <c r="B3" s="146">
        <f t="shared" ref="B3:I3" si="0">B4</f>
        <v>2726.590314934399</v>
      </c>
      <c r="C3" s="146">
        <f t="shared" si="0"/>
        <v>2644.8482103597744</v>
      </c>
      <c r="D3" s="146">
        <f t="shared" si="0"/>
        <v>2589.6638814860466</v>
      </c>
      <c r="E3" s="146">
        <f t="shared" si="0"/>
        <v>2515.3217074592571</v>
      </c>
      <c r="F3" s="146">
        <f t="shared" si="0"/>
        <v>2510.7979153396032</v>
      </c>
      <c r="G3" s="146">
        <f t="shared" si="0"/>
        <v>2662.1939749035823</v>
      </c>
      <c r="H3" s="146">
        <f t="shared" si="0"/>
        <v>2732.0956989192559</v>
      </c>
      <c r="I3" s="146">
        <f t="shared" si="0"/>
        <v>2805.3798287181139</v>
      </c>
      <c r="J3" s="101"/>
      <c r="K3" s="101"/>
      <c r="L3" s="101"/>
      <c r="M3" s="101"/>
    </row>
    <row r="4" spans="1:13">
      <c r="A4" s="99"/>
      <c r="B4" s="147">
        <f>'NAV Trend'!C10/1000000000</f>
        <v>2726.590314934399</v>
      </c>
      <c r="C4" s="147">
        <f>'NAV Trend'!D10/1000000000</f>
        <v>2644.8482103597744</v>
      </c>
      <c r="D4" s="147">
        <f>'NAV Trend'!E10/1000000000</f>
        <v>2589.6638814860466</v>
      </c>
      <c r="E4" s="147">
        <f>'NAV Trend'!F10/1000000000</f>
        <v>2515.3217074592571</v>
      </c>
      <c r="F4" s="147">
        <f>'NAV Trend'!G10/1000000000</f>
        <v>2510.7979153396032</v>
      </c>
      <c r="G4" s="147">
        <f>'NAV Trend'!H10/1000000000</f>
        <v>2662.1939749035823</v>
      </c>
      <c r="H4" s="148">
        <f>'NAV Trend'!I10/1000000000</f>
        <v>2732.0956989192559</v>
      </c>
      <c r="I4" s="148">
        <f>'NAV Trend'!J10/1000000000</f>
        <v>2805.3798287181139</v>
      </c>
      <c r="J4" s="101"/>
      <c r="K4" s="101"/>
      <c r="L4" s="101"/>
      <c r="M4" s="101"/>
    </row>
    <row r="5" spans="1:1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3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3">
      <c r="A7" s="101"/>
      <c r="B7" s="101"/>
      <c r="C7" s="101"/>
      <c r="D7" s="101"/>
      <c r="E7" s="101"/>
      <c r="F7" s="101"/>
      <c r="G7" s="101"/>
      <c r="H7" s="101"/>
      <c r="I7" s="101"/>
      <c r="J7" s="101"/>
    </row>
  </sheetData>
  <sheetProtection algorithmName="SHA-512" hashValue="YiZu1Ug1eR5C3vzcTaydyNCLg0JIidvTSZMTf0q1ls5EVH878066PeYVcFovffITklmxAhoVyfRyKSIx+YoNdQ==" saltValue="5g6a81Sys8Gzj1hm6AAwW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A2AF0-A961-4E58-933E-1EE96F1E7D82}">
  <sheetPr>
    <tabColor rgb="FFFFFF00"/>
  </sheetPr>
  <dimension ref="A1:L6"/>
  <sheetViews>
    <sheetView workbookViewId="0">
      <selection activeCell="H6" sqref="H6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99"/>
      <c r="J1" s="99"/>
      <c r="K1" s="101"/>
      <c r="L1" s="101"/>
    </row>
    <row r="2" spans="1:12">
      <c r="A2" s="144" t="s">
        <v>233</v>
      </c>
      <c r="B2" s="145">
        <v>45373</v>
      </c>
      <c r="C2" s="145">
        <v>45379</v>
      </c>
      <c r="D2" s="145">
        <v>45387</v>
      </c>
      <c r="E2" s="145">
        <v>45394</v>
      </c>
      <c r="F2" s="145">
        <v>45401</v>
      </c>
      <c r="G2" s="145">
        <v>45408</v>
      </c>
      <c r="H2" s="145">
        <v>45415</v>
      </c>
      <c r="I2" s="145">
        <v>45422</v>
      </c>
      <c r="J2" s="99"/>
      <c r="K2" s="101"/>
      <c r="L2" s="101"/>
    </row>
    <row r="3" spans="1:12">
      <c r="A3" s="144" t="s">
        <v>265</v>
      </c>
      <c r="B3" s="146">
        <f t="shared" ref="B3:I3" si="0">B4</f>
        <v>13.611683369310001</v>
      </c>
      <c r="C3" s="146">
        <f t="shared" si="0"/>
        <v>13.637941626835818</v>
      </c>
      <c r="D3" s="146">
        <f t="shared" si="0"/>
        <v>13.392488443196084</v>
      </c>
      <c r="E3" s="146">
        <f t="shared" si="0"/>
        <v>13.204581677229028</v>
      </c>
      <c r="F3" s="146">
        <f t="shared" si="0"/>
        <v>12.730402807627465</v>
      </c>
      <c r="G3" s="146">
        <f t="shared" si="0"/>
        <v>12.735357486958618</v>
      </c>
      <c r="H3" s="146">
        <f t="shared" si="0"/>
        <v>13.067918239830002</v>
      </c>
      <c r="I3" s="146">
        <f t="shared" si="0"/>
        <v>13.03449671834</v>
      </c>
      <c r="J3" s="99"/>
      <c r="K3" s="101"/>
      <c r="L3" s="101"/>
    </row>
    <row r="4" spans="1:12">
      <c r="A4" s="99"/>
      <c r="B4" s="147">
        <f>'NAV Trend'!C16/1000000000</f>
        <v>13.611683369310001</v>
      </c>
      <c r="C4" s="147">
        <f>'NAV Trend'!D16/1000000000</f>
        <v>13.637941626835818</v>
      </c>
      <c r="D4" s="147">
        <f>'NAV Trend'!E16/1000000000</f>
        <v>13.392488443196084</v>
      </c>
      <c r="E4" s="147">
        <f>'NAV Trend'!F16/1000000000</f>
        <v>13.204581677229028</v>
      </c>
      <c r="F4" s="147">
        <f>'NAV Trend'!G16/1000000000</f>
        <v>12.730402807627465</v>
      </c>
      <c r="G4" s="147">
        <f>'NAV Trend'!H16/1000000000</f>
        <v>12.735357486958618</v>
      </c>
      <c r="H4" s="147">
        <f>'NAV Trend'!I16/1000000000</f>
        <v>13.067918239830002</v>
      </c>
      <c r="I4" s="148">
        <f>'NAV Trend'!J16/1000000000</f>
        <v>13.03449671834</v>
      </c>
      <c r="J4" s="99"/>
      <c r="K4" s="101"/>
      <c r="L4" s="101"/>
    </row>
    <row r="5" spans="1:12">
      <c r="A5" s="99"/>
      <c r="B5" s="99"/>
      <c r="C5" s="99"/>
      <c r="D5" s="99"/>
      <c r="E5" s="99"/>
      <c r="F5" s="99"/>
      <c r="G5" s="99"/>
      <c r="H5" s="99"/>
      <c r="I5" s="99"/>
      <c r="J5" s="99"/>
      <c r="K5" s="101"/>
      <c r="L5" s="101"/>
    </row>
    <row r="6" spans="1:1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</row>
  </sheetData>
  <sheetProtection algorithmName="SHA-512" hashValue="F8Dsd/N22qXYlqeTly/8qZNNxwNyc3g7JDHE3FkhJKYV7gHRKqNmh+oo8hbgUDNC2ijf3/NVQ+k8sO2SdwAlyw==" saltValue="WMhDdTVZBkZb4sVbhB9fX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4" t="s">
        <v>222</v>
      </c>
      <c r="B1" s="45">
        <v>45366</v>
      </c>
      <c r="C1" s="45">
        <v>45373</v>
      </c>
      <c r="D1" s="45">
        <v>45379</v>
      </c>
      <c r="E1" s="45">
        <v>45387</v>
      </c>
      <c r="F1" s="45">
        <v>45394</v>
      </c>
      <c r="G1" s="45">
        <v>45401</v>
      </c>
      <c r="H1" s="45">
        <v>45408</v>
      </c>
      <c r="I1" s="45">
        <v>45415</v>
      </c>
      <c r="J1" s="45">
        <v>45422</v>
      </c>
    </row>
    <row r="2" spans="1:11" ht="16.5">
      <c r="A2" s="46" t="s">
        <v>15</v>
      </c>
      <c r="B2" s="47">
        <v>28276421739.200005</v>
      </c>
      <c r="C2" s="47">
        <v>28214914152.029099</v>
      </c>
      <c r="D2" s="47">
        <v>28499552255.214199</v>
      </c>
      <c r="E2" s="47">
        <v>27852455758.705902</v>
      </c>
      <c r="F2" s="47">
        <v>27759764748.77</v>
      </c>
      <c r="G2" s="47">
        <v>26572100101.452099</v>
      </c>
      <c r="H2" s="47">
        <v>26264049012.868401</v>
      </c>
      <c r="I2" s="47">
        <v>27319052490.226498</v>
      </c>
      <c r="J2" s="128">
        <v>27676372012.243797</v>
      </c>
    </row>
    <row r="3" spans="1:11" ht="16.5">
      <c r="A3" s="46" t="s">
        <v>47</v>
      </c>
      <c r="B3" s="48">
        <v>923190562024.35754</v>
      </c>
      <c r="C3" s="48">
        <v>920023842595.84558</v>
      </c>
      <c r="D3" s="48">
        <v>919496006574.40955</v>
      </c>
      <c r="E3" s="48">
        <v>932135468254.62366</v>
      </c>
      <c r="F3" s="128">
        <v>934334906874.48413</v>
      </c>
      <c r="G3" s="128">
        <v>933193021103.14502</v>
      </c>
      <c r="H3" s="128">
        <v>929998159930.67285</v>
      </c>
      <c r="I3" s="128">
        <v>943173062252.88904</v>
      </c>
      <c r="J3" s="128">
        <v>959754142868.04614</v>
      </c>
    </row>
    <row r="4" spans="1:11" ht="16.5">
      <c r="A4" s="46" t="s">
        <v>223</v>
      </c>
      <c r="B4" s="47">
        <v>278795170732.32147</v>
      </c>
      <c r="C4" s="47">
        <v>270220925639.65829</v>
      </c>
      <c r="D4" s="47">
        <v>271658696513.58481</v>
      </c>
      <c r="E4" s="47">
        <v>269472046413.53357</v>
      </c>
      <c r="F4" s="127">
        <v>268371629137.21021</v>
      </c>
      <c r="G4" s="127">
        <v>263752465697.42932</v>
      </c>
      <c r="H4" s="127">
        <v>259455612091.81857</v>
      </c>
      <c r="I4" s="127">
        <v>257291528161.24875</v>
      </c>
      <c r="J4" s="127">
        <v>246839006741.43805</v>
      </c>
    </row>
    <row r="5" spans="1:11" ht="16.5">
      <c r="A5" s="46" t="s">
        <v>128</v>
      </c>
      <c r="B5" s="48">
        <v>1165595130957.3054</v>
      </c>
      <c r="C5" s="48">
        <v>1304383952109.4192</v>
      </c>
      <c r="D5" s="48">
        <v>1220986424851.5159</v>
      </c>
      <c r="E5" s="48">
        <v>1156417308460.8564</v>
      </c>
      <c r="F5" s="128">
        <v>1082391359671.3127</v>
      </c>
      <c r="G5" s="128">
        <v>1084163633164.5548</v>
      </c>
      <c r="H5" s="128">
        <v>1242707828226.4185</v>
      </c>
      <c r="I5" s="128">
        <v>1300480857237.7634</v>
      </c>
      <c r="J5" s="128">
        <v>1366888956827.947</v>
      </c>
    </row>
    <row r="6" spans="1:11" ht="16.5">
      <c r="A6" s="46" t="s">
        <v>224</v>
      </c>
      <c r="B6" s="47">
        <v>99792663694.00943</v>
      </c>
      <c r="C6" s="47">
        <v>99828191215.146545</v>
      </c>
      <c r="D6" s="47">
        <v>99892436477.227188</v>
      </c>
      <c r="E6" s="47">
        <v>99837132151.759857</v>
      </c>
      <c r="F6" s="47">
        <v>99870092317.262451</v>
      </c>
      <c r="G6" s="47">
        <v>99918187898.83699</v>
      </c>
      <c r="H6" s="47">
        <v>100037877390.68518</v>
      </c>
      <c r="I6" s="47">
        <v>99185326803.116425</v>
      </c>
      <c r="J6" s="47">
        <v>99061132410.269897</v>
      </c>
    </row>
    <row r="7" spans="1:11" ht="16.5">
      <c r="A7" s="46" t="s">
        <v>154</v>
      </c>
      <c r="B7" s="49">
        <v>50020197377.86998</v>
      </c>
      <c r="C7" s="49">
        <v>49695302922.37442</v>
      </c>
      <c r="D7" s="49">
        <v>49905453494.100525</v>
      </c>
      <c r="E7" s="49">
        <v>49320093297.825478</v>
      </c>
      <c r="F7" s="49">
        <v>48079052440.593132</v>
      </c>
      <c r="G7" s="49">
        <v>47213858445.276672</v>
      </c>
      <c r="H7" s="49">
        <v>47381646798.600899</v>
      </c>
      <c r="I7" s="49">
        <v>48298812075.103348</v>
      </c>
      <c r="J7" s="49">
        <v>49028772091.292122</v>
      </c>
    </row>
    <row r="8" spans="1:11" ht="16.5">
      <c r="A8" s="46" t="s">
        <v>178</v>
      </c>
      <c r="B8" s="47">
        <v>5200581697.7199993</v>
      </c>
      <c r="C8" s="47">
        <v>5194175729.4800005</v>
      </c>
      <c r="D8" s="47">
        <v>5216241473.6000004</v>
      </c>
      <c r="E8" s="47">
        <v>5149295610.3599997</v>
      </c>
      <c r="F8" s="47">
        <v>5005243623.0900002</v>
      </c>
      <c r="G8" s="47">
        <v>4752808696.8699999</v>
      </c>
      <c r="H8" s="47">
        <v>4722955841.5799999</v>
      </c>
      <c r="I8" s="47">
        <v>4807945930.6199999</v>
      </c>
      <c r="J8" s="47">
        <v>4887347689.7399998</v>
      </c>
    </row>
    <row r="9" spans="1:11" ht="16.5">
      <c r="A9" s="46" t="s">
        <v>225</v>
      </c>
      <c r="B9" s="47">
        <v>49249384208.9645</v>
      </c>
      <c r="C9" s="47">
        <v>49029010570.445801</v>
      </c>
      <c r="D9" s="47">
        <v>49193398720.121994</v>
      </c>
      <c r="E9" s="47">
        <v>49480081538.382065</v>
      </c>
      <c r="F9" s="47">
        <v>49509658646.534012</v>
      </c>
      <c r="G9" s="47">
        <v>51231840232.037872</v>
      </c>
      <c r="H9" s="47">
        <v>51625845610.938026</v>
      </c>
      <c r="I9" s="47">
        <v>51539113968.28791</v>
      </c>
      <c r="J9" s="47">
        <v>51244098077.136551</v>
      </c>
    </row>
    <row r="10" spans="1:11" ht="15.75">
      <c r="A10" s="50" t="s">
        <v>226</v>
      </c>
      <c r="B10" s="51">
        <f t="shared" ref="B10:I10" si="0">SUM(B2:B9)</f>
        <v>2600120112431.7485</v>
      </c>
      <c r="C10" s="51">
        <f t="shared" si="0"/>
        <v>2726590314934.3989</v>
      </c>
      <c r="D10" s="51">
        <f t="shared" si="0"/>
        <v>2644848210359.7744</v>
      </c>
      <c r="E10" s="51">
        <f t="shared" si="0"/>
        <v>2589663881486.0469</v>
      </c>
      <c r="F10" s="51">
        <f t="shared" si="0"/>
        <v>2515321707459.2573</v>
      </c>
      <c r="G10" s="51">
        <f t="shared" si="0"/>
        <v>2510797915339.603</v>
      </c>
      <c r="H10" s="51">
        <f t="shared" si="0"/>
        <v>2662193974903.5825</v>
      </c>
      <c r="I10" s="51">
        <f t="shared" si="0"/>
        <v>2732095698919.2559</v>
      </c>
      <c r="J10" s="51">
        <f t="shared" ref="J10" si="1">SUM(J2:J9)</f>
        <v>2805379828718.1138</v>
      </c>
    </row>
    <row r="11" spans="1:11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1" ht="15.75">
      <c r="A12" s="54" t="s">
        <v>227</v>
      </c>
      <c r="B12" s="55" t="s">
        <v>228</v>
      </c>
      <c r="C12" s="56">
        <f>(B10+C10)/2</f>
        <v>2663355213683.0737</v>
      </c>
      <c r="D12" s="57">
        <f t="shared" ref="D12:J12" si="2">(C10+D10)/2</f>
        <v>2685719262647.0869</v>
      </c>
      <c r="E12" s="57">
        <f t="shared" si="2"/>
        <v>2617256045922.9106</v>
      </c>
      <c r="F12" s="57">
        <f t="shared" si="2"/>
        <v>2552492794472.6523</v>
      </c>
      <c r="G12" s="57">
        <f>(F10+G10)/2</f>
        <v>2513059811399.4302</v>
      </c>
      <c r="H12" s="57">
        <f t="shared" si="2"/>
        <v>2586495945121.5928</v>
      </c>
      <c r="I12" s="57">
        <f t="shared" si="2"/>
        <v>2697144836911.4189</v>
      </c>
      <c r="J12" s="57">
        <f t="shared" si="2"/>
        <v>2768737763818.6846</v>
      </c>
    </row>
    <row r="13" spans="1:11">
      <c r="C13" s="101"/>
      <c r="D13" s="101"/>
      <c r="E13" s="101"/>
      <c r="F13" s="101"/>
      <c r="G13" s="101"/>
      <c r="H13" s="101"/>
      <c r="I13" s="101"/>
      <c r="J13" s="101"/>
      <c r="K13" s="101"/>
    </row>
    <row r="14" spans="1:1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ht="16.5">
      <c r="A15" s="101"/>
      <c r="B15" s="45">
        <v>45366</v>
      </c>
      <c r="C15" s="45">
        <v>45373</v>
      </c>
      <c r="D15" s="45">
        <v>45379</v>
      </c>
      <c r="E15" s="45">
        <v>45387</v>
      </c>
      <c r="F15" s="45">
        <v>45394</v>
      </c>
      <c r="G15" s="45">
        <v>45401</v>
      </c>
      <c r="H15" s="45">
        <v>45408</v>
      </c>
      <c r="I15" s="45">
        <v>45415</v>
      </c>
      <c r="J15" s="45">
        <v>45422</v>
      </c>
      <c r="K15" s="101"/>
    </row>
    <row r="16" spans="1:11" ht="16.5">
      <c r="A16" s="123" t="s">
        <v>264</v>
      </c>
      <c r="B16" s="126">
        <v>13749994436.969999</v>
      </c>
      <c r="C16" s="126">
        <v>13611683369.310001</v>
      </c>
      <c r="D16" s="126">
        <v>13637941626.835819</v>
      </c>
      <c r="E16" s="126">
        <v>13392488443.196085</v>
      </c>
      <c r="F16" s="126">
        <v>13204581677.229027</v>
      </c>
      <c r="G16" s="126">
        <v>12730402807.627464</v>
      </c>
      <c r="H16" s="126">
        <v>12735357486.958618</v>
      </c>
      <c r="I16" s="126">
        <v>13067918239.830002</v>
      </c>
      <c r="J16" s="126">
        <v>13034496718.34</v>
      </c>
      <c r="K16" s="101"/>
    </row>
    <row r="17" spans="1:11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>
      <c r="A18" s="101"/>
      <c r="B18" s="101"/>
      <c r="C18" s="125"/>
      <c r="D18" s="125"/>
      <c r="E18" s="125"/>
      <c r="F18" s="125"/>
      <c r="G18" s="125"/>
      <c r="H18" s="125"/>
      <c r="I18" s="125"/>
      <c r="J18" s="125"/>
      <c r="K18" s="101"/>
    </row>
    <row r="19" spans="1:11">
      <c r="A19" s="101"/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>
      <c r="B22" s="101"/>
      <c r="C22" s="101"/>
      <c r="D22" s="101"/>
      <c r="E22" s="101"/>
      <c r="F22" s="101"/>
      <c r="G22" s="101"/>
      <c r="H22" s="101"/>
      <c r="I22" s="101"/>
      <c r="J22" s="101"/>
      <c r="K22" s="99"/>
    </row>
  </sheetData>
  <sheetProtection algorithmName="SHA-512" hashValue="r05lPlxoYwZklz3kGEGHLC+A4FCuvbR6Ui5KEPsRnkR3xrwBuY4WOle5uAJl/wv8VpXqs0fST6eKuD/h0I95Vg==" saltValue="vw5gPgcuGLJOQdJxzMWlV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2023-10-09T09:40:10Z</dcterms:created>
  <dcterms:modified xsi:type="dcterms:W3CDTF">2024-05-20T13:41:30Z</dcterms:modified>
</cp:coreProperties>
</file>