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54C7C892-CD3B-420A-95CC-EB974CD855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C10" i="2"/>
  <c r="C9" i="2"/>
  <c r="C8" i="2"/>
  <c r="C7" i="2"/>
  <c r="C6" i="2"/>
  <c r="C5" i="2"/>
  <c r="C4" i="2"/>
  <c r="C3" i="2"/>
  <c r="B10" i="2"/>
  <c r="B9" i="2"/>
  <c r="B8" i="2"/>
  <c r="B7" i="2"/>
  <c r="B6" i="2"/>
  <c r="B5" i="2"/>
  <c r="B4" i="2"/>
  <c r="B3" i="2"/>
  <c r="N104" i="1"/>
  <c r="M104" i="1"/>
  <c r="K104" i="1"/>
  <c r="R196" i="1" l="1"/>
  <c r="R197" i="1"/>
  <c r="N116" i="1"/>
  <c r="M116" i="1"/>
  <c r="K116" i="1"/>
  <c r="N115" i="1" l="1"/>
  <c r="M115" i="1"/>
  <c r="N99" i="1" l="1"/>
  <c r="M99" i="1"/>
  <c r="K99" i="1"/>
  <c r="N106" i="1"/>
  <c r="M106" i="1"/>
  <c r="K106" i="1"/>
  <c r="N105" i="1"/>
  <c r="M105" i="1"/>
  <c r="K105" i="1"/>
  <c r="N121" i="1"/>
  <c r="M121" i="1"/>
  <c r="N107" i="1"/>
  <c r="M107" i="1"/>
  <c r="K107" i="1"/>
  <c r="N112" i="1" l="1"/>
  <c r="M112" i="1"/>
  <c r="K112" i="1"/>
  <c r="N98" i="1"/>
  <c r="M98" i="1"/>
  <c r="K98" i="1"/>
  <c r="N97" i="1"/>
  <c r="M97" i="1"/>
  <c r="N118" i="1" l="1"/>
  <c r="M118" i="1"/>
  <c r="N100" i="1"/>
  <c r="M100" i="1"/>
  <c r="K100" i="1"/>
  <c r="N117" i="1"/>
  <c r="M117" i="1"/>
  <c r="N122" i="1"/>
  <c r="M122" i="1"/>
  <c r="K122" i="1"/>
  <c r="V121" i="1"/>
  <c r="U121" i="1"/>
  <c r="T121" i="1"/>
  <c r="R121" i="1"/>
  <c r="G121" i="1"/>
  <c r="F121" i="1"/>
  <c r="R91" i="1"/>
  <c r="S91" i="1"/>
  <c r="T91" i="1"/>
  <c r="U91" i="1"/>
  <c r="V91" i="1"/>
  <c r="R54" i="1"/>
  <c r="V54" i="1"/>
  <c r="U54" i="1"/>
  <c r="T54" i="1"/>
  <c r="S54" i="1"/>
  <c r="G118" i="1"/>
  <c r="F118" i="1"/>
  <c r="G117" i="1"/>
  <c r="F117" i="1"/>
  <c r="G116" i="1"/>
  <c r="F116" i="1"/>
  <c r="G115" i="1"/>
  <c r="F115" i="1"/>
  <c r="G112" i="1"/>
  <c r="F112" i="1"/>
  <c r="D116" i="1"/>
  <c r="D112" i="1"/>
  <c r="G107" i="1"/>
  <c r="F107" i="1"/>
  <c r="G106" i="1"/>
  <c r="F106" i="1"/>
  <c r="G105" i="1"/>
  <c r="F105" i="1"/>
  <c r="G104" i="1"/>
  <c r="F104" i="1"/>
  <c r="G100" i="1"/>
  <c r="F100" i="1"/>
  <c r="G99" i="1"/>
  <c r="F99" i="1"/>
  <c r="G98" i="1"/>
  <c r="F98" i="1"/>
  <c r="G97" i="1"/>
  <c r="F97" i="1"/>
  <c r="D107" i="1"/>
  <c r="D106" i="1"/>
  <c r="D105" i="1"/>
  <c r="D104" i="1"/>
  <c r="D100" i="1"/>
  <c r="D99" i="1"/>
  <c r="D98" i="1"/>
  <c r="R176" i="1"/>
  <c r="S121" i="1" l="1"/>
  <c r="R137" i="1" l="1"/>
  <c r="R116" i="1" l="1"/>
  <c r="S116" i="1"/>
  <c r="T116" i="1"/>
  <c r="U116" i="1"/>
  <c r="V116" i="1"/>
  <c r="R77" i="1"/>
  <c r="S77" i="1"/>
  <c r="T77" i="1"/>
  <c r="U77" i="1"/>
  <c r="V77" i="1"/>
  <c r="V190" i="1" l="1"/>
  <c r="T153" i="1"/>
  <c r="S153" i="1"/>
  <c r="R119" i="1" l="1"/>
  <c r="V149" i="1" l="1"/>
  <c r="T141" i="1" l="1"/>
  <c r="R135" i="1"/>
  <c r="S135" i="1"/>
  <c r="T135" i="1"/>
  <c r="U135" i="1"/>
  <c r="V135" i="1"/>
  <c r="R155" i="1"/>
  <c r="S155" i="1"/>
  <c r="T155" i="1"/>
  <c r="U155" i="1"/>
  <c r="V155" i="1"/>
  <c r="R115" i="1" l="1"/>
  <c r="S115" i="1"/>
  <c r="S177" i="1" l="1"/>
  <c r="V115" i="1"/>
  <c r="U115" i="1"/>
  <c r="T115" i="1"/>
  <c r="R66" i="1" l="1"/>
  <c r="V74" i="1" l="1"/>
  <c r="U74" i="1"/>
  <c r="T74" i="1"/>
  <c r="S74" i="1"/>
  <c r="R74" i="1"/>
  <c r="V80" i="1" l="1"/>
  <c r="U80" i="1"/>
  <c r="T80" i="1"/>
  <c r="S80" i="1"/>
  <c r="R80" i="1"/>
  <c r="I10" i="4" l="1"/>
  <c r="H10" i="4"/>
  <c r="G10" i="4"/>
  <c r="F10" i="4"/>
  <c r="E10" i="4"/>
  <c r="D10" i="4"/>
  <c r="C10" i="4"/>
  <c r="B10" i="4"/>
  <c r="V178" i="1" l="1"/>
  <c r="U178" i="1"/>
  <c r="T178" i="1"/>
  <c r="S178" i="1"/>
  <c r="R178" i="1"/>
  <c r="T32" i="1" l="1"/>
  <c r="S21" i="1" l="1"/>
  <c r="T21" i="1"/>
  <c r="V99" i="1" l="1"/>
  <c r="R99" i="1"/>
  <c r="S99" i="1"/>
  <c r="T99" i="1"/>
  <c r="U99" i="1"/>
  <c r="R12" i="1" l="1"/>
  <c r="R48" i="1" l="1"/>
  <c r="V48" i="1"/>
  <c r="U48" i="1"/>
  <c r="T48" i="1"/>
  <c r="S48" i="1"/>
  <c r="V100" i="1" l="1"/>
  <c r="U100" i="1"/>
  <c r="T100" i="1"/>
  <c r="S100" i="1"/>
  <c r="R100" i="1"/>
  <c r="V127" i="1" l="1"/>
  <c r="U127" i="1"/>
  <c r="T127" i="1"/>
  <c r="S127" i="1"/>
  <c r="R127" i="1"/>
  <c r="R71" i="1" l="1"/>
  <c r="V183" i="1" l="1"/>
  <c r="U183" i="1"/>
  <c r="T183" i="1"/>
  <c r="S183" i="1"/>
  <c r="R183" i="1"/>
  <c r="S171" i="1" l="1"/>
  <c r="D166" i="1" l="1"/>
  <c r="D123" i="1"/>
  <c r="E121" i="1" s="1"/>
  <c r="E112" i="1" l="1"/>
  <c r="E116" i="1"/>
  <c r="E100" i="1"/>
  <c r="E115" i="1"/>
  <c r="R90" i="1"/>
  <c r="S90" i="1"/>
  <c r="T90" i="1"/>
  <c r="U90" i="1"/>
  <c r="V90" i="1"/>
  <c r="D206" i="1"/>
  <c r="D185" i="1"/>
  <c r="D131" i="1"/>
  <c r="E127" i="1" s="1"/>
  <c r="D56" i="1"/>
  <c r="E175" i="1" l="1"/>
  <c r="E176" i="1"/>
  <c r="E177" i="1"/>
  <c r="E178" i="1"/>
  <c r="E179" i="1"/>
  <c r="E180" i="1"/>
  <c r="E181" i="1"/>
  <c r="E182" i="1"/>
  <c r="E183" i="1"/>
  <c r="E184" i="1"/>
  <c r="R164" i="1"/>
  <c r="R82" i="1" l="1"/>
  <c r="S82" i="1"/>
  <c r="T82" i="1"/>
  <c r="V82" i="1"/>
  <c r="U82" i="1"/>
  <c r="D22" i="1" l="1"/>
  <c r="R113" i="1" l="1"/>
  <c r="R19" i="1" l="1"/>
  <c r="R195" i="1" l="1"/>
  <c r="S195" i="1"/>
  <c r="T195" i="1"/>
  <c r="U195" i="1"/>
  <c r="V195" i="1"/>
  <c r="S196" i="1"/>
  <c r="T196" i="1"/>
  <c r="U196" i="1"/>
  <c r="V196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S206" i="1"/>
  <c r="U206" i="1"/>
  <c r="V206" i="1"/>
  <c r="V194" i="1"/>
  <c r="U194" i="1"/>
  <c r="T194" i="1"/>
  <c r="S194" i="1"/>
  <c r="R194" i="1"/>
  <c r="U190" i="1"/>
  <c r="T190" i="1"/>
  <c r="S190" i="1"/>
  <c r="R190" i="1"/>
  <c r="V189" i="1"/>
  <c r="U189" i="1"/>
  <c r="T189" i="1"/>
  <c r="S189" i="1"/>
  <c r="R189" i="1"/>
  <c r="R175" i="1"/>
  <c r="S175" i="1"/>
  <c r="T175" i="1"/>
  <c r="U175" i="1"/>
  <c r="V175" i="1"/>
  <c r="S176" i="1"/>
  <c r="T176" i="1"/>
  <c r="U176" i="1"/>
  <c r="V176" i="1"/>
  <c r="R177" i="1"/>
  <c r="T177" i="1"/>
  <c r="U177" i="1"/>
  <c r="V177" i="1"/>
  <c r="R179" i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4" i="1"/>
  <c r="S184" i="1"/>
  <c r="T184" i="1"/>
  <c r="U184" i="1"/>
  <c r="V184" i="1"/>
  <c r="S185" i="1"/>
  <c r="U185" i="1"/>
  <c r="V185" i="1"/>
  <c r="V174" i="1"/>
  <c r="U174" i="1"/>
  <c r="T174" i="1"/>
  <c r="S174" i="1"/>
  <c r="R174" i="1"/>
  <c r="V171" i="1"/>
  <c r="U171" i="1"/>
  <c r="T171" i="1"/>
  <c r="R171" i="1"/>
  <c r="V170" i="1"/>
  <c r="U170" i="1"/>
  <c r="T170" i="1"/>
  <c r="S170" i="1"/>
  <c r="R170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63" i="1"/>
  <c r="U163" i="1"/>
  <c r="T163" i="1"/>
  <c r="S163" i="1"/>
  <c r="R163" i="1"/>
  <c r="R136" i="1"/>
  <c r="S136" i="1"/>
  <c r="T136" i="1"/>
  <c r="U136" i="1"/>
  <c r="V136" i="1"/>
  <c r="S137" i="1"/>
  <c r="T137" i="1"/>
  <c r="U137" i="1"/>
  <c r="V137" i="1"/>
  <c r="R138" i="1"/>
  <c r="S138" i="1"/>
  <c r="T138" i="1"/>
  <c r="U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U153" i="1"/>
  <c r="V153" i="1"/>
  <c r="R154" i="1"/>
  <c r="S154" i="1"/>
  <c r="T154" i="1"/>
  <c r="U154" i="1"/>
  <c r="V154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U160" i="1"/>
  <c r="V160" i="1"/>
  <c r="V134" i="1"/>
  <c r="U134" i="1"/>
  <c r="T134" i="1"/>
  <c r="S134" i="1"/>
  <c r="R13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S131" i="1"/>
  <c r="U131" i="1"/>
  <c r="V131" i="1"/>
  <c r="V126" i="1"/>
  <c r="U126" i="1"/>
  <c r="T126" i="1"/>
  <c r="S126" i="1"/>
  <c r="R126" i="1"/>
  <c r="R112" i="1"/>
  <c r="S112" i="1"/>
  <c r="T112" i="1"/>
  <c r="U112" i="1"/>
  <c r="V112" i="1"/>
  <c r="S113" i="1"/>
  <c r="T113" i="1"/>
  <c r="U113" i="1"/>
  <c r="V113" i="1"/>
  <c r="R114" i="1"/>
  <c r="S114" i="1"/>
  <c r="T114" i="1"/>
  <c r="U114" i="1"/>
  <c r="V114" i="1"/>
  <c r="R117" i="1"/>
  <c r="S117" i="1"/>
  <c r="T117" i="1"/>
  <c r="U117" i="1"/>
  <c r="V117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2" i="1"/>
  <c r="S122" i="1"/>
  <c r="T122" i="1"/>
  <c r="U122" i="1"/>
  <c r="V122" i="1"/>
  <c r="S123" i="1"/>
  <c r="U123" i="1"/>
  <c r="V123" i="1"/>
  <c r="V111" i="1"/>
  <c r="U111" i="1"/>
  <c r="T111" i="1"/>
  <c r="S111" i="1"/>
  <c r="R111" i="1"/>
  <c r="R98" i="1"/>
  <c r="S98" i="1"/>
  <c r="T98" i="1"/>
  <c r="U98" i="1"/>
  <c r="V98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V97" i="1"/>
  <c r="U97" i="1"/>
  <c r="T97" i="1"/>
  <c r="S97" i="1"/>
  <c r="R97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R64" i="1"/>
  <c r="S64" i="1"/>
  <c r="T64" i="1"/>
  <c r="U64" i="1"/>
  <c r="R65" i="1"/>
  <c r="S65" i="1"/>
  <c r="T65" i="1"/>
  <c r="U65" i="1"/>
  <c r="V65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2" i="1"/>
  <c r="S92" i="1"/>
  <c r="T92" i="1"/>
  <c r="U92" i="1"/>
  <c r="V92" i="1"/>
  <c r="S93" i="1"/>
  <c r="U93" i="1"/>
  <c r="V93" i="1"/>
  <c r="V59" i="1"/>
  <c r="U59" i="1"/>
  <c r="T59" i="1"/>
  <c r="S59" i="1"/>
  <c r="R59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5" i="1"/>
  <c r="S55" i="1"/>
  <c r="T55" i="1"/>
  <c r="U55" i="1"/>
  <c r="V55" i="1"/>
  <c r="S56" i="1"/>
  <c r="U56" i="1"/>
  <c r="V56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4" i="1" l="1"/>
  <c r="V138" i="1"/>
  <c r="O185" i="1" l="1"/>
  <c r="O206" i="1"/>
  <c r="K206" i="1"/>
  <c r="H206" i="1"/>
  <c r="K191" i="1"/>
  <c r="H191" i="1"/>
  <c r="D191" i="1"/>
  <c r="H185" i="1"/>
  <c r="K185" i="1"/>
  <c r="H166" i="1"/>
  <c r="O166" i="1"/>
  <c r="K166" i="1"/>
  <c r="O160" i="1"/>
  <c r="K160" i="1"/>
  <c r="L155" i="1" s="1"/>
  <c r="H160" i="1"/>
  <c r="D160" i="1"/>
  <c r="O131" i="1"/>
  <c r="K131" i="1"/>
  <c r="L127" i="1" s="1"/>
  <c r="H131" i="1"/>
  <c r="T131" i="1" s="1"/>
  <c r="H123" i="1"/>
  <c r="O123" i="1"/>
  <c r="K123" i="1"/>
  <c r="L121" i="1" s="1"/>
  <c r="O93" i="1"/>
  <c r="K93" i="1"/>
  <c r="H93" i="1"/>
  <c r="D93" i="1"/>
  <c r="E91" i="1" s="1"/>
  <c r="O56" i="1"/>
  <c r="K56" i="1"/>
  <c r="H56" i="1"/>
  <c r="O22" i="1"/>
  <c r="H22" i="1"/>
  <c r="L77" i="1" l="1"/>
  <c r="L91" i="1"/>
  <c r="E54" i="1"/>
  <c r="L54" i="1"/>
  <c r="L175" i="1"/>
  <c r="L176" i="1"/>
  <c r="L177" i="1"/>
  <c r="L178" i="1"/>
  <c r="L179" i="1"/>
  <c r="L180" i="1"/>
  <c r="L181" i="1"/>
  <c r="L182" i="1"/>
  <c r="L183" i="1"/>
  <c r="L184" i="1"/>
  <c r="L115" i="1"/>
  <c r="L116" i="1"/>
  <c r="E74" i="1"/>
  <c r="E77" i="1"/>
  <c r="E154" i="1"/>
  <c r="E155" i="1"/>
  <c r="L84" i="1"/>
  <c r="L92" i="1"/>
  <c r="L74" i="1"/>
  <c r="L135" i="1"/>
  <c r="E135" i="1"/>
  <c r="L100" i="1"/>
  <c r="L113" i="1"/>
  <c r="L174" i="1"/>
  <c r="E80" i="1"/>
  <c r="L80" i="1"/>
  <c r="L52" i="1"/>
  <c r="L35" i="1"/>
  <c r="L204" i="1"/>
  <c r="L205" i="1"/>
  <c r="E48" i="1"/>
  <c r="L47" i="1"/>
  <c r="L49" i="1"/>
  <c r="L48" i="1"/>
  <c r="L50" i="1"/>
  <c r="L97" i="1"/>
  <c r="L111" i="1"/>
  <c r="L150" i="1"/>
  <c r="L156" i="1"/>
  <c r="L85" i="1"/>
  <c r="L62" i="1"/>
  <c r="L154" i="1"/>
  <c r="L99" i="1"/>
  <c r="L25" i="1"/>
  <c r="L38" i="1"/>
  <c r="T185" i="1"/>
  <c r="L89" i="1"/>
  <c r="L90" i="1"/>
  <c r="E82" i="1"/>
  <c r="E90" i="1"/>
  <c r="T206" i="1"/>
  <c r="L82" i="1"/>
  <c r="T56" i="1"/>
  <c r="T166" i="1"/>
  <c r="R166" i="1"/>
  <c r="T93" i="1"/>
  <c r="T160" i="1"/>
  <c r="T22" i="1"/>
  <c r="R131" i="1"/>
  <c r="R206" i="1"/>
  <c r="T123" i="1"/>
  <c r="O186" i="1"/>
  <c r="O207" i="1" s="1"/>
  <c r="R160" i="1"/>
  <c r="L149" i="1"/>
  <c r="R123" i="1"/>
  <c r="R93" i="1"/>
  <c r="L61" i="1"/>
  <c r="L63" i="1"/>
  <c r="L65" i="1"/>
  <c r="L67" i="1"/>
  <c r="L69" i="1"/>
  <c r="L71" i="1"/>
  <c r="L73" i="1"/>
  <c r="L76" i="1"/>
  <c r="L79" i="1"/>
  <c r="L83" i="1"/>
  <c r="L87" i="1"/>
  <c r="L60" i="1"/>
  <c r="L64" i="1"/>
  <c r="L66" i="1"/>
  <c r="L68" i="1"/>
  <c r="L70" i="1"/>
  <c r="L72" i="1"/>
  <c r="L75" i="1"/>
  <c r="L78" i="1"/>
  <c r="L81" i="1"/>
  <c r="L86" i="1"/>
  <c r="L88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5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5" i="1"/>
  <c r="H186" i="1"/>
  <c r="H207" i="1" s="1"/>
  <c r="J10" i="4"/>
  <c r="J12" i="4" s="1"/>
  <c r="I12" i="4"/>
  <c r="H12" i="4"/>
  <c r="G12" i="4"/>
  <c r="F12" i="4"/>
  <c r="E12" i="4"/>
  <c r="C12" i="4"/>
  <c r="E202" i="1"/>
  <c r="L203" i="1"/>
  <c r="L202" i="1"/>
  <c r="L200" i="1"/>
  <c r="L199" i="1"/>
  <c r="L198" i="1"/>
  <c r="L196" i="1"/>
  <c r="L195" i="1"/>
  <c r="L194" i="1"/>
  <c r="V191" i="1"/>
  <c r="U191" i="1"/>
  <c r="L189" i="1"/>
  <c r="E189" i="1"/>
  <c r="L171" i="1"/>
  <c r="L163" i="1"/>
  <c r="E165" i="1"/>
  <c r="E159" i="1"/>
  <c r="E156" i="1"/>
  <c r="L148" i="1"/>
  <c r="L146" i="1"/>
  <c r="L143" i="1"/>
  <c r="L140" i="1"/>
  <c r="L138" i="1"/>
  <c r="L134" i="1"/>
  <c r="L129" i="1"/>
  <c r="E130" i="1"/>
  <c r="L130" i="1"/>
  <c r="E89" i="1"/>
  <c r="E88" i="1"/>
  <c r="E86" i="1"/>
  <c r="E84" i="1"/>
  <c r="E81" i="1"/>
  <c r="E78" i="1"/>
  <c r="E75" i="1"/>
  <c r="E72" i="1"/>
  <c r="E70" i="1"/>
  <c r="E68" i="1"/>
  <c r="E66" i="1"/>
  <c r="E64" i="1"/>
  <c r="E62" i="1"/>
  <c r="E60" i="1"/>
  <c r="L51" i="1"/>
  <c r="R56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6" i="1"/>
  <c r="L136" i="1"/>
  <c r="L139" i="1"/>
  <c r="L142" i="1"/>
  <c r="L144" i="1"/>
  <c r="L147" i="1"/>
  <c r="L151" i="1"/>
  <c r="E18" i="1"/>
  <c r="L59" i="1"/>
  <c r="E63" i="1"/>
  <c r="E126" i="1"/>
  <c r="E134" i="1"/>
  <c r="E136" i="1"/>
  <c r="E137" i="1"/>
  <c r="E142" i="1"/>
  <c r="E143" i="1"/>
  <c r="E144" i="1"/>
  <c r="E145" i="1"/>
  <c r="E150" i="1"/>
  <c r="E153" i="1"/>
  <c r="E158" i="1"/>
  <c r="E11" i="1"/>
  <c r="E13" i="1"/>
  <c r="E16" i="1"/>
  <c r="E20" i="1"/>
  <c r="L29" i="1"/>
  <c r="L37" i="1"/>
  <c r="L43" i="1"/>
  <c r="K186" i="1"/>
  <c r="L128" i="1"/>
  <c r="E138" i="1"/>
  <c r="E139" i="1"/>
  <c r="E140" i="1"/>
  <c r="E141" i="1"/>
  <c r="E146" i="1"/>
  <c r="E147" i="1"/>
  <c r="E148" i="1"/>
  <c r="E149" i="1"/>
  <c r="E151" i="1"/>
  <c r="E152" i="1"/>
  <c r="E157" i="1"/>
  <c r="L170" i="1"/>
  <c r="L104" i="1"/>
  <c r="L103" i="1"/>
  <c r="L33" i="1"/>
  <c r="L44" i="1"/>
  <c r="L53" i="1"/>
  <c r="E129" i="1"/>
  <c r="L153" i="1"/>
  <c r="L158" i="1"/>
  <c r="L165" i="1"/>
  <c r="E197" i="1"/>
  <c r="E201" i="1"/>
  <c r="E205" i="1"/>
  <c r="D12" i="4"/>
  <c r="E98" i="1"/>
  <c r="L36" i="1"/>
  <c r="L39" i="1"/>
  <c r="L30" i="1"/>
  <c r="L41" i="1"/>
  <c r="L137" i="1"/>
  <c r="L141" i="1"/>
  <c r="L145" i="1"/>
  <c r="E164" i="1"/>
  <c r="E174" i="1"/>
  <c r="E190" i="1"/>
  <c r="L197" i="1"/>
  <c r="L201" i="1"/>
  <c r="L28" i="1"/>
  <c r="E7" i="1"/>
  <c r="E17" i="1"/>
  <c r="E21" i="1"/>
  <c r="L27" i="1"/>
  <c r="L46" i="1"/>
  <c r="E59" i="1"/>
  <c r="E67" i="1"/>
  <c r="E71" i="1"/>
  <c r="E76" i="1"/>
  <c r="E83" i="1"/>
  <c r="E87" i="1"/>
  <c r="E92" i="1"/>
  <c r="E128" i="1"/>
  <c r="L152" i="1"/>
  <c r="L157" i="1"/>
  <c r="L164" i="1"/>
  <c r="L190" i="1"/>
  <c r="R191" i="1"/>
  <c r="E196" i="1"/>
  <c r="E200" i="1"/>
  <c r="E204" i="1"/>
  <c r="E163" i="1"/>
  <c r="E171" i="1"/>
  <c r="E195" i="1"/>
  <c r="E199" i="1"/>
  <c r="E203" i="1"/>
  <c r="L45" i="1"/>
  <c r="L55" i="1"/>
  <c r="L26" i="1"/>
  <c r="L34" i="1"/>
  <c r="E170" i="1"/>
  <c r="E12" i="1"/>
  <c r="E15" i="1"/>
  <c r="L31" i="1"/>
  <c r="L42" i="1"/>
  <c r="E61" i="1"/>
  <c r="E65" i="1"/>
  <c r="E69" i="1"/>
  <c r="E73" i="1"/>
  <c r="E79" i="1"/>
  <c r="E85" i="1"/>
  <c r="L159" i="1"/>
  <c r="E194" i="1"/>
  <c r="E198" i="1"/>
  <c r="L114" i="1" l="1"/>
  <c r="L98" i="1"/>
  <c r="L101" i="1"/>
  <c r="L107" i="1"/>
  <c r="L118" i="1"/>
  <c r="L102" i="1"/>
  <c r="K207" i="1"/>
  <c r="L22" i="1"/>
  <c r="L160" i="1"/>
  <c r="L56" i="1"/>
  <c r="L131" i="1"/>
  <c r="L93" i="1"/>
  <c r="L123" i="1"/>
  <c r="L185" i="1"/>
  <c r="L166" i="1"/>
  <c r="L106" i="1"/>
  <c r="L105" i="1"/>
  <c r="L122" i="1"/>
  <c r="L117" i="1"/>
  <c r="L119" i="1"/>
  <c r="L108" i="1"/>
  <c r="L120" i="1"/>
  <c r="L112" i="1"/>
  <c r="E120" i="1"/>
  <c r="E117" i="1"/>
  <c r="E108" i="1"/>
  <c r="E105" i="1"/>
  <c r="E102" i="1"/>
  <c r="E107" i="1"/>
  <c r="E103" i="1"/>
  <c r="E113" i="1"/>
  <c r="E104" i="1"/>
  <c r="D186" i="1"/>
  <c r="E122" i="1"/>
  <c r="E97" i="1"/>
  <c r="E106" i="1"/>
  <c r="E101" i="1"/>
  <c r="E119" i="1"/>
  <c r="E118" i="1"/>
  <c r="E114" i="1"/>
  <c r="E111" i="1"/>
  <c r="E123" i="1" l="1"/>
  <c r="R186" i="1"/>
  <c r="E56" i="1"/>
  <c r="E160" i="1"/>
  <c r="D207" i="1"/>
  <c r="E93" i="1"/>
  <c r="E22" i="1"/>
  <c r="E185" i="1"/>
  <c r="E131" i="1"/>
  <c r="E166" i="1"/>
</calcChain>
</file>

<file path=xl/sharedStrings.xml><?xml version="1.0" encoding="utf-8"?>
<sst xmlns="http://schemas.openxmlformats.org/spreadsheetml/2006/main" count="428" uniqueCount="277">
  <si>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</si>
  <si>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</si>
  <si>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</si>
  <si>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</si>
  <si>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</si>
  <si>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</si>
  <si>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</si>
  <si>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</si>
  <si>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</si>
  <si>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</si>
  <si>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</si>
  <si>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</si>
  <si>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</si>
  <si>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</si>
  <si>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</si>
  <si>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</si>
  <si>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</si>
  <si>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</si>
  <si>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</si>
  <si>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</si>
  <si>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</si>
  <si>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</si>
  <si>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</si>
  <si>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</si>
  <si>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</si>
  <si>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</si>
  <si>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</si>
  <si>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</si>
  <si>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</si>
  <si>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</si>
  <si>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</si>
  <si>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</si>
  <si>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</si>
  <si>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</si>
  <si>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</si>
  <si>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</si>
  <si>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</si>
  <si>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</si>
  <si>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</si>
  <si>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</si>
  <si>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</si>
  <si>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</si>
  <si>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</si>
  <si>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</si>
  <si>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</si>
  <si>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</si>
  <si>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</si>
  <si>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</si>
  <si>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</si>
  <si>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</si>
  <si>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</si>
  <si>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</si>
  <si>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</si>
  <si>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</si>
  <si>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</si>
  <si>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</si>
  <si>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</si>
  <si>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</si>
  <si>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</si>
  <si>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</si>
  <si>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</si>
  <si>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</si>
  <si>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</si>
  <si>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</si>
  <si>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</si>
  <si>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</si>
  <si>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</si>
  <si>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</si>
  <si>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</si>
  <si>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</si>
  <si>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</si>
  <si>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</si>
  <si>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</si>
  <si>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</si>
  <si>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</si>
  <si>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</si>
  <si>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</si>
  <si>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</si>
  <si>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</si>
  <si>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</si>
  <si>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</si>
  <si>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</si>
  <si>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</si>
  <si>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</si>
  <si>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</si>
  <si>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</si>
  <si>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</si>
  <si>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</si>
  <si>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</si>
  <si>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</si>
  <si>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</si>
  <si>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</si>
  <si>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</si>
  <si>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</si>
  <si>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</si>
  <si>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</si>
  <si>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</si>
  <si>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</si>
  <si>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</si>
  <si>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</si>
  <si>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</si>
  <si>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</si>
  <si>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</si>
  <si>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</si>
  <si>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</si>
  <si>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</si>
  <si>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</si>
  <si>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</si>
  <si>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</si>
  <si>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</si>
  <si>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</si>
  <si>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</si>
  <si>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</si>
  <si>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</si>
  <si>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</si>
  <si>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</si>
  <si>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</si>
  <si>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</si>
  <si>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</si>
  <si>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</si>
  <si>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</si>
  <si>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</si>
  <si>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</si>
  <si>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</si>
  <si>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</si>
  <si>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</si>
  <si>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</si>
  <si>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</si>
  <si>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</si>
  <si>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</si>
  <si>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</si>
  <si>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</si>
  <si>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</si>
  <si>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</si>
  <si>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</si>
  <si>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</si>
  <si>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</si>
  <si>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</si>
  <si>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</si>
  <si>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</si>
  <si>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</si>
  <si>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</si>
  <si>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</si>
  <si>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</si>
  <si>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</si>
  <si>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</si>
  <si>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</si>
  <si>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</si>
  <si>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</si>
  <si>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</si>
  <si>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</si>
  <si>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</si>
  <si>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</si>
  <si>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</si>
  <si>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</si>
  <si>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</si>
  <si>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</si>
  <si>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</si>
  <si>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</si>
  <si>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</si>
  <si>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</si>
  <si>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</si>
  <si>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</si>
  <si>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</si>
  <si>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</si>
  <si>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</si>
  <si>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</si>
  <si>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</si>
  <si>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</si>
  <si>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</si>
  <si>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</si>
  <si>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</si>
  <si>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</si>
  <si>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</si>
  <si>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</si>
  <si>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</si>
  <si>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</si>
  <si>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</si>
  <si>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</si>
  <si>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</si>
  <si>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</si>
  <si>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</si>
  <si>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</si>
  <si>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</si>
  <si>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</si>
  <si>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</si>
  <si>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</si>
  <si>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</si>
  <si>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</si>
  <si>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</si>
  <si>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</si>
  <si>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</si>
  <si>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</si>
  <si>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</si>
  <si>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</si>
  <si>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</si>
  <si>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</si>
  <si>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</si>
  <si>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</si>
  <si>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</si>
  <si>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</si>
  <si>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</si>
  <si>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</si>
  <si>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</si>
  <si>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</si>
  <si>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</si>
  <si>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</si>
  <si>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</si>
  <si>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</si>
  <si>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</si>
  <si>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</si>
  <si>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</si>
  <si>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</si>
  <si>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</si>
  <si>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</si>
  <si>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</si>
  <si>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</si>
  <si>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</si>
  <si>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</si>
  <si>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</si>
  <si>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</si>
  <si>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</si>
  <si>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</si>
  <si>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</si>
  <si>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</si>
  <si>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</si>
  <si>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</si>
  <si>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</si>
  <si>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</si>
  <si>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</si>
  <si>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</si>
  <si>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</si>
  <si>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</si>
  <si>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</si>
  <si>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</si>
  <si>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</si>
  <si>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</si>
  <si>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</si>
  <si>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</si>
  <si>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</si>
  <si>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</si>
  <si>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</si>
  <si>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</si>
  <si>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</si>
  <si>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</si>
  <si>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</si>
  <si>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</si>
  <si>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</si>
  <si>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</si>
  <si>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</si>
  <si>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</si>
  <si>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</si>
  <si>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</si>
  <si>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</si>
  <si>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</si>
  <si>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</si>
  <si>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</si>
  <si>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</si>
  <si>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</si>
  <si>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</si>
  <si>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NAV, Unit Price and Yield as at Week Ended March 8, 2024</t>
  </si>
  <si>
    <t> 1.6019</t>
  </si>
  <si>
    <t> 0.0340</t>
  </si>
  <si>
    <t>                 587</t>
  </si>
  <si>
    <t>                 146</t>
  </si>
  <si>
    <t>Week Ended March 8, 2024</t>
  </si>
  <si>
    <t>WEEKLY VALUATION REPORT OF COLLECTIVE INVESTMENT SCHEMES AS AT WEEK ENDED FRIDAY, MARCH 15, 2024</t>
  </si>
  <si>
    <t>NAV, Unit Price and Yield as at Week Ended March 15, 2024</t>
  </si>
  <si>
    <t>Zedcrest Money Market Fund</t>
  </si>
  <si>
    <t>Zedcrest Investment Managers Limited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</si>
  <si>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15th March, 2024 = </t>
    </r>
    <r>
      <rPr>
        <strike/>
        <sz val="6"/>
        <color theme="0"/>
        <rFont val="Times New Roman"/>
        <family val="1"/>
      </rPr>
      <t>N1,573</t>
    </r>
    <r>
      <rPr>
        <sz val="6"/>
        <color theme="0"/>
        <rFont val="Times New Roman"/>
        <family val="1"/>
      </rPr>
      <t>.007</t>
    </r>
  </si>
  <si>
    <t>Zedcrest Fixed Income Fund</t>
  </si>
  <si>
    <t>Zedcrest Dollar Fund</t>
  </si>
  <si>
    <t>                 592</t>
  </si>
  <si>
    <t>                 145</t>
  </si>
  <si>
    <t>Week Ended March 15, 2024</t>
  </si>
  <si>
    <t>The chart above shows that the Dollar Fund category (Eurobonds and Fixed Income) has the highest share of the Aggregate Net Asset Value (NAV) at 44.83%, followed by Money Market Fund with 35.51%, Bond/Fixed Income Fund at 10.72%, Real Estate Investment Trust at 3.84%.  Next is Balanced Fund at 1.92%, Shari'ah Compliant Fund at 1.89%, 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</si>
</sst>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sz val="6"/>
      <color theme="0"/>
      <name val="Calibri"/>
      <family val="2"/>
      <scheme val="minor"/>
    </font>
    <font>
      <sz val="6"/>
      <color theme="0"/>
      <name val="Arial Narrow"/>
      <family val="2"/>
    </font>
    <font>
      <b/>
      <sz val="12"/>
      <color theme="0"/>
      <name val="Arial Narrow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63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5" fontId="6" fillId="5" borderId="5" xfId="2" applyNumberFormat="1" applyFont="1" applyFill="1" applyBorder="1" applyAlignment="1">
      <alignment horizontal="center"/>
    </xf>
    <xf numFmtId="164" fontId="50" fillId="0" borderId="0" xfId="1" applyFont="1"/>
    <xf numFmtId="164" fontId="18" fillId="0" borderId="0" xfId="1" applyFont="1"/>
    <xf numFmtId="4" fontId="6" fillId="0" borderId="5" xfId="0" applyNumberFormat="1" applyFont="1" applyBorder="1" applyAlignment="1">
      <alignment wrapText="1"/>
    </xf>
    <xf numFmtId="0" fontId="41" fillId="0" borderId="0" xfId="0" applyFont="1"/>
    <xf numFmtId="16" fontId="51" fillId="3" borderId="0" xfId="0" applyNumberFormat="1" applyFont="1" applyFill="1"/>
    <xf numFmtId="0" fontId="52" fillId="0" borderId="5" xfId="0" applyFont="1" applyBorder="1" applyAlignment="1">
      <alignment horizontal="right"/>
    </xf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4" fontId="31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 applyAlignment="1">
      <alignment horizontal="right"/>
    </xf>
    <xf numFmtId="164" fontId="31" fillId="3" borderId="5" xfId="1" applyFont="1" applyFill="1" applyBorder="1" applyAlignment="1">
      <alignment horizontal="right" vertical="top" wrapText="1"/>
    </xf>
    <xf numFmtId="16" fontId="30" fillId="3" borderId="0" xfId="0" applyNumberFormat="1" applyFont="1" applyFill="1"/>
    <xf numFmtId="0" fontId="52" fillId="0" borderId="0" xfId="0" applyFont="1" applyAlignment="1">
      <alignment horizontal="right"/>
    </xf>
    <xf numFmtId="4" fontId="31" fillId="3" borderId="0" xfId="0" applyNumberFormat="1" applyFont="1" applyFill="1" applyAlignment="1">
      <alignment horizontal="right"/>
    </xf>
    <xf numFmtId="16" fontId="30" fillId="3" borderId="5" xfId="0" applyNumberFormat="1" applyFont="1" applyFill="1" applyBorder="1"/>
    <xf numFmtId="4" fontId="31" fillId="3" borderId="10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wrapText="1"/>
    </xf>
    <xf numFmtId="4" fontId="4" fillId="3" borderId="5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8,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27.049856478820399</c:v>
                </c:pt>
                <c:pt idx="1">
                  <c:v>920.6255523859511</c:v>
                </c:pt>
                <c:pt idx="2">
                  <c:v>279.12552019889597</c:v>
                </c:pt>
                <c:pt idx="3">
                  <c:v>1459.7045010219099</c:v>
                </c:pt>
                <c:pt idx="4">
                  <c:v>99.778864135109998</c:v>
                </c:pt>
                <c:pt idx="5" formatCode="_-* #,##0.00_-;\-* #,##0.00_-;_-* &quot;-&quot;??_-;_-@_-">
                  <c:v>48.553395375676502</c:v>
                </c:pt>
                <c:pt idx="6">
                  <c:v>5.0903487341</c:v>
                </c:pt>
                <c:pt idx="7">
                  <c:v>49.747304277799103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28.2764217392</c:v>
                </c:pt>
                <c:pt idx="1">
                  <c:v>923.19056202435809</c:v>
                </c:pt>
                <c:pt idx="2">
                  <c:v>278.79517073232097</c:v>
                </c:pt>
                <c:pt idx="3">
                  <c:v>1165.5951309573099</c:v>
                </c:pt>
                <c:pt idx="4">
                  <c:v>99.792663694009406</c:v>
                </c:pt>
                <c:pt idx="5" formatCode="_-* #,##0.00_-;\-* #,##0.00_-;_-* &quot;-&quot;??_-;_-@_-">
                  <c:v>50.020197377870005</c:v>
                </c:pt>
                <c:pt idx="6">
                  <c:v>5.2005816977200006</c:v>
                </c:pt>
                <c:pt idx="7">
                  <c:v>49.2493842089645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15TH MARCH,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15-Mar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5200581697.7199993</c:v>
                </c:pt>
                <c:pt idx="1">
                  <c:v>28276421739.200005</c:v>
                </c:pt>
                <c:pt idx="2">
                  <c:v>49249384208.9645</c:v>
                </c:pt>
                <c:pt idx="3" formatCode="_-* #,##0.00_-;\-* #,##0.00_-;_-* &quot;-&quot;??_-;_-@_-">
                  <c:v>50020197377.86998</c:v>
                </c:pt>
                <c:pt idx="4">
                  <c:v>99792663694.00943</c:v>
                </c:pt>
                <c:pt idx="5">
                  <c:v>278795170732.32147</c:v>
                </c:pt>
                <c:pt idx="6">
                  <c:v>923190562024.35754</c:v>
                </c:pt>
                <c:pt idx="7">
                  <c:v>1165595130957.3054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45317</c:v>
                </c:pt>
                <c:pt idx="1">
                  <c:v>45324</c:v>
                </c:pt>
                <c:pt idx="2">
                  <c:v>45331</c:v>
                </c:pt>
                <c:pt idx="3">
                  <c:v>45338</c:v>
                </c:pt>
                <c:pt idx="4">
                  <c:v>45345</c:v>
                </c:pt>
                <c:pt idx="5">
                  <c:v>45352</c:v>
                </c:pt>
                <c:pt idx="6">
                  <c:v>45359</c:v>
                </c:pt>
                <c:pt idx="7">
                  <c:v>45366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2278.1721966806804</c:v>
                </c:pt>
                <c:pt idx="1">
                  <c:v>2700.5588140210298</c:v>
                </c:pt>
                <c:pt idx="2">
                  <c:v>2722.5323614454901</c:v>
                </c:pt>
                <c:pt idx="3">
                  <c:v>2804.0140317422201</c:v>
                </c:pt>
                <c:pt idx="4">
                  <c:v>2818.09860936104</c:v>
                </c:pt>
                <c:pt idx="5">
                  <c:v>2842.1269159614799</c:v>
                </c:pt>
                <c:pt idx="6">
                  <c:v>2889.6753426082701</c:v>
                </c:pt>
                <c:pt idx="7">
                  <c:v>2600.1201124317499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1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1.140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3" t="s">
        <v>266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6"/>
    </row>
    <row r="2" spans="1:25" ht="15" customHeight="1">
      <c r="A2" s="1"/>
      <c r="B2" s="1"/>
      <c r="C2" s="1"/>
      <c r="D2" s="159" t="s">
        <v>260</v>
      </c>
      <c r="E2" s="160"/>
      <c r="F2" s="160"/>
      <c r="G2" s="160"/>
      <c r="H2" s="160"/>
      <c r="I2" s="160"/>
      <c r="J2" s="161"/>
      <c r="K2" s="159" t="s">
        <v>267</v>
      </c>
      <c r="L2" s="160"/>
      <c r="M2" s="160"/>
      <c r="N2" s="160"/>
      <c r="O2" s="160"/>
      <c r="P2" s="160"/>
      <c r="Q2" s="161"/>
      <c r="R2" s="159" t="s">
        <v>0</v>
      </c>
      <c r="S2" s="160"/>
      <c r="T2" s="161"/>
      <c r="U2" s="157" t="s">
        <v>1</v>
      </c>
      <c r="V2" s="157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5" ht="15" customHeight="1">
      <c r="A5" s="150" t="s">
        <v>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5">
      <c r="A6" s="75">
        <v>1</v>
      </c>
      <c r="B6" s="125" t="s">
        <v>16</v>
      </c>
      <c r="C6" s="126" t="s">
        <v>17</v>
      </c>
      <c r="D6" s="2">
        <v>1192742925.48</v>
      </c>
      <c r="E6" s="3">
        <f t="shared" ref="E6:E21" si="0">(D6/$D$22)</f>
        <v>4.4094242289747392E-2</v>
      </c>
      <c r="F6" s="8">
        <v>337.86439999999999</v>
      </c>
      <c r="G6" s="8">
        <v>337.86439999999999</v>
      </c>
      <c r="H6" s="60">
        <v>1736</v>
      </c>
      <c r="I6" s="5">
        <v>-1.6000000000000001E-3</v>
      </c>
      <c r="J6" s="5">
        <v>9.0300000000000005E-2</v>
      </c>
      <c r="K6" s="2">
        <v>1266294971.53</v>
      </c>
      <c r="L6" s="3">
        <f>(K6/$K$22)</f>
        <v>4.4782716257712241E-2</v>
      </c>
      <c r="M6" s="8">
        <v>358.69</v>
      </c>
      <c r="N6" s="8">
        <v>358.69</v>
      </c>
      <c r="O6" s="60">
        <v>1736</v>
      </c>
      <c r="P6" s="5">
        <v>6.1600000000000002E-2</v>
      </c>
      <c r="Q6" s="5">
        <v>0.1575</v>
      </c>
      <c r="R6" s="80">
        <f>((K6-D6)/D6)</f>
        <v>6.1666302502192689E-2</v>
      </c>
      <c r="S6" s="80">
        <f>((N6-G6)/G6)</f>
        <v>6.1638929700791233E-2</v>
      </c>
      <c r="T6" s="80">
        <f>((O6-H6)/H6)</f>
        <v>0</v>
      </c>
      <c r="U6" s="81">
        <f>P6-I6</f>
        <v>6.3200000000000006E-2</v>
      </c>
      <c r="V6" s="83">
        <f>Q6-J6</f>
        <v>6.7199999999999996E-2</v>
      </c>
    </row>
    <row r="7" spans="1:25">
      <c r="A7" s="84">
        <v>2</v>
      </c>
      <c r="B7" s="147" t="s">
        <v>18</v>
      </c>
      <c r="C7" s="148" t="s">
        <v>19</v>
      </c>
      <c r="D7" s="4">
        <v>608396373.51999998</v>
      </c>
      <c r="E7" s="3">
        <f t="shared" si="0"/>
        <v>2.2491667340134115E-2</v>
      </c>
      <c r="F7" s="4">
        <v>222.8503</v>
      </c>
      <c r="G7" s="4">
        <v>225.29859999999999</v>
      </c>
      <c r="H7" s="60">
        <v>388</v>
      </c>
      <c r="I7" s="5" t="s">
        <v>261</v>
      </c>
      <c r="J7" s="5">
        <v>0.152</v>
      </c>
      <c r="K7" s="4">
        <v>629679409.42999995</v>
      </c>
      <c r="L7" s="3">
        <f t="shared" ref="L7:L21" si="1">(K7/$K$22)</f>
        <v>2.2268709076335019E-2</v>
      </c>
      <c r="M7" s="4">
        <v>230.25800000000001</v>
      </c>
      <c r="N7" s="4">
        <v>232.96250000000001</v>
      </c>
      <c r="O7" s="60">
        <v>388</v>
      </c>
      <c r="P7" s="5">
        <v>9.7289999999999998E-3</v>
      </c>
      <c r="Q7" s="5">
        <v>0.19020000000000001</v>
      </c>
      <c r="R7" s="80">
        <f t="shared" ref="R7:R22" si="2">((K7-D7)/D7)</f>
        <v>3.498218733103662E-2</v>
      </c>
      <c r="S7" s="80">
        <f t="shared" ref="S7:S22" si="3">((N7-G7)/G7)</f>
        <v>3.4016633924933454E-2</v>
      </c>
      <c r="T7" s="80">
        <f t="shared" ref="T7:T22" si="4">((O7-H7)/H7)</f>
        <v>0</v>
      </c>
      <c r="U7" s="81" t="e">
        <f t="shared" ref="U7:U22" si="5">P7-I7</f>
        <v>#VALUE!</v>
      </c>
      <c r="V7" s="83">
        <f t="shared" ref="V7:V22" si="6">Q7-J7</f>
        <v>3.8200000000000012E-2</v>
      </c>
    </row>
    <row r="8" spans="1:25">
      <c r="A8" s="75">
        <v>3</v>
      </c>
      <c r="B8" s="125" t="s">
        <v>20</v>
      </c>
      <c r="C8" s="126" t="s">
        <v>21</v>
      </c>
      <c r="D8" s="4">
        <v>3981508093.2600002</v>
      </c>
      <c r="E8" s="3">
        <f t="shared" si="0"/>
        <v>0.14719146833098565</v>
      </c>
      <c r="F8" s="4">
        <v>37.247900000000001</v>
      </c>
      <c r="G8" s="4">
        <v>38.371000000000002</v>
      </c>
      <c r="H8" s="62">
        <v>6389</v>
      </c>
      <c r="I8" s="6">
        <v>0.90969999999999995</v>
      </c>
      <c r="J8" s="6">
        <v>1.1801999999999999</v>
      </c>
      <c r="K8" s="4">
        <v>4069525721.9000001</v>
      </c>
      <c r="L8" s="3">
        <f t="shared" si="1"/>
        <v>0.14391940251260146</v>
      </c>
      <c r="M8" s="4">
        <v>38.0852</v>
      </c>
      <c r="N8" s="4">
        <v>39.233499999999999</v>
      </c>
      <c r="O8" s="62">
        <v>6392</v>
      </c>
      <c r="P8" s="6">
        <v>1.1753</v>
      </c>
      <c r="Q8" s="6">
        <v>1.2038</v>
      </c>
      <c r="R8" s="80">
        <f t="shared" si="2"/>
        <v>2.210660548172648E-2</v>
      </c>
      <c r="S8" s="80">
        <f t="shared" si="3"/>
        <v>2.2477913007218919E-2</v>
      </c>
      <c r="T8" s="80">
        <f t="shared" si="4"/>
        <v>4.6955705118171859E-4</v>
      </c>
      <c r="U8" s="81">
        <f t="shared" si="5"/>
        <v>0.26560000000000006</v>
      </c>
      <c r="V8" s="83">
        <f t="shared" si="6"/>
        <v>2.3600000000000065E-2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677050428.03999996</v>
      </c>
      <c r="E9" s="3">
        <f t="shared" si="0"/>
        <v>2.5029723487446948E-2</v>
      </c>
      <c r="F9" s="4">
        <v>231.09</v>
      </c>
      <c r="G9" s="4">
        <v>231.09</v>
      </c>
      <c r="H9" s="60">
        <v>1771</v>
      </c>
      <c r="I9" s="5">
        <v>9.7999999999999997E-3</v>
      </c>
      <c r="J9" s="5">
        <v>0.13420000000000001</v>
      </c>
      <c r="K9" s="4">
        <v>683086660.58000004</v>
      </c>
      <c r="L9" s="3">
        <f t="shared" si="1"/>
        <v>2.4157464720262936E-2</v>
      </c>
      <c r="M9" s="4">
        <v>236.26</v>
      </c>
      <c r="N9" s="4">
        <v>236.26</v>
      </c>
      <c r="O9" s="60">
        <v>1776</v>
      </c>
      <c r="P9" s="5">
        <v>2.24E-2</v>
      </c>
      <c r="Q9" s="5">
        <v>0.15959999999999999</v>
      </c>
      <c r="R9" s="80">
        <f t="shared" si="2"/>
        <v>8.9154844159458416E-3</v>
      </c>
      <c r="S9" s="80">
        <f t="shared" si="3"/>
        <v>2.2372235925396979E-2</v>
      </c>
      <c r="T9" s="80">
        <f t="shared" si="4"/>
        <v>2.82326369282891E-3</v>
      </c>
      <c r="U9" s="81">
        <f t="shared" si="5"/>
        <v>1.26E-2</v>
      </c>
      <c r="V9" s="83">
        <f t="shared" si="6"/>
        <v>2.5399999999999978E-2</v>
      </c>
    </row>
    <row r="10" spans="1:25">
      <c r="A10" s="84">
        <v>5</v>
      </c>
      <c r="B10" s="147" t="s">
        <v>24</v>
      </c>
      <c r="C10" s="148" t="s">
        <v>25</v>
      </c>
      <c r="D10" s="7">
        <v>88563009.159999996</v>
      </c>
      <c r="E10" s="3">
        <f t="shared" si="0"/>
        <v>3.2740657692340584E-3</v>
      </c>
      <c r="F10" s="4">
        <v>154.20070000000001</v>
      </c>
      <c r="G10" s="4">
        <v>154.6412</v>
      </c>
      <c r="H10" s="62">
        <v>87</v>
      </c>
      <c r="I10" s="6">
        <v>2.6510000000000001E-3</v>
      </c>
      <c r="J10" s="6">
        <v>0.32979999999999998</v>
      </c>
      <c r="K10" s="7">
        <v>89714669.670000002</v>
      </c>
      <c r="L10" s="3">
        <f t="shared" si="1"/>
        <v>3.1727730791915329E-3</v>
      </c>
      <c r="M10" s="4">
        <v>156.50360000000001</v>
      </c>
      <c r="N10" s="4">
        <v>156.96260000000001</v>
      </c>
      <c r="O10" s="62">
        <v>88</v>
      </c>
      <c r="P10" s="6">
        <v>4.5989999999999998E-3</v>
      </c>
      <c r="Q10" s="6">
        <v>0.34610000000000002</v>
      </c>
      <c r="R10" s="80">
        <f t="shared" si="2"/>
        <v>1.3003854780040148E-2</v>
      </c>
      <c r="S10" s="80">
        <f t="shared" si="3"/>
        <v>1.5011523449119712E-2</v>
      </c>
      <c r="T10" s="80">
        <f t="shared" si="4"/>
        <v>1.1494252873563218E-2</v>
      </c>
      <c r="U10" s="81">
        <f t="shared" si="5"/>
        <v>1.9479999999999996E-3</v>
      </c>
      <c r="V10" s="83">
        <f t="shared" si="6"/>
        <v>1.6300000000000037E-2</v>
      </c>
    </row>
    <row r="11" spans="1:25">
      <c r="A11" s="75">
        <v>6</v>
      </c>
      <c r="B11" s="125" t="s">
        <v>26</v>
      </c>
      <c r="C11" s="126" t="s">
        <v>27</v>
      </c>
      <c r="D11" s="4">
        <v>999845269.00999999</v>
      </c>
      <c r="E11" s="3">
        <f t="shared" si="0"/>
        <v>3.6963052642917445E-2</v>
      </c>
      <c r="F11" s="4">
        <v>256.35000000000002</v>
      </c>
      <c r="G11" s="4">
        <v>260.08999999999997</v>
      </c>
      <c r="H11" s="62">
        <v>1621</v>
      </c>
      <c r="I11" s="6">
        <v>-9.5999999999999992E-3</v>
      </c>
      <c r="J11" s="6">
        <v>3.09E-2</v>
      </c>
      <c r="K11" s="4">
        <v>1060474905.88</v>
      </c>
      <c r="L11" s="3">
        <f t="shared" si="1"/>
        <v>3.7503858007954687E-2</v>
      </c>
      <c r="M11" s="4">
        <v>275.22000000000003</v>
      </c>
      <c r="N11" s="4">
        <v>279.14999999999998</v>
      </c>
      <c r="O11" s="62">
        <v>1623</v>
      </c>
      <c r="P11" s="6">
        <v>7.3400000000000007E-2</v>
      </c>
      <c r="Q11" s="6">
        <v>0.1067</v>
      </c>
      <c r="R11" s="80">
        <f t="shared" si="2"/>
        <v>6.06390196055362E-2</v>
      </c>
      <c r="S11" s="80">
        <f t="shared" si="3"/>
        <v>7.3282325348917696E-2</v>
      </c>
      <c r="T11" s="80">
        <f t="shared" si="4"/>
        <v>1.2338062924120913E-3</v>
      </c>
      <c r="U11" s="81">
        <f t="shared" si="5"/>
        <v>8.3000000000000004E-2</v>
      </c>
      <c r="V11" s="83">
        <f t="shared" si="6"/>
        <v>7.5800000000000006E-2</v>
      </c>
    </row>
    <row r="12" spans="1:25">
      <c r="A12" s="75">
        <v>7</v>
      </c>
      <c r="B12" s="125" t="s">
        <v>28</v>
      </c>
      <c r="C12" s="126" t="s">
        <v>29</v>
      </c>
      <c r="D12" s="2">
        <v>318414006.45999998</v>
      </c>
      <c r="E12" s="3">
        <f t="shared" si="0"/>
        <v>1.1771375079542954E-2</v>
      </c>
      <c r="F12" s="4">
        <v>160.16999999999999</v>
      </c>
      <c r="G12" s="4">
        <v>162.78</v>
      </c>
      <c r="H12" s="60">
        <v>2379</v>
      </c>
      <c r="I12" s="5">
        <v>4.3889999999999997E-3</v>
      </c>
      <c r="J12" s="5">
        <v>-4.5414000000000003E-2</v>
      </c>
      <c r="K12" s="2">
        <v>334778644.81</v>
      </c>
      <c r="L12" s="3">
        <f t="shared" si="1"/>
        <v>1.1839498218612705E-2</v>
      </c>
      <c r="M12" s="4">
        <v>168.4</v>
      </c>
      <c r="N12" s="4">
        <v>171.77</v>
      </c>
      <c r="O12" s="60">
        <v>2379</v>
      </c>
      <c r="P12" s="5">
        <v>5.1380000000000002E-2</v>
      </c>
      <c r="Q12" s="5">
        <v>3.65E-3</v>
      </c>
      <c r="R12" s="80">
        <f t="shared" si="2"/>
        <v>5.1394216391218307E-2</v>
      </c>
      <c r="S12" s="80">
        <f t="shared" si="3"/>
        <v>5.522791497726999E-2</v>
      </c>
      <c r="T12" s="80">
        <f t="shared" si="4"/>
        <v>0</v>
      </c>
      <c r="U12" s="81">
        <f t="shared" si="5"/>
        <v>4.6991000000000005E-2</v>
      </c>
      <c r="V12" s="83">
        <f t="shared" si="6"/>
        <v>4.9064000000000003E-2</v>
      </c>
    </row>
    <row r="13" spans="1:25">
      <c r="A13" s="84">
        <v>8</v>
      </c>
      <c r="B13" s="147" t="s">
        <v>30</v>
      </c>
      <c r="C13" s="148" t="s">
        <v>31</v>
      </c>
      <c r="D13" s="7">
        <v>40753369.060000002</v>
      </c>
      <c r="E13" s="3">
        <f t="shared" si="0"/>
        <v>1.5066020439668223E-3</v>
      </c>
      <c r="F13" s="4">
        <v>147.4</v>
      </c>
      <c r="G13" s="4">
        <v>152.47999999999999</v>
      </c>
      <c r="H13" s="60">
        <v>7</v>
      </c>
      <c r="I13" s="5">
        <v>-0.2092</v>
      </c>
      <c r="J13" s="5">
        <v>-0.25769999999999998</v>
      </c>
      <c r="K13" s="7">
        <v>51826034.950000003</v>
      </c>
      <c r="L13" s="3">
        <f t="shared" si="1"/>
        <v>1.8328356900319121E-3</v>
      </c>
      <c r="M13" s="4">
        <v>187.44</v>
      </c>
      <c r="N13" s="4">
        <v>192.83</v>
      </c>
      <c r="O13" s="60">
        <v>7</v>
      </c>
      <c r="P13" s="5">
        <v>3.49E-2</v>
      </c>
      <c r="Q13" s="5">
        <v>0.26779999999999998</v>
      </c>
      <c r="R13" s="80">
        <f t="shared" si="2"/>
        <v>0.27169939922508091</v>
      </c>
      <c r="S13" s="80">
        <f t="shared" si="3"/>
        <v>0.26462486883525727</v>
      </c>
      <c r="T13" s="80">
        <f t="shared" si="4"/>
        <v>0</v>
      </c>
      <c r="U13" s="81">
        <f t="shared" si="5"/>
        <v>0.24409999999999998</v>
      </c>
      <c r="V13" s="83">
        <f t="shared" si="6"/>
        <v>0.52549999999999997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446479500.6304</v>
      </c>
      <c r="E14" s="3">
        <f t="shared" si="0"/>
        <v>1.6505799244442801E-2</v>
      </c>
      <c r="F14" s="4">
        <v>1.4272</v>
      </c>
      <c r="G14" s="4">
        <v>1.4743999999999999</v>
      </c>
      <c r="H14" s="60">
        <v>436</v>
      </c>
      <c r="I14" s="5">
        <v>-1.7147579367812082E-2</v>
      </c>
      <c r="J14" s="5">
        <v>-0.15784504632088281</v>
      </c>
      <c r="K14" s="2">
        <v>475767820.94999999</v>
      </c>
      <c r="L14" s="3">
        <f t="shared" si="1"/>
        <v>1.6825602098388435E-2</v>
      </c>
      <c r="M14" s="4">
        <v>1.5127999999999999</v>
      </c>
      <c r="N14" s="4">
        <v>1.5630999999999999</v>
      </c>
      <c r="O14" s="60">
        <v>438</v>
      </c>
      <c r="P14" s="5">
        <v>5.9977578475336246E-2</v>
      </c>
      <c r="Q14" s="5">
        <v>-0.10733463149820033</v>
      </c>
      <c r="R14" s="80">
        <f t="shared" si="2"/>
        <v>6.5598353963052691E-2</v>
      </c>
      <c r="S14" s="80">
        <f t="shared" si="3"/>
        <v>6.0160065111231689E-2</v>
      </c>
      <c r="T14" s="80">
        <f t="shared" si="4"/>
        <v>4.5871559633027525E-3</v>
      </c>
      <c r="U14" s="81">
        <f t="shared" si="5"/>
        <v>7.7125157843148329E-2</v>
      </c>
      <c r="V14" s="83">
        <f t="shared" si="6"/>
        <v>5.0510414822682481E-2</v>
      </c>
    </row>
    <row r="15" spans="1:25">
      <c r="A15" s="75">
        <v>10</v>
      </c>
      <c r="B15" s="125" t="s">
        <v>33</v>
      </c>
      <c r="C15" s="126" t="s">
        <v>34</v>
      </c>
      <c r="D15" s="2">
        <v>1549777338.77</v>
      </c>
      <c r="E15" s="3">
        <f t="shared" si="0"/>
        <v>5.7293366417062161E-2</v>
      </c>
      <c r="F15" s="4">
        <v>3.13</v>
      </c>
      <c r="G15" s="4">
        <v>3.18</v>
      </c>
      <c r="H15" s="60">
        <v>3670</v>
      </c>
      <c r="I15" s="5">
        <v>-1.18E-2</v>
      </c>
      <c r="J15" s="5">
        <v>0.1268</v>
      </c>
      <c r="K15" s="2">
        <v>1666861486.01</v>
      </c>
      <c r="L15" s="3">
        <f t="shared" si="1"/>
        <v>5.8948812596722813E-2</v>
      </c>
      <c r="M15" s="4">
        <v>3.36</v>
      </c>
      <c r="N15" s="4">
        <v>3.42</v>
      </c>
      <c r="O15" s="60">
        <v>3670</v>
      </c>
      <c r="P15" s="5">
        <v>6.5799999999999997E-2</v>
      </c>
      <c r="Q15" s="5">
        <v>0.2117</v>
      </c>
      <c r="R15" s="80">
        <f t="shared" si="2"/>
        <v>7.5549012307100386E-2</v>
      </c>
      <c r="S15" s="80">
        <f t="shared" si="3"/>
        <v>7.5471698113207475E-2</v>
      </c>
      <c r="T15" s="80">
        <f t="shared" si="4"/>
        <v>0</v>
      </c>
      <c r="U15" s="81">
        <f t="shared" si="5"/>
        <v>7.7600000000000002E-2</v>
      </c>
      <c r="V15" s="83">
        <f t="shared" si="6"/>
        <v>8.4900000000000003E-2</v>
      </c>
    </row>
    <row r="16" spans="1:25">
      <c r="A16" s="84">
        <v>11</v>
      </c>
      <c r="B16" s="147" t="s">
        <v>35</v>
      </c>
      <c r="C16" s="148" t="s">
        <v>36</v>
      </c>
      <c r="D16" s="4">
        <v>617149796.10000002</v>
      </c>
      <c r="E16" s="3">
        <f t="shared" si="0"/>
        <v>2.2815270631221955E-2</v>
      </c>
      <c r="F16" s="4">
        <v>18.793859000000001</v>
      </c>
      <c r="G16" s="4">
        <v>18.908609999999999</v>
      </c>
      <c r="H16" s="60">
        <v>325</v>
      </c>
      <c r="I16" s="5">
        <v>2.3648338590595452E-2</v>
      </c>
      <c r="J16" s="5">
        <v>2.3648338590595452E-2</v>
      </c>
      <c r="K16" s="4">
        <v>653769045.28999996</v>
      </c>
      <c r="L16" s="3">
        <f t="shared" si="1"/>
        <v>2.3120642750340318E-2</v>
      </c>
      <c r="M16" s="4">
        <v>19.938305</v>
      </c>
      <c r="N16" s="4">
        <v>20.038757</v>
      </c>
      <c r="O16" s="60">
        <v>319</v>
      </c>
      <c r="P16" s="5">
        <v>6.0894678415965409E-2</v>
      </c>
      <c r="Q16" s="5">
        <v>8.5983074980107155E-2</v>
      </c>
      <c r="R16" s="80">
        <f t="shared" si="2"/>
        <v>5.9336079216764953E-2</v>
      </c>
      <c r="S16" s="80">
        <f t="shared" si="3"/>
        <v>5.9768909507362036E-2</v>
      </c>
      <c r="T16" s="80">
        <f t="shared" si="4"/>
        <v>-1.8461538461538463E-2</v>
      </c>
      <c r="U16" s="81">
        <f t="shared" si="5"/>
        <v>3.7246339825369956E-2</v>
      </c>
      <c r="V16" s="83">
        <f t="shared" si="6"/>
        <v>6.2334736389511702E-2</v>
      </c>
    </row>
    <row r="17" spans="1:22">
      <c r="A17" s="75">
        <v>12</v>
      </c>
      <c r="B17" s="125" t="s">
        <v>37</v>
      </c>
      <c r="C17" s="126" t="s">
        <v>38</v>
      </c>
      <c r="D17" s="4">
        <v>335912046.07999998</v>
      </c>
      <c r="E17" s="3">
        <f t="shared" si="0"/>
        <v>1.2418256131710484E-2</v>
      </c>
      <c r="F17" s="4">
        <v>2.42</v>
      </c>
      <c r="G17" s="4">
        <v>2.4500000000000002</v>
      </c>
      <c r="H17" s="60">
        <v>20</v>
      </c>
      <c r="I17" s="5">
        <v>1.3599999999999999E-2</v>
      </c>
      <c r="J17" s="5">
        <v>0.1229</v>
      </c>
      <c r="K17" s="4">
        <v>361046195.64999998</v>
      </c>
      <c r="L17" s="3">
        <f t="shared" si="1"/>
        <v>1.2768454190562469E-2</v>
      </c>
      <c r="M17" s="4">
        <v>2.5956610000000002</v>
      </c>
      <c r="N17" s="4">
        <v>2.6250100000000001</v>
      </c>
      <c r="O17" s="60">
        <v>21</v>
      </c>
      <c r="P17" s="5">
        <v>6.6199999999999995E-2</v>
      </c>
      <c r="Q17" s="5">
        <v>0.20250000000000001</v>
      </c>
      <c r="R17" s="80">
        <f t="shared" si="2"/>
        <v>7.4823602973779949E-2</v>
      </c>
      <c r="S17" s="80">
        <f t="shared" si="3"/>
        <v>7.1432653061224441E-2</v>
      </c>
      <c r="T17" s="80">
        <f t="shared" si="4"/>
        <v>0.05</v>
      </c>
      <c r="U17" s="81">
        <f t="shared" si="5"/>
        <v>5.2599999999999994E-2</v>
      </c>
      <c r="V17" s="83">
        <f t="shared" si="6"/>
        <v>7.9600000000000018E-2</v>
      </c>
    </row>
    <row r="18" spans="1:22">
      <c r="A18" s="75">
        <v>13</v>
      </c>
      <c r="B18" s="125" t="s">
        <v>39</v>
      </c>
      <c r="C18" s="126" t="s">
        <v>40</v>
      </c>
      <c r="D18" s="2">
        <v>1109328002.77</v>
      </c>
      <c r="E18" s="3">
        <f t="shared" si="0"/>
        <v>4.1010494959135398E-2</v>
      </c>
      <c r="F18" s="4">
        <v>24.72</v>
      </c>
      <c r="G18" s="4">
        <v>25.29</v>
      </c>
      <c r="H18" s="60">
        <v>8834</v>
      </c>
      <c r="I18" s="5">
        <v>-1.5100000000000001E-2</v>
      </c>
      <c r="J18" s="5">
        <v>-1.6500000000000001E-2</v>
      </c>
      <c r="K18" s="2">
        <v>1194254551.0799999</v>
      </c>
      <c r="L18" s="3">
        <f t="shared" si="1"/>
        <v>4.223499571816005E-2</v>
      </c>
      <c r="M18" s="4">
        <v>26.6</v>
      </c>
      <c r="N18" s="4">
        <v>27.21</v>
      </c>
      <c r="O18" s="60">
        <v>8832</v>
      </c>
      <c r="P18" s="5">
        <v>7.6600000000000001E-2</v>
      </c>
      <c r="Q18" s="5">
        <v>5.8299999999999998E-2</v>
      </c>
      <c r="R18" s="80">
        <f t="shared" si="2"/>
        <v>7.6556751563052361E-2</v>
      </c>
      <c r="S18" s="80">
        <f t="shared" si="3"/>
        <v>7.5919335705812649E-2</v>
      </c>
      <c r="T18" s="80">
        <f t="shared" si="4"/>
        <v>-2.2639800769753225E-4</v>
      </c>
      <c r="U18" s="81">
        <f t="shared" si="5"/>
        <v>9.1700000000000004E-2</v>
      </c>
      <c r="V18" s="83">
        <f t="shared" si="6"/>
        <v>7.4800000000000005E-2</v>
      </c>
    </row>
    <row r="19" spans="1:22" ht="12.75" customHeight="1">
      <c r="A19" s="84">
        <v>14</v>
      </c>
      <c r="B19" s="147" t="s">
        <v>41</v>
      </c>
      <c r="C19" s="148" t="s">
        <v>42</v>
      </c>
      <c r="D19" s="2">
        <v>567153417.09000003</v>
      </c>
      <c r="E19" s="3">
        <f t="shared" si="0"/>
        <v>2.0966965851891745E-2</v>
      </c>
      <c r="F19" s="4">
        <v>5618.34</v>
      </c>
      <c r="G19" s="4">
        <v>5688.93</v>
      </c>
      <c r="H19" s="60">
        <v>22</v>
      </c>
      <c r="I19" s="5">
        <v>-1.6500000000000001E-2</v>
      </c>
      <c r="J19" s="5">
        <v>4.4299999999999999E-2</v>
      </c>
      <c r="K19" s="2">
        <v>620287237.25999999</v>
      </c>
      <c r="L19" s="3">
        <f t="shared" si="1"/>
        <v>2.1936553464262664E-2</v>
      </c>
      <c r="M19" s="4">
        <v>5943.47</v>
      </c>
      <c r="N19" s="4">
        <v>6017.21</v>
      </c>
      <c r="O19" s="60">
        <v>23</v>
      </c>
      <c r="P19" s="5">
        <v>4.3400000000000001E-2</v>
      </c>
      <c r="Q19" s="5">
        <v>8.9599999999999999E-2</v>
      </c>
      <c r="R19" s="80">
        <f t="shared" si="2"/>
        <v>9.3685092197140538E-2</v>
      </c>
      <c r="S19" s="80">
        <f t="shared" si="3"/>
        <v>5.7705051740836982E-2</v>
      </c>
      <c r="T19" s="80">
        <f t="shared" si="4"/>
        <v>4.5454545454545456E-2</v>
      </c>
      <c r="U19" s="81">
        <f t="shared" si="5"/>
        <v>5.9900000000000002E-2</v>
      </c>
      <c r="V19" s="83">
        <f t="shared" si="6"/>
        <v>4.53E-2</v>
      </c>
    </row>
    <row r="20" spans="1:22">
      <c r="A20" s="84">
        <v>15</v>
      </c>
      <c r="B20" s="147" t="s">
        <v>43</v>
      </c>
      <c r="C20" s="148" t="s">
        <v>42</v>
      </c>
      <c r="D20" s="4">
        <v>11322875915.91</v>
      </c>
      <c r="E20" s="3">
        <f t="shared" si="0"/>
        <v>0.41859282783166069</v>
      </c>
      <c r="F20" s="4">
        <v>18818.939999999999</v>
      </c>
      <c r="G20" s="4">
        <v>19030.04</v>
      </c>
      <c r="H20" s="60">
        <v>17367</v>
      </c>
      <c r="I20" s="5">
        <v>-1.04E-2</v>
      </c>
      <c r="J20" s="5">
        <v>3.6299999999999999E-2</v>
      </c>
      <c r="K20" s="4">
        <v>11820926695.200001</v>
      </c>
      <c r="L20" s="3">
        <f t="shared" si="1"/>
        <v>0.41804888907893473</v>
      </c>
      <c r="M20" s="4">
        <v>19670.47</v>
      </c>
      <c r="N20" s="4">
        <v>19898.71</v>
      </c>
      <c r="O20" s="60">
        <v>17376</v>
      </c>
      <c r="P20" s="5">
        <v>3.5200000000000002E-2</v>
      </c>
      <c r="Q20" s="5">
        <v>7.2800000000000004E-2</v>
      </c>
      <c r="R20" s="80">
        <f t="shared" si="2"/>
        <v>4.3986243688335383E-2</v>
      </c>
      <c r="S20" s="80">
        <f t="shared" si="3"/>
        <v>4.5647302895842477E-2</v>
      </c>
      <c r="T20" s="80">
        <f t="shared" si="4"/>
        <v>5.1822421834513729E-4</v>
      </c>
      <c r="U20" s="81">
        <f t="shared" si="5"/>
        <v>4.5600000000000002E-2</v>
      </c>
      <c r="V20" s="83">
        <f t="shared" si="6"/>
        <v>3.6500000000000005E-2</v>
      </c>
    </row>
    <row r="21" spans="1:22">
      <c r="A21" s="75">
        <v>16</v>
      </c>
      <c r="B21" s="126" t="s">
        <v>44</v>
      </c>
      <c r="C21" s="126" t="s">
        <v>45</v>
      </c>
      <c r="D21" s="4">
        <v>3193906987.48</v>
      </c>
      <c r="E21" s="3">
        <f t="shared" si="0"/>
        <v>0.11807482194889934</v>
      </c>
      <c r="F21" s="4">
        <v>1.5356000000000001</v>
      </c>
      <c r="G21" s="8">
        <v>1.5519000000000001</v>
      </c>
      <c r="H21" s="60">
        <v>3705</v>
      </c>
      <c r="I21" s="5">
        <v>-4.1000000000000003E-3</v>
      </c>
      <c r="J21" s="5">
        <v>0.13</v>
      </c>
      <c r="K21" s="4">
        <v>3298127689.0100002</v>
      </c>
      <c r="L21" s="3">
        <f t="shared" si="1"/>
        <v>0.1166387925399259</v>
      </c>
      <c r="M21" s="4">
        <v>1.5959000000000001</v>
      </c>
      <c r="N21" s="8">
        <v>1.6131</v>
      </c>
      <c r="O21" s="60">
        <v>3715</v>
      </c>
      <c r="P21" s="5">
        <v>3.9300000000000002E-2</v>
      </c>
      <c r="Q21" s="5">
        <v>0.17430000000000001</v>
      </c>
      <c r="R21" s="80">
        <f t="shared" si="2"/>
        <v>3.2631101011564079E-2</v>
      </c>
      <c r="S21" s="80">
        <f t="shared" si="3"/>
        <v>3.9435530639860765E-2</v>
      </c>
      <c r="T21" s="80">
        <f t="shared" si="4"/>
        <v>2.6990553306342779E-3</v>
      </c>
      <c r="U21" s="81">
        <f t="shared" si="5"/>
        <v>4.3400000000000001E-2</v>
      </c>
      <c r="V21" s="83">
        <f t="shared" si="6"/>
        <v>4.4300000000000006E-2</v>
      </c>
    </row>
    <row r="22" spans="1:22">
      <c r="A22" s="75"/>
      <c r="B22" s="19"/>
      <c r="C22" s="71" t="s">
        <v>46</v>
      </c>
      <c r="D22" s="58">
        <f>SUM(D6:D21)</f>
        <v>27049856478.8204</v>
      </c>
      <c r="E22" s="100">
        <f>(D22/$D$186)</f>
        <v>9.3608635129248715E-3</v>
      </c>
      <c r="F22" s="30"/>
      <c r="G22" s="31"/>
      <c r="H22" s="65">
        <f>SUM(H6:H21)</f>
        <v>48757</v>
      </c>
      <c r="I22" s="28"/>
      <c r="J22" s="60">
        <v>0</v>
      </c>
      <c r="K22" s="58">
        <f>SUM(K6:K21)</f>
        <v>28276421739.200005</v>
      </c>
      <c r="L22" s="100">
        <f>(K22/$K$186)</f>
        <v>1.0875044427372485E-2</v>
      </c>
      <c r="M22" s="30"/>
      <c r="N22" s="31"/>
      <c r="O22" s="65">
        <f>SUM(O6:O21)</f>
        <v>48783</v>
      </c>
      <c r="P22" s="28"/>
      <c r="Q22" s="65"/>
      <c r="R22" s="80">
        <f t="shared" si="2"/>
        <v>4.5344612506169307E-2</v>
      </c>
      <c r="S22" s="80" t="e">
        <f t="shared" si="3"/>
        <v>#DIV/0!</v>
      </c>
      <c r="T22" s="80">
        <f t="shared" si="4"/>
        <v>5.3325676313144776E-4</v>
      </c>
      <c r="U22" s="81">
        <f t="shared" si="5"/>
        <v>0</v>
      </c>
      <c r="V22" s="83">
        <f t="shared" si="6"/>
        <v>0</v>
      </c>
    </row>
    <row r="23" spans="1:22" ht="9" customHeight="1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ht="15" customHeight="1">
      <c r="A24" s="150" t="s">
        <v>47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1:22">
      <c r="A25" s="75">
        <v>17</v>
      </c>
      <c r="B25" s="125" t="s">
        <v>48</v>
      </c>
      <c r="C25" s="126" t="s">
        <v>17</v>
      </c>
      <c r="D25" s="9">
        <v>880158930.19000006</v>
      </c>
      <c r="E25" s="3">
        <f>(D25/$K$56)</f>
        <v>9.5338813717939404E-4</v>
      </c>
      <c r="F25" s="8">
        <v>100</v>
      </c>
      <c r="G25" s="8">
        <v>100</v>
      </c>
      <c r="H25" s="60">
        <v>761</v>
      </c>
      <c r="I25" s="5">
        <v>0.11899999999999999</v>
      </c>
      <c r="J25" s="5">
        <v>0.11899999999999999</v>
      </c>
      <c r="K25" s="9">
        <v>864551870.42999995</v>
      </c>
      <c r="L25" s="3">
        <f t="shared" ref="L25:L55" si="7">(K25/$K$56)</f>
        <v>9.3648257033111814E-4</v>
      </c>
      <c r="M25" s="8">
        <v>100</v>
      </c>
      <c r="N25" s="8">
        <v>100</v>
      </c>
      <c r="O25" s="60">
        <v>761</v>
      </c>
      <c r="P25" s="5">
        <v>0.12740000000000001</v>
      </c>
      <c r="Q25" s="5">
        <v>0.12740000000000001</v>
      </c>
      <c r="R25" s="80">
        <f>((K25-D25)/D25)</f>
        <v>-1.7732092721744027E-2</v>
      </c>
      <c r="S25" s="80">
        <f>((N25-G25)/G25)</f>
        <v>0</v>
      </c>
      <c r="T25" s="80">
        <f>((O25-H25)/H25)</f>
        <v>0</v>
      </c>
      <c r="U25" s="81">
        <f>P25-I25</f>
        <v>8.4000000000000186E-3</v>
      </c>
      <c r="V25" s="83">
        <f>Q25-J25</f>
        <v>8.4000000000000186E-3</v>
      </c>
    </row>
    <row r="26" spans="1:22">
      <c r="A26" s="75">
        <v>18</v>
      </c>
      <c r="B26" s="125" t="s">
        <v>49</v>
      </c>
      <c r="C26" s="126" t="s">
        <v>50</v>
      </c>
      <c r="D26" s="9">
        <v>5177872921.1000004</v>
      </c>
      <c r="E26" s="3">
        <f t="shared" ref="E26:E55" si="8">(D26/$K$56)</f>
        <v>5.608671853995174E-3</v>
      </c>
      <c r="F26" s="8">
        <v>100</v>
      </c>
      <c r="G26" s="8">
        <v>100</v>
      </c>
      <c r="H26" s="60">
        <v>1252</v>
      </c>
      <c r="I26" s="5">
        <v>0.14021</v>
      </c>
      <c r="J26" s="5">
        <v>0.14021</v>
      </c>
      <c r="K26" s="9">
        <v>5217480501.6000004</v>
      </c>
      <c r="L26" s="3">
        <f t="shared" si="7"/>
        <v>5.6515747844726582E-3</v>
      </c>
      <c r="M26" s="8">
        <v>100</v>
      </c>
      <c r="N26" s="8">
        <v>100</v>
      </c>
      <c r="O26" s="60">
        <v>1351</v>
      </c>
      <c r="P26" s="5">
        <v>8.1220000000000007E-3</v>
      </c>
      <c r="Q26" s="5">
        <v>2.2225999999999999E-2</v>
      </c>
      <c r="R26" s="80">
        <f t="shared" ref="R26:R56" si="9">((K26-D26)/D26)</f>
        <v>7.6493921545655987E-3</v>
      </c>
      <c r="S26" s="80">
        <f t="shared" ref="S26:S56" si="10">((N26-G26)/G26)</f>
        <v>0</v>
      </c>
      <c r="T26" s="80">
        <f t="shared" ref="T26:T56" si="11">((O26-H26)/H26)</f>
        <v>7.9073482428115016E-2</v>
      </c>
      <c r="U26" s="81">
        <f t="shared" ref="U26:U56" si="12">P26-I26</f>
        <v>-0.13208800000000001</v>
      </c>
      <c r="V26" s="83">
        <f t="shared" ref="V26:V56" si="13">Q26-J26</f>
        <v>-0.11798400000000001</v>
      </c>
    </row>
    <row r="27" spans="1:22">
      <c r="A27" s="84">
        <v>19</v>
      </c>
      <c r="B27" s="147" t="s">
        <v>51</v>
      </c>
      <c r="C27" s="148" t="s">
        <v>19</v>
      </c>
      <c r="D27" s="9">
        <v>305569423.42000002</v>
      </c>
      <c r="E27" s="3">
        <f t="shared" si="8"/>
        <v>3.3099279389290146E-4</v>
      </c>
      <c r="F27" s="8">
        <v>100</v>
      </c>
      <c r="G27" s="8">
        <v>100</v>
      </c>
      <c r="H27" s="60">
        <v>1375</v>
      </c>
      <c r="I27" s="5">
        <v>0.13170000000000001</v>
      </c>
      <c r="J27" s="5">
        <v>0.13170000000000001</v>
      </c>
      <c r="K27" s="9">
        <v>322273773.69999999</v>
      </c>
      <c r="L27" s="3">
        <f t="shared" si="7"/>
        <v>3.4908694581249096E-4</v>
      </c>
      <c r="M27" s="8">
        <v>100</v>
      </c>
      <c r="N27" s="8">
        <v>100</v>
      </c>
      <c r="O27" s="60">
        <v>1386</v>
      </c>
      <c r="P27" s="5">
        <v>0.1308</v>
      </c>
      <c r="Q27" s="5">
        <v>0.1308</v>
      </c>
      <c r="R27" s="80">
        <f t="shared" si="9"/>
        <v>5.4666301664090665E-2</v>
      </c>
      <c r="S27" s="80">
        <f t="shared" si="10"/>
        <v>0</v>
      </c>
      <c r="T27" s="80">
        <f t="shared" si="11"/>
        <v>8.0000000000000002E-3</v>
      </c>
      <c r="U27" s="81">
        <f t="shared" si="12"/>
        <v>-9.000000000000119E-4</v>
      </c>
      <c r="V27" s="83">
        <f t="shared" si="13"/>
        <v>-9.000000000000119E-4</v>
      </c>
    </row>
    <row r="28" spans="1:22">
      <c r="A28" s="75">
        <v>20</v>
      </c>
      <c r="B28" s="125" t="s">
        <v>52</v>
      </c>
      <c r="C28" s="126" t="s">
        <v>21</v>
      </c>
      <c r="D28" s="9">
        <v>84515668332.110001</v>
      </c>
      <c r="E28" s="3">
        <f t="shared" si="8"/>
        <v>9.1547370400738709E-2</v>
      </c>
      <c r="F28" s="8">
        <v>1</v>
      </c>
      <c r="G28" s="8">
        <v>1</v>
      </c>
      <c r="H28" s="60">
        <v>56399</v>
      </c>
      <c r="I28" s="5">
        <v>0.1249</v>
      </c>
      <c r="J28" s="5">
        <v>0.1249</v>
      </c>
      <c r="K28" s="9">
        <v>83727212746.600006</v>
      </c>
      <c r="L28" s="3">
        <f t="shared" si="7"/>
        <v>9.0693315324849408E-2</v>
      </c>
      <c r="M28" s="8">
        <v>1</v>
      </c>
      <c r="N28" s="8">
        <v>1</v>
      </c>
      <c r="O28" s="60">
        <v>56502</v>
      </c>
      <c r="P28" s="5">
        <v>0.14050000000000001</v>
      </c>
      <c r="Q28" s="5">
        <v>0.14050000000000001</v>
      </c>
      <c r="R28" s="80">
        <f t="shared" si="9"/>
        <v>-9.3291054909689086E-3</v>
      </c>
      <c r="S28" s="80">
        <f t="shared" si="10"/>
        <v>0</v>
      </c>
      <c r="T28" s="80">
        <f t="shared" si="11"/>
        <v>1.8262735154878633E-3</v>
      </c>
      <c r="U28" s="81">
        <f t="shared" si="12"/>
        <v>1.5600000000000017E-2</v>
      </c>
      <c r="V28" s="83">
        <f t="shared" si="13"/>
        <v>1.5600000000000017E-2</v>
      </c>
    </row>
    <row r="29" spans="1:22">
      <c r="A29" s="75">
        <v>21</v>
      </c>
      <c r="B29" s="125" t="s">
        <v>53</v>
      </c>
      <c r="C29" s="126" t="s">
        <v>23</v>
      </c>
      <c r="D29" s="9">
        <v>49042367242.660004</v>
      </c>
      <c r="E29" s="3">
        <f t="shared" si="8"/>
        <v>5.3122691305596409E-2</v>
      </c>
      <c r="F29" s="8">
        <v>1</v>
      </c>
      <c r="G29" s="8">
        <v>1</v>
      </c>
      <c r="H29" s="60">
        <v>26870</v>
      </c>
      <c r="I29" s="5">
        <v>0.1338</v>
      </c>
      <c r="J29" s="5">
        <v>0.1338</v>
      </c>
      <c r="K29" s="9">
        <v>49309395194.919998</v>
      </c>
      <c r="L29" s="3">
        <f t="shared" si="7"/>
        <v>5.3411935978629525E-2</v>
      </c>
      <c r="M29" s="8">
        <v>1</v>
      </c>
      <c r="N29" s="8">
        <v>1</v>
      </c>
      <c r="O29" s="60">
        <v>26908</v>
      </c>
      <c r="P29" s="5">
        <v>0.1338</v>
      </c>
      <c r="Q29" s="5">
        <v>0.1338</v>
      </c>
      <c r="R29" s="80">
        <f t="shared" si="9"/>
        <v>5.4448422307746495E-3</v>
      </c>
      <c r="S29" s="80">
        <f t="shared" si="10"/>
        <v>0</v>
      </c>
      <c r="T29" s="80">
        <f t="shared" si="11"/>
        <v>1.4142165984369186E-3</v>
      </c>
      <c r="U29" s="81">
        <f t="shared" si="12"/>
        <v>0</v>
      </c>
      <c r="V29" s="83">
        <f t="shared" si="13"/>
        <v>0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8796084535.4400005</v>
      </c>
      <c r="E30" s="3">
        <f t="shared" si="8"/>
        <v>9.5279186088645523E-3</v>
      </c>
      <c r="F30" s="8">
        <v>100</v>
      </c>
      <c r="G30" s="8">
        <v>100</v>
      </c>
      <c r="H30" s="60">
        <v>2892</v>
      </c>
      <c r="I30" s="5">
        <v>0.14299999999999999</v>
      </c>
      <c r="J30" s="5">
        <v>0.14299999999999999</v>
      </c>
      <c r="K30" s="9">
        <v>8836799233</v>
      </c>
      <c r="L30" s="3">
        <f t="shared" si="7"/>
        <v>9.5720207685212975E-3</v>
      </c>
      <c r="M30" s="8">
        <v>100</v>
      </c>
      <c r="N30" s="8">
        <v>100</v>
      </c>
      <c r="O30" s="60">
        <v>2886</v>
      </c>
      <c r="P30" s="5">
        <v>0.155</v>
      </c>
      <c r="Q30" s="5">
        <v>0.155</v>
      </c>
      <c r="R30" s="80">
        <f t="shared" si="9"/>
        <v>4.6287296803432573E-3</v>
      </c>
      <c r="S30" s="80">
        <f t="shared" si="10"/>
        <v>0</v>
      </c>
      <c r="T30" s="80">
        <f t="shared" si="11"/>
        <v>-2.0746887966804979E-3</v>
      </c>
      <c r="U30" s="81">
        <f t="shared" si="12"/>
        <v>1.2000000000000011E-2</v>
      </c>
      <c r="V30" s="83">
        <f t="shared" si="13"/>
        <v>1.2000000000000011E-2</v>
      </c>
    </row>
    <row r="31" spans="1:22">
      <c r="A31" s="75">
        <v>23</v>
      </c>
      <c r="B31" s="125" t="s">
        <v>55</v>
      </c>
      <c r="C31" s="126" t="s">
        <v>56</v>
      </c>
      <c r="D31" s="9">
        <v>14649981142.35</v>
      </c>
      <c r="E31" s="3">
        <f t="shared" si="8"/>
        <v>1.5868859307038144E-2</v>
      </c>
      <c r="F31" s="8">
        <v>100</v>
      </c>
      <c r="G31" s="8">
        <v>100</v>
      </c>
      <c r="H31" s="60">
        <v>2033</v>
      </c>
      <c r="I31" s="5">
        <v>0.13775058625730499</v>
      </c>
      <c r="J31" s="5">
        <v>0.13775058625730499</v>
      </c>
      <c r="K31" s="9">
        <v>14739054042.24</v>
      </c>
      <c r="L31" s="3">
        <f t="shared" si="7"/>
        <v>1.5965343070579532E-2</v>
      </c>
      <c r="M31" s="8">
        <v>100</v>
      </c>
      <c r="N31" s="8">
        <v>100</v>
      </c>
      <c r="O31" s="60">
        <v>2047</v>
      </c>
      <c r="P31" s="5">
        <v>0.159954275681645</v>
      </c>
      <c r="Q31" s="5">
        <v>0.159954275681645</v>
      </c>
      <c r="R31" s="80">
        <f t="shared" si="9"/>
        <v>6.0800692522742202E-3</v>
      </c>
      <c r="S31" s="80">
        <f t="shared" si="10"/>
        <v>0</v>
      </c>
      <c r="T31" s="80">
        <f t="shared" si="11"/>
        <v>6.8863748155435318E-3</v>
      </c>
      <c r="U31" s="81">
        <f t="shared" si="12"/>
        <v>2.2203689424340006E-2</v>
      </c>
      <c r="V31" s="83">
        <f t="shared" si="13"/>
        <v>2.2203689424340006E-2</v>
      </c>
    </row>
    <row r="32" spans="1:22">
      <c r="A32" s="75">
        <v>24</v>
      </c>
      <c r="B32" s="125" t="s">
        <v>57</v>
      </c>
      <c r="C32" s="126" t="s">
        <v>58</v>
      </c>
      <c r="D32" s="9">
        <v>5635614975.7700005</v>
      </c>
      <c r="E32" s="3">
        <f t="shared" si="8"/>
        <v>6.1044980392913825E-3</v>
      </c>
      <c r="F32" s="8">
        <v>100</v>
      </c>
      <c r="G32" s="8">
        <v>100</v>
      </c>
      <c r="H32" s="60">
        <v>5827</v>
      </c>
      <c r="I32" s="5">
        <v>0.1333</v>
      </c>
      <c r="J32" s="5">
        <v>0.1333</v>
      </c>
      <c r="K32" s="9">
        <v>5616991378.1499996</v>
      </c>
      <c r="L32" s="3">
        <f t="shared" si="7"/>
        <v>6.0843249586879991E-3</v>
      </c>
      <c r="M32" s="8">
        <v>100</v>
      </c>
      <c r="N32" s="8">
        <v>100</v>
      </c>
      <c r="O32" s="60">
        <v>5839</v>
      </c>
      <c r="P32" s="5">
        <v>0.13950000000000001</v>
      </c>
      <c r="Q32" s="5">
        <v>0.13950000000000001</v>
      </c>
      <c r="R32" s="80">
        <f t="shared" si="9"/>
        <v>-3.304625617625036E-3</v>
      </c>
      <c r="S32" s="80">
        <f t="shared" si="10"/>
        <v>0</v>
      </c>
      <c r="T32" s="80">
        <f t="shared" si="11"/>
        <v>2.0593787540758536E-3</v>
      </c>
      <c r="U32" s="81">
        <f t="shared" si="12"/>
        <v>6.2000000000000111E-3</v>
      </c>
      <c r="V32" s="83">
        <f t="shared" si="13"/>
        <v>6.2000000000000111E-3</v>
      </c>
    </row>
    <row r="33" spans="1:22">
      <c r="A33" s="84">
        <v>25</v>
      </c>
      <c r="B33" s="147" t="s">
        <v>59</v>
      </c>
      <c r="C33" s="148" t="s">
        <v>60</v>
      </c>
      <c r="D33" s="9">
        <v>44514190.369999997</v>
      </c>
      <c r="E33" s="3">
        <f t="shared" si="8"/>
        <v>4.8217770199459138E-5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4.8217770199459138E-5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5459527313.9799995</v>
      </c>
      <c r="E34" s="3">
        <f t="shared" si="8"/>
        <v>5.9137598872419529E-3</v>
      </c>
      <c r="F34" s="8">
        <v>1</v>
      </c>
      <c r="G34" s="8">
        <v>1</v>
      </c>
      <c r="H34" s="60">
        <v>2153</v>
      </c>
      <c r="I34" s="5">
        <v>0.1147</v>
      </c>
      <c r="J34" s="5">
        <v>0.1147</v>
      </c>
      <c r="K34" s="9">
        <v>5321763865.3800001</v>
      </c>
      <c r="L34" s="3">
        <f t="shared" si="7"/>
        <v>5.7645345222231484E-3</v>
      </c>
      <c r="M34" s="8">
        <v>1</v>
      </c>
      <c r="N34" s="8">
        <v>1</v>
      </c>
      <c r="O34" s="60">
        <v>2157</v>
      </c>
      <c r="P34" s="5">
        <v>0.13289999999999999</v>
      </c>
      <c r="Q34" s="5">
        <v>0.13289999999999999</v>
      </c>
      <c r="R34" s="80">
        <f t="shared" si="9"/>
        <v>-2.5233585377846524E-2</v>
      </c>
      <c r="S34" s="80">
        <f t="shared" si="10"/>
        <v>0</v>
      </c>
      <c r="T34" s="80">
        <f t="shared" si="11"/>
        <v>1.8578727357176034E-3</v>
      </c>
      <c r="U34" s="81">
        <f t="shared" si="12"/>
        <v>1.8199999999999994E-2</v>
      </c>
      <c r="V34" s="83">
        <f t="shared" si="13"/>
        <v>1.8199999999999994E-2</v>
      </c>
    </row>
    <row r="35" spans="1:22">
      <c r="A35" s="75">
        <v>27</v>
      </c>
      <c r="B35" s="125" t="s">
        <v>63</v>
      </c>
      <c r="C35" s="126" t="s">
        <v>64</v>
      </c>
      <c r="D35" s="9">
        <v>13137108112.379999</v>
      </c>
      <c r="E35" s="3">
        <f t="shared" si="8"/>
        <v>1.4230115268480602E-2</v>
      </c>
      <c r="F35" s="11">
        <v>100</v>
      </c>
      <c r="G35" s="11">
        <v>100</v>
      </c>
      <c r="H35" s="60">
        <v>2619</v>
      </c>
      <c r="I35" s="5">
        <v>0.10970000000000001</v>
      </c>
      <c r="J35" s="5">
        <v>0.10970000000000001</v>
      </c>
      <c r="K35" s="9">
        <v>12799349469.51</v>
      </c>
      <c r="L35" s="3">
        <f t="shared" si="7"/>
        <v>1.3864255112664703E-2</v>
      </c>
      <c r="M35" s="11">
        <v>100</v>
      </c>
      <c r="N35" s="11">
        <v>100</v>
      </c>
      <c r="O35" s="60">
        <v>2619</v>
      </c>
      <c r="P35" s="5">
        <v>0.1041</v>
      </c>
      <c r="Q35" s="5">
        <v>0.1041</v>
      </c>
      <c r="R35" s="80">
        <f t="shared" si="9"/>
        <v>-2.5710273522960944E-2</v>
      </c>
      <c r="S35" s="80">
        <f t="shared" si="10"/>
        <v>0</v>
      </c>
      <c r="T35" s="80">
        <f t="shared" si="11"/>
        <v>0</v>
      </c>
      <c r="U35" s="81">
        <f t="shared" si="12"/>
        <v>-5.6000000000000077E-3</v>
      </c>
      <c r="V35" s="83">
        <f t="shared" si="13"/>
        <v>-5.6000000000000077E-3</v>
      </c>
    </row>
    <row r="36" spans="1:22">
      <c r="A36" s="75">
        <v>28</v>
      </c>
      <c r="B36" s="125" t="s">
        <v>65</v>
      </c>
      <c r="C36" s="126" t="s">
        <v>64</v>
      </c>
      <c r="D36" s="9">
        <v>1134260848.5699999</v>
      </c>
      <c r="E36" s="3">
        <f t="shared" si="8"/>
        <v>1.2286313305487123E-3</v>
      </c>
      <c r="F36" s="11">
        <v>1000000</v>
      </c>
      <c r="G36" s="11">
        <v>1000000</v>
      </c>
      <c r="H36" s="60">
        <v>6</v>
      </c>
      <c r="I36" s="5">
        <v>0.1159</v>
      </c>
      <c r="J36" s="5">
        <v>0.1159</v>
      </c>
      <c r="K36" s="9">
        <v>889348573.04999995</v>
      </c>
      <c r="L36" s="3">
        <f t="shared" si="7"/>
        <v>9.6334235815826645E-4</v>
      </c>
      <c r="M36" s="11">
        <v>1000000</v>
      </c>
      <c r="N36" s="11">
        <v>1000000</v>
      </c>
      <c r="O36" s="60">
        <v>5</v>
      </c>
      <c r="P36" s="5">
        <v>0.1346</v>
      </c>
      <c r="Q36" s="5">
        <v>0.1346</v>
      </c>
      <c r="R36" s="80">
        <f t="shared" si="9"/>
        <v>-0.21592235668609119</v>
      </c>
      <c r="S36" s="80">
        <f t="shared" si="10"/>
        <v>0</v>
      </c>
      <c r="T36" s="80">
        <f t="shared" si="11"/>
        <v>-0.16666666666666666</v>
      </c>
      <c r="U36" s="81">
        <f t="shared" si="12"/>
        <v>1.8699999999999994E-2</v>
      </c>
      <c r="V36" s="83">
        <f t="shared" si="13"/>
        <v>1.8699999999999994E-2</v>
      </c>
    </row>
    <row r="37" spans="1:22">
      <c r="A37" s="84">
        <v>29</v>
      </c>
      <c r="B37" s="147" t="s">
        <v>66</v>
      </c>
      <c r="C37" s="148" t="s">
        <v>67</v>
      </c>
      <c r="D37" s="9">
        <v>3096703668.1199999</v>
      </c>
      <c r="E37" s="3">
        <f t="shared" si="8"/>
        <v>3.354349357005554E-3</v>
      </c>
      <c r="F37" s="8">
        <v>1</v>
      </c>
      <c r="G37" s="8">
        <v>1</v>
      </c>
      <c r="H37" s="60">
        <v>462</v>
      </c>
      <c r="I37" s="5">
        <v>0.15640000000000001</v>
      </c>
      <c r="J37" s="5">
        <v>0.15640000000000001</v>
      </c>
      <c r="K37" s="9">
        <v>3015129691.5999999</v>
      </c>
      <c r="L37" s="3">
        <f t="shared" si="7"/>
        <v>3.2659884271222092E-3</v>
      </c>
      <c r="M37" s="8">
        <v>1</v>
      </c>
      <c r="N37" s="8">
        <v>1</v>
      </c>
      <c r="O37" s="60">
        <v>463</v>
      </c>
      <c r="P37" s="5">
        <v>0.1409</v>
      </c>
      <c r="Q37" s="5">
        <v>0.1409</v>
      </c>
      <c r="R37" s="80">
        <f t="shared" si="9"/>
        <v>-2.6342196497452827E-2</v>
      </c>
      <c r="S37" s="80">
        <f t="shared" si="10"/>
        <v>0</v>
      </c>
      <c r="T37" s="80">
        <f t="shared" si="11"/>
        <v>2.1645021645021645E-3</v>
      </c>
      <c r="U37" s="81">
        <f t="shared" si="12"/>
        <v>-1.5500000000000014E-2</v>
      </c>
      <c r="V37" s="83">
        <f t="shared" si="13"/>
        <v>-1.5500000000000014E-2</v>
      </c>
    </row>
    <row r="38" spans="1:22">
      <c r="A38" s="75">
        <v>30</v>
      </c>
      <c r="B38" s="125" t="s">
        <v>68</v>
      </c>
      <c r="C38" s="126" t="s">
        <v>27</v>
      </c>
      <c r="D38" s="9">
        <v>205288279518.70001</v>
      </c>
      <c r="E38" s="3">
        <f t="shared" si="8"/>
        <v>0.2223682606422526</v>
      </c>
      <c r="F38" s="8">
        <v>100</v>
      </c>
      <c r="G38" s="8">
        <v>100</v>
      </c>
      <c r="H38" s="60">
        <v>15298</v>
      </c>
      <c r="I38" s="5">
        <v>0.14050000000000001</v>
      </c>
      <c r="J38" s="5">
        <v>0.14050000000000001</v>
      </c>
      <c r="K38" s="9">
        <v>205730767690.42999</v>
      </c>
      <c r="L38" s="3">
        <f t="shared" si="7"/>
        <v>0.22284756382182552</v>
      </c>
      <c r="M38" s="8">
        <v>100</v>
      </c>
      <c r="N38" s="8">
        <v>100</v>
      </c>
      <c r="O38" s="60">
        <v>15376</v>
      </c>
      <c r="P38" s="5">
        <v>0.11269999999999999</v>
      </c>
      <c r="Q38" s="5">
        <v>0.11269999999999999</v>
      </c>
      <c r="R38" s="80">
        <f t="shared" si="9"/>
        <v>2.1554478062137668E-3</v>
      </c>
      <c r="S38" s="80">
        <f t="shared" si="10"/>
        <v>0</v>
      </c>
      <c r="T38" s="80">
        <f t="shared" si="11"/>
        <v>5.0987057131651192E-3</v>
      </c>
      <c r="U38" s="81">
        <f t="shared" si="12"/>
        <v>-2.7800000000000019E-2</v>
      </c>
      <c r="V38" s="83">
        <f t="shared" si="13"/>
        <v>-2.7800000000000019E-2</v>
      </c>
    </row>
    <row r="39" spans="1:22">
      <c r="A39" s="84">
        <v>31</v>
      </c>
      <c r="B39" s="147" t="s">
        <v>69</v>
      </c>
      <c r="C39" s="148" t="s">
        <v>70</v>
      </c>
      <c r="D39" s="9">
        <v>286620695.30000001</v>
      </c>
      <c r="E39" s="3">
        <f t="shared" si="8"/>
        <v>3.1046753193782954E-4</v>
      </c>
      <c r="F39" s="8">
        <v>1</v>
      </c>
      <c r="G39" s="8">
        <v>1</v>
      </c>
      <c r="H39" s="61">
        <v>460</v>
      </c>
      <c r="I39" s="12">
        <v>0.1043</v>
      </c>
      <c r="J39" s="12">
        <v>0.1043</v>
      </c>
      <c r="K39" s="9">
        <v>287223776.29000002</v>
      </c>
      <c r="L39" s="3">
        <f t="shared" si="7"/>
        <v>3.1112078925523275E-4</v>
      </c>
      <c r="M39" s="8">
        <v>1</v>
      </c>
      <c r="N39" s="8">
        <v>1</v>
      </c>
      <c r="O39" s="61">
        <v>461</v>
      </c>
      <c r="P39" s="12">
        <v>0.14319999999999999</v>
      </c>
      <c r="Q39" s="12">
        <v>0.14319999999999999</v>
      </c>
      <c r="R39" s="80">
        <f t="shared" si="9"/>
        <v>2.104108321169122E-3</v>
      </c>
      <c r="S39" s="80">
        <f t="shared" si="10"/>
        <v>0</v>
      </c>
      <c r="T39" s="80">
        <f t="shared" si="11"/>
        <v>2.1739130434782609E-3</v>
      </c>
      <c r="U39" s="81">
        <f t="shared" si="12"/>
        <v>3.889999999999999E-2</v>
      </c>
      <c r="V39" s="83">
        <f t="shared" si="13"/>
        <v>3.889999999999999E-2</v>
      </c>
    </row>
    <row r="40" spans="1:22">
      <c r="A40" s="84">
        <v>32</v>
      </c>
      <c r="B40" s="147" t="s">
        <v>71</v>
      </c>
      <c r="C40" s="148" t="s">
        <v>72</v>
      </c>
      <c r="D40" s="9">
        <v>654905184.17999995</v>
      </c>
      <c r="E40" s="3">
        <f t="shared" si="8"/>
        <v>7.0939328359676283E-4</v>
      </c>
      <c r="F40" s="8">
        <v>10</v>
      </c>
      <c r="G40" s="8">
        <v>10</v>
      </c>
      <c r="H40" s="60">
        <v>356</v>
      </c>
      <c r="I40" s="5">
        <v>0.105</v>
      </c>
      <c r="J40" s="5">
        <v>0.105</v>
      </c>
      <c r="K40" s="9">
        <v>616092747.57999992</v>
      </c>
      <c r="L40" s="3">
        <f t="shared" si="7"/>
        <v>6.6735165297730249E-4</v>
      </c>
      <c r="M40" s="8">
        <v>10</v>
      </c>
      <c r="N40" s="8">
        <v>10</v>
      </c>
      <c r="O40" s="60">
        <v>356</v>
      </c>
      <c r="P40" s="5">
        <v>0.1032</v>
      </c>
      <c r="Q40" s="5">
        <v>0.1032</v>
      </c>
      <c r="R40" s="80">
        <f t="shared" si="9"/>
        <v>-5.9264207304446183E-2</v>
      </c>
      <c r="S40" s="80">
        <f t="shared" si="10"/>
        <v>0</v>
      </c>
      <c r="T40" s="80">
        <f t="shared" si="11"/>
        <v>0</v>
      </c>
      <c r="U40" s="81">
        <f t="shared" si="12"/>
        <v>-1.799999999999996E-3</v>
      </c>
      <c r="V40" s="83">
        <f t="shared" si="13"/>
        <v>-1.799999999999996E-3</v>
      </c>
    </row>
    <row r="41" spans="1:22">
      <c r="A41" s="75">
        <v>33</v>
      </c>
      <c r="B41" s="125" t="s">
        <v>73</v>
      </c>
      <c r="C41" s="126" t="s">
        <v>74</v>
      </c>
      <c r="D41" s="9">
        <v>3523696218.4404469</v>
      </c>
      <c r="E41" s="3">
        <f t="shared" si="8"/>
        <v>3.816867679749392E-3</v>
      </c>
      <c r="F41" s="8">
        <v>100</v>
      </c>
      <c r="G41" s="8">
        <v>100</v>
      </c>
      <c r="H41" s="60">
        <v>1417</v>
      </c>
      <c r="I41" s="5">
        <v>0.11883831956454431</v>
      </c>
      <c r="J41" s="5">
        <v>0.11883831956454431</v>
      </c>
      <c r="K41" s="9">
        <v>3256300201.7074866</v>
      </c>
      <c r="L41" s="3">
        <f t="shared" si="7"/>
        <v>3.527224319285851E-3</v>
      </c>
      <c r="M41" s="8">
        <v>100</v>
      </c>
      <c r="N41" s="8">
        <v>100</v>
      </c>
      <c r="O41" s="60">
        <v>1417</v>
      </c>
      <c r="P41" s="5">
        <v>0.12670000000000001</v>
      </c>
      <c r="Q41" s="5">
        <v>0.12670000000000001</v>
      </c>
      <c r="R41" s="80">
        <f t="shared" si="9"/>
        <v>-7.5885093423662689E-2</v>
      </c>
      <c r="S41" s="80">
        <f t="shared" si="10"/>
        <v>0</v>
      </c>
      <c r="T41" s="80">
        <f t="shared" si="11"/>
        <v>0</v>
      </c>
      <c r="U41" s="81">
        <f t="shared" si="12"/>
        <v>7.8616804354556952E-3</v>
      </c>
      <c r="V41" s="83">
        <f t="shared" si="13"/>
        <v>7.8616804354556952E-3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20291362090.650799</v>
      </c>
      <c r="E42" s="3">
        <f t="shared" si="8"/>
        <v>2.1979603047670052E-2</v>
      </c>
      <c r="F42" s="8">
        <v>1</v>
      </c>
      <c r="G42" s="8">
        <v>1</v>
      </c>
      <c r="H42" s="60">
        <v>11617</v>
      </c>
      <c r="I42" s="5">
        <v>0.1205452747197075</v>
      </c>
      <c r="J42" s="5">
        <v>0.1205452747197075</v>
      </c>
      <c r="K42" s="9">
        <v>20492227379.529999</v>
      </c>
      <c r="L42" s="3">
        <f t="shared" si="7"/>
        <v>2.2197180324932016E-2</v>
      </c>
      <c r="M42" s="8">
        <v>1</v>
      </c>
      <c r="N42" s="8">
        <v>1</v>
      </c>
      <c r="O42" s="60">
        <v>11660</v>
      </c>
      <c r="P42" s="5">
        <v>0.13728873382858323</v>
      </c>
      <c r="Q42" s="5">
        <v>0.13728873382858323</v>
      </c>
      <c r="R42" s="80">
        <f t="shared" si="9"/>
        <v>9.8990539906509394E-3</v>
      </c>
      <c r="S42" s="80">
        <f t="shared" si="10"/>
        <v>0</v>
      </c>
      <c r="T42" s="80">
        <f t="shared" si="11"/>
        <v>3.7014719807179136E-3</v>
      </c>
      <c r="U42" s="81">
        <f t="shared" si="12"/>
        <v>1.674345910887573E-2</v>
      </c>
      <c r="V42" s="83">
        <f t="shared" si="13"/>
        <v>1.674345910887573E-2</v>
      </c>
    </row>
    <row r="43" spans="1:22">
      <c r="A43" s="75">
        <v>35</v>
      </c>
      <c r="B43" s="125" t="s">
        <v>75</v>
      </c>
      <c r="C43" s="126" t="s">
        <v>34</v>
      </c>
      <c r="D43" s="9">
        <v>3373725594.75</v>
      </c>
      <c r="E43" s="3">
        <f t="shared" si="8"/>
        <v>3.6544195028945575E-3</v>
      </c>
      <c r="F43" s="8">
        <v>1</v>
      </c>
      <c r="G43" s="8">
        <v>1</v>
      </c>
      <c r="H43" s="60">
        <v>841</v>
      </c>
      <c r="I43" s="5">
        <v>8.6499999999999994E-2</v>
      </c>
      <c r="J43" s="5">
        <v>8.6499999999999994E-2</v>
      </c>
      <c r="K43" s="9">
        <v>3387803600.96</v>
      </c>
      <c r="L43" s="3">
        <f t="shared" si="7"/>
        <v>3.6696687989652738E-3</v>
      </c>
      <c r="M43" s="8">
        <v>1</v>
      </c>
      <c r="N43" s="8">
        <v>1</v>
      </c>
      <c r="O43" s="60">
        <v>843</v>
      </c>
      <c r="P43" s="5">
        <v>0.1198</v>
      </c>
      <c r="Q43" s="5">
        <v>9.0499999999999997E-2</v>
      </c>
      <c r="R43" s="80">
        <f t="shared" si="9"/>
        <v>4.1728367689142917E-3</v>
      </c>
      <c r="S43" s="80">
        <f t="shared" si="10"/>
        <v>0</v>
      </c>
      <c r="T43" s="80">
        <f t="shared" si="11"/>
        <v>2.3781212841854932E-3</v>
      </c>
      <c r="U43" s="81">
        <f t="shared" si="12"/>
        <v>3.330000000000001E-2</v>
      </c>
      <c r="V43" s="83">
        <f t="shared" si="13"/>
        <v>4.0000000000000036E-3</v>
      </c>
    </row>
    <row r="44" spans="1:22">
      <c r="A44" s="84">
        <v>36</v>
      </c>
      <c r="B44" s="147" t="s">
        <v>76</v>
      </c>
      <c r="C44" s="148" t="s">
        <v>36</v>
      </c>
      <c r="D44" s="13">
        <v>3887864844.8600001</v>
      </c>
      <c r="E44" s="3">
        <f t="shared" si="8"/>
        <v>4.2113351292660016E-3</v>
      </c>
      <c r="F44" s="8">
        <v>10</v>
      </c>
      <c r="G44" s="8">
        <v>10</v>
      </c>
      <c r="H44" s="60">
        <v>1988</v>
      </c>
      <c r="I44" s="5">
        <v>0.15260000000000001</v>
      </c>
      <c r="J44" s="5">
        <v>0.15260000000000001</v>
      </c>
      <c r="K44" s="13">
        <v>4015611624.0599999</v>
      </c>
      <c r="L44" s="3">
        <f t="shared" si="7"/>
        <v>4.3497104381728414E-3</v>
      </c>
      <c r="M44" s="8">
        <v>10</v>
      </c>
      <c r="N44" s="8">
        <v>10</v>
      </c>
      <c r="O44" s="60">
        <v>1984</v>
      </c>
      <c r="P44" s="5">
        <v>0.1653</v>
      </c>
      <c r="Q44" s="5">
        <v>0.1653</v>
      </c>
      <c r="R44" s="80">
        <f t="shared" si="9"/>
        <v>3.2857824100775784E-2</v>
      </c>
      <c r="S44" s="80">
        <f t="shared" si="10"/>
        <v>0</v>
      </c>
      <c r="T44" s="80">
        <f t="shared" si="11"/>
        <v>-2.012072434607646E-3</v>
      </c>
      <c r="U44" s="81">
        <f t="shared" si="12"/>
        <v>1.2699999999999989E-2</v>
      </c>
      <c r="V44" s="83">
        <f t="shared" si="13"/>
        <v>1.2699999999999989E-2</v>
      </c>
    </row>
    <row r="45" spans="1:22">
      <c r="A45" s="84">
        <v>37</v>
      </c>
      <c r="B45" s="147" t="s">
        <v>77</v>
      </c>
      <c r="C45" s="148" t="s">
        <v>78</v>
      </c>
      <c r="D45" s="9">
        <v>4180795713.0999999</v>
      </c>
      <c r="E45" s="3">
        <f t="shared" si="8"/>
        <v>4.5286378404177114E-3</v>
      </c>
      <c r="F45" s="8">
        <v>100</v>
      </c>
      <c r="G45" s="8">
        <v>100</v>
      </c>
      <c r="H45" s="60">
        <v>2072</v>
      </c>
      <c r="I45" s="5">
        <v>0.125</v>
      </c>
      <c r="J45" s="5">
        <v>0.125</v>
      </c>
      <c r="K45" s="9">
        <v>4143090496.4200001</v>
      </c>
      <c r="L45" s="3">
        <f t="shared" si="7"/>
        <v>4.4877955503954646E-3</v>
      </c>
      <c r="M45" s="8">
        <v>100</v>
      </c>
      <c r="N45" s="8">
        <v>100</v>
      </c>
      <c r="O45" s="60">
        <v>2088</v>
      </c>
      <c r="P45" s="5">
        <v>0.13880000000000001</v>
      </c>
      <c r="Q45" s="5">
        <v>0.13880000000000001</v>
      </c>
      <c r="R45" s="80">
        <f t="shared" si="9"/>
        <v>-9.0186699536299406E-3</v>
      </c>
      <c r="S45" s="80">
        <f t="shared" si="10"/>
        <v>0</v>
      </c>
      <c r="T45" s="80">
        <f t="shared" si="11"/>
        <v>7.7220077220077222E-3</v>
      </c>
      <c r="U45" s="81">
        <f t="shared" si="12"/>
        <v>1.3800000000000007E-2</v>
      </c>
      <c r="V45" s="83">
        <f t="shared" si="13"/>
        <v>1.3800000000000007E-2</v>
      </c>
    </row>
    <row r="46" spans="1:22">
      <c r="A46" s="75">
        <v>38</v>
      </c>
      <c r="B46" s="125" t="s">
        <v>79</v>
      </c>
      <c r="C46" s="126" t="s">
        <v>80</v>
      </c>
      <c r="D46" s="9">
        <v>151294235.63999999</v>
      </c>
      <c r="E46" s="3">
        <f t="shared" si="8"/>
        <v>1.6388191329452545E-4</v>
      </c>
      <c r="F46" s="8">
        <v>1</v>
      </c>
      <c r="G46" s="8">
        <v>1</v>
      </c>
      <c r="H46" s="60">
        <v>61</v>
      </c>
      <c r="I46" s="5">
        <v>7.9000000000000001E-2</v>
      </c>
      <c r="J46" s="5">
        <v>7.9000000000000001E-2</v>
      </c>
      <c r="K46" s="9">
        <v>151222715.38999999</v>
      </c>
      <c r="L46" s="3">
        <f t="shared" si="7"/>
        <v>1.6380444256102578E-4</v>
      </c>
      <c r="M46" s="8">
        <v>1</v>
      </c>
      <c r="N46" s="8">
        <v>1</v>
      </c>
      <c r="O46" s="60">
        <v>61</v>
      </c>
      <c r="P46" s="5">
        <v>4.7100000000000003E-2</v>
      </c>
      <c r="Q46" s="5">
        <v>4.7100000000000003E-2</v>
      </c>
      <c r="R46" s="80">
        <f t="shared" si="9"/>
        <v>-4.7272290115652686E-4</v>
      </c>
      <c r="S46" s="80">
        <f t="shared" si="10"/>
        <v>0</v>
      </c>
      <c r="T46" s="80">
        <f t="shared" si="11"/>
        <v>0</v>
      </c>
      <c r="U46" s="81">
        <f t="shared" si="12"/>
        <v>-3.1899999999999998E-2</v>
      </c>
      <c r="V46" s="83">
        <f t="shared" si="13"/>
        <v>-3.1899999999999998E-2</v>
      </c>
    </row>
    <row r="47" spans="1:22">
      <c r="A47" s="75">
        <v>39</v>
      </c>
      <c r="B47" s="125" t="s">
        <v>81</v>
      </c>
      <c r="C47" s="126" t="s">
        <v>38</v>
      </c>
      <c r="D47" s="13">
        <v>680560731.59000003</v>
      </c>
      <c r="E47" s="3">
        <f t="shared" si="8"/>
        <v>7.371833720848243E-4</v>
      </c>
      <c r="F47" s="8">
        <v>10</v>
      </c>
      <c r="G47" s="8">
        <v>10</v>
      </c>
      <c r="H47" s="60">
        <v>654</v>
      </c>
      <c r="I47" s="5">
        <v>0</v>
      </c>
      <c r="J47" s="5">
        <v>0</v>
      </c>
      <c r="K47" s="13">
        <v>679854602.89999998</v>
      </c>
      <c r="L47" s="3">
        <f t="shared" si="7"/>
        <v>7.3641849350065459E-4</v>
      </c>
      <c r="M47" s="8">
        <v>10</v>
      </c>
      <c r="N47" s="8">
        <v>10</v>
      </c>
      <c r="O47" s="60">
        <v>655</v>
      </c>
      <c r="P47" s="5">
        <v>0</v>
      </c>
      <c r="Q47" s="5">
        <v>0</v>
      </c>
      <c r="R47" s="80">
        <f t="shared" si="9"/>
        <v>-1.0375689592761583E-3</v>
      </c>
      <c r="S47" s="80">
        <f t="shared" si="10"/>
        <v>0</v>
      </c>
      <c r="T47" s="80">
        <f t="shared" si="11"/>
        <v>1.5290519877675841E-3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25" t="s">
        <v>247</v>
      </c>
      <c r="C48" s="126" t="s">
        <v>248</v>
      </c>
      <c r="D48" s="13">
        <v>601413027.23000002</v>
      </c>
      <c r="E48" s="3">
        <f t="shared" si="8"/>
        <v>6.5145058016107872E-4</v>
      </c>
      <c r="F48" s="8">
        <v>1</v>
      </c>
      <c r="G48" s="8">
        <v>1</v>
      </c>
      <c r="H48" s="60">
        <v>38</v>
      </c>
      <c r="I48" s="5">
        <v>0.14549999999999999</v>
      </c>
      <c r="J48" s="5">
        <v>0.14549999999999999</v>
      </c>
      <c r="K48" s="13">
        <v>601014675.76999998</v>
      </c>
      <c r="L48" s="3">
        <f t="shared" si="7"/>
        <v>6.5101908586684919E-4</v>
      </c>
      <c r="M48" s="8">
        <v>1</v>
      </c>
      <c r="N48" s="8">
        <v>1</v>
      </c>
      <c r="O48" s="60">
        <v>38</v>
      </c>
      <c r="P48" s="5">
        <v>0.14549999999999999</v>
      </c>
      <c r="Q48" s="5">
        <v>0.14549999999999999</v>
      </c>
      <c r="R48" s="80">
        <f t="shared" si="9"/>
        <v>-6.6235921399104565E-4</v>
      </c>
      <c r="S48" s="80">
        <f t="shared" si="10"/>
        <v>0</v>
      </c>
      <c r="T48" s="80">
        <f t="shared" si="11"/>
        <v>0</v>
      </c>
      <c r="U48" s="81">
        <f t="shared" si="12"/>
        <v>0</v>
      </c>
      <c r="V48" s="83">
        <f t="shared" si="13"/>
        <v>0</v>
      </c>
    </row>
    <row r="49" spans="1:22">
      <c r="A49" s="84">
        <v>41</v>
      </c>
      <c r="B49" s="147" t="s">
        <v>82</v>
      </c>
      <c r="C49" s="148" t="s">
        <v>42</v>
      </c>
      <c r="D49" s="9">
        <v>414605437225.20001</v>
      </c>
      <c r="E49" s="3">
        <f t="shared" si="8"/>
        <v>0.44910060206427999</v>
      </c>
      <c r="F49" s="8">
        <v>100</v>
      </c>
      <c r="G49" s="8">
        <v>100</v>
      </c>
      <c r="H49" s="60">
        <v>115643</v>
      </c>
      <c r="I49" s="5">
        <v>0.1353</v>
      </c>
      <c r="J49" s="5">
        <v>0.1353</v>
      </c>
      <c r="K49" s="9">
        <v>418087582432.23999</v>
      </c>
      <c r="L49" s="3">
        <f t="shared" si="7"/>
        <v>0.45287246168923589</v>
      </c>
      <c r="M49" s="8">
        <v>100</v>
      </c>
      <c r="N49" s="8">
        <v>100</v>
      </c>
      <c r="O49" s="60">
        <v>116144</v>
      </c>
      <c r="P49" s="5">
        <v>0.14149999999999999</v>
      </c>
      <c r="Q49" s="5">
        <v>0.14149999999999999</v>
      </c>
      <c r="R49" s="80">
        <f t="shared" si="9"/>
        <v>8.3986964337580353E-3</v>
      </c>
      <c r="S49" s="80">
        <f t="shared" si="10"/>
        <v>0</v>
      </c>
      <c r="T49" s="80">
        <f t="shared" si="11"/>
        <v>4.3322985394706123E-3</v>
      </c>
      <c r="U49" s="81">
        <f t="shared" si="12"/>
        <v>6.1999999999999833E-3</v>
      </c>
      <c r="V49" s="83">
        <f t="shared" si="13"/>
        <v>6.1999999999999833E-3</v>
      </c>
    </row>
    <row r="50" spans="1:22">
      <c r="A50" s="75">
        <v>42</v>
      </c>
      <c r="B50" s="125" t="s">
        <v>83</v>
      </c>
      <c r="C50" s="126" t="s">
        <v>84</v>
      </c>
      <c r="D50" s="9">
        <v>2973296132.6100001</v>
      </c>
      <c r="E50" s="3">
        <f t="shared" si="8"/>
        <v>3.220674316784829E-3</v>
      </c>
      <c r="F50" s="8">
        <v>1</v>
      </c>
      <c r="G50" s="8">
        <v>1</v>
      </c>
      <c r="H50" s="60">
        <v>326</v>
      </c>
      <c r="I50" s="5">
        <v>0.15366395715631156</v>
      </c>
      <c r="J50" s="5">
        <v>0.15366395715631156</v>
      </c>
      <c r="K50" s="9">
        <v>3157643989.1199999</v>
      </c>
      <c r="L50" s="3">
        <f t="shared" si="7"/>
        <v>3.4203599116047812E-3</v>
      </c>
      <c r="M50" s="8">
        <v>1</v>
      </c>
      <c r="N50" s="8">
        <v>1</v>
      </c>
      <c r="O50" s="60">
        <v>328</v>
      </c>
      <c r="P50" s="5">
        <v>0.15058107670000001</v>
      </c>
      <c r="Q50" s="5">
        <v>0.15058107670000001</v>
      </c>
      <c r="R50" s="80">
        <f t="shared" si="9"/>
        <v>6.2001175896386977E-2</v>
      </c>
      <c r="S50" s="80">
        <f t="shared" si="10"/>
        <v>0</v>
      </c>
      <c r="T50" s="80">
        <f t="shared" si="11"/>
        <v>6.1349693251533744E-3</v>
      </c>
      <c r="U50" s="81">
        <f t="shared" si="12"/>
        <v>-3.0828804563115542E-3</v>
      </c>
      <c r="V50" s="83">
        <f t="shared" si="13"/>
        <v>-3.0828804563115542E-3</v>
      </c>
    </row>
    <row r="51" spans="1:22">
      <c r="A51" s="75">
        <v>43</v>
      </c>
      <c r="B51" s="125" t="s">
        <v>85</v>
      </c>
      <c r="C51" s="126" t="s">
        <v>45</v>
      </c>
      <c r="D51" s="9">
        <v>37052538725.089996</v>
      </c>
      <c r="E51" s="3">
        <f t="shared" si="8"/>
        <v>4.0135309273354985E-2</v>
      </c>
      <c r="F51" s="8">
        <v>1</v>
      </c>
      <c r="G51" s="8">
        <v>1</v>
      </c>
      <c r="H51" s="60">
        <v>20190</v>
      </c>
      <c r="I51" s="5">
        <v>0.12939999999999999</v>
      </c>
      <c r="J51" s="5">
        <v>0.12939999999999999</v>
      </c>
      <c r="K51" s="9">
        <v>37172277687.790001</v>
      </c>
      <c r="L51" s="3">
        <f t="shared" si="7"/>
        <v>4.0265010515574622E-2</v>
      </c>
      <c r="M51" s="8">
        <v>1</v>
      </c>
      <c r="N51" s="8">
        <v>1</v>
      </c>
      <c r="O51" s="60">
        <v>20338</v>
      </c>
      <c r="P51" s="5">
        <v>0.10150000000000001</v>
      </c>
      <c r="Q51" s="5">
        <v>0.10150000000000001</v>
      </c>
      <c r="R51" s="80">
        <f t="shared" si="9"/>
        <v>3.2315994212543326E-3</v>
      </c>
      <c r="S51" s="80">
        <f t="shared" si="10"/>
        <v>0</v>
      </c>
      <c r="T51" s="80">
        <f t="shared" si="11"/>
        <v>7.3303615651312531E-3</v>
      </c>
      <c r="U51" s="81">
        <f t="shared" si="12"/>
        <v>-2.789999999999998E-2</v>
      </c>
      <c r="V51" s="83">
        <f t="shared" si="13"/>
        <v>-2.789999999999998E-2</v>
      </c>
    </row>
    <row r="52" spans="1:22">
      <c r="A52" s="84">
        <v>44</v>
      </c>
      <c r="B52" s="147" t="s">
        <v>86</v>
      </c>
      <c r="C52" s="148" t="s">
        <v>87</v>
      </c>
      <c r="D52" s="9">
        <v>1370390433.5699997</v>
      </c>
      <c r="E52" s="3">
        <f t="shared" si="8"/>
        <v>1.4844068927275746E-3</v>
      </c>
      <c r="F52" s="8">
        <v>1</v>
      </c>
      <c r="G52" s="8">
        <v>1</v>
      </c>
      <c r="H52" s="60">
        <v>77</v>
      </c>
      <c r="I52" s="5">
        <v>0.1152</v>
      </c>
      <c r="J52" s="5">
        <v>0.1152</v>
      </c>
      <c r="K52" s="9">
        <v>1378126929.3999999</v>
      </c>
      <c r="L52" s="3">
        <f t="shared" si="7"/>
        <v>1.4927870648699714E-3</v>
      </c>
      <c r="M52" s="8">
        <v>1</v>
      </c>
      <c r="N52" s="8">
        <v>1</v>
      </c>
      <c r="O52" s="60">
        <v>78</v>
      </c>
      <c r="P52" s="5">
        <v>0.11260000000000001</v>
      </c>
      <c r="Q52" s="5">
        <v>0.11260000000000001</v>
      </c>
      <c r="R52" s="80">
        <f t="shared" si="9"/>
        <v>5.6454683573978559E-3</v>
      </c>
      <c r="S52" s="80">
        <f t="shared" si="10"/>
        <v>0</v>
      </c>
      <c r="T52" s="80">
        <f t="shared" si="11"/>
        <v>1.2987012987012988E-2</v>
      </c>
      <c r="U52" s="81">
        <f t="shared" si="12"/>
        <v>-2.5999999999999912E-3</v>
      </c>
      <c r="V52" s="83">
        <f t="shared" si="13"/>
        <v>-2.5999999999999912E-3</v>
      </c>
    </row>
    <row r="53" spans="1:22">
      <c r="A53" s="75">
        <v>45</v>
      </c>
      <c r="B53" s="125" t="s">
        <v>88</v>
      </c>
      <c r="C53" s="126" t="s">
        <v>89</v>
      </c>
      <c r="D53" s="9">
        <v>968736237.37</v>
      </c>
      <c r="E53" s="3">
        <f t="shared" si="8"/>
        <v>1.0493350747063214E-3</v>
      </c>
      <c r="F53" s="8">
        <v>1</v>
      </c>
      <c r="G53" s="8">
        <v>1</v>
      </c>
      <c r="H53" s="60">
        <v>208</v>
      </c>
      <c r="I53" s="5">
        <v>0.1104</v>
      </c>
      <c r="J53" s="5">
        <v>0.1104</v>
      </c>
      <c r="K53" s="9">
        <v>970770401.41999996</v>
      </c>
      <c r="L53" s="3">
        <f t="shared" si="7"/>
        <v>1.0515384811682976E-3</v>
      </c>
      <c r="M53" s="8">
        <v>1</v>
      </c>
      <c r="N53" s="8">
        <v>1</v>
      </c>
      <c r="O53" s="60">
        <v>214</v>
      </c>
      <c r="P53" s="5">
        <v>0.11260000000000001</v>
      </c>
      <c r="Q53" s="5">
        <v>0.11260000000000001</v>
      </c>
      <c r="R53" s="80">
        <f t="shared" si="9"/>
        <v>2.0998120763216807E-3</v>
      </c>
      <c r="S53" s="80">
        <f t="shared" si="10"/>
        <v>0</v>
      </c>
      <c r="T53" s="80">
        <f t="shared" si="11"/>
        <v>2.8846153846153848E-2</v>
      </c>
      <c r="U53" s="81">
        <f t="shared" si="12"/>
        <v>2.2000000000000075E-3</v>
      </c>
      <c r="V53" s="83">
        <f t="shared" si="13"/>
        <v>2.2000000000000075E-3</v>
      </c>
    </row>
    <row r="54" spans="1:22">
      <c r="A54" s="75">
        <v>46</v>
      </c>
      <c r="B54" s="125" t="s">
        <v>268</v>
      </c>
      <c r="C54" s="126" t="s">
        <v>269</v>
      </c>
      <c r="D54" s="9">
        <v>0</v>
      </c>
      <c r="E54" s="3">
        <f t="shared" si="8"/>
        <v>0</v>
      </c>
      <c r="F54" s="8">
        <v>0</v>
      </c>
      <c r="G54" s="8">
        <v>0</v>
      </c>
      <c r="H54" s="60">
        <v>0</v>
      </c>
      <c r="I54" s="5">
        <v>0</v>
      </c>
      <c r="J54" s="5">
        <v>0</v>
      </c>
      <c r="K54" s="9">
        <v>490457528.06</v>
      </c>
      <c r="L54" s="3">
        <f t="shared" si="7"/>
        <v>5.3126358547744747E-4</v>
      </c>
      <c r="M54" s="8">
        <v>1</v>
      </c>
      <c r="N54" s="8">
        <v>1</v>
      </c>
      <c r="O54" s="60">
        <v>334</v>
      </c>
      <c r="P54" s="5">
        <v>0.155</v>
      </c>
      <c r="Q54" s="5">
        <v>0.155</v>
      </c>
      <c r="R54" s="80" t="e">
        <f t="shared" si="9"/>
        <v>#DIV/0!</v>
      </c>
      <c r="S54" s="80" t="e">
        <f t="shared" si="10"/>
        <v>#DIV/0!</v>
      </c>
      <c r="T54" s="80" t="e">
        <f t="shared" si="11"/>
        <v>#DIV/0!</v>
      </c>
      <c r="U54" s="81">
        <f t="shared" si="12"/>
        <v>0.155</v>
      </c>
      <c r="V54" s="83">
        <f t="shared" si="13"/>
        <v>0.155</v>
      </c>
    </row>
    <row r="55" spans="1:22">
      <c r="A55" s="84">
        <v>47</v>
      </c>
      <c r="B55" s="147" t="s">
        <v>90</v>
      </c>
      <c r="C55" s="148" t="s">
        <v>91</v>
      </c>
      <c r="D55" s="9">
        <v>28859204141.209999</v>
      </c>
      <c r="E55" s="3">
        <f t="shared" si="8"/>
        <v>3.1260289401061465E-2</v>
      </c>
      <c r="F55" s="8">
        <v>1</v>
      </c>
      <c r="G55" s="8">
        <v>1</v>
      </c>
      <c r="H55" s="60">
        <v>3320</v>
      </c>
      <c r="I55" s="5">
        <v>0.13700000000000001</v>
      </c>
      <c r="J55" s="5">
        <v>0.13700000000000001</v>
      </c>
      <c r="K55" s="9">
        <v>27868629014.740002</v>
      </c>
      <c r="L55" s="3">
        <f t="shared" si="7"/>
        <v>3.0187298442079083E-2</v>
      </c>
      <c r="M55" s="8">
        <v>1</v>
      </c>
      <c r="N55" s="8">
        <v>1</v>
      </c>
      <c r="O55" s="60">
        <v>3315</v>
      </c>
      <c r="P55" s="5">
        <v>0.1396</v>
      </c>
      <c r="Q55" s="5">
        <v>0.1396</v>
      </c>
      <c r="R55" s="80">
        <f t="shared" si="9"/>
        <v>-3.4324409003902108E-2</v>
      </c>
      <c r="S55" s="80">
        <f t="shared" si="10"/>
        <v>0</v>
      </c>
      <c r="T55" s="80">
        <f t="shared" si="11"/>
        <v>-1.5060240963855422E-3</v>
      </c>
      <c r="U55" s="81">
        <f t="shared" si="12"/>
        <v>2.5999999999999912E-3</v>
      </c>
      <c r="V55" s="83">
        <f t="shared" si="13"/>
        <v>2.5999999999999912E-3</v>
      </c>
    </row>
    <row r="56" spans="1:22">
      <c r="A56" s="75"/>
      <c r="B56" s="19"/>
      <c r="C56" s="71" t="s">
        <v>46</v>
      </c>
      <c r="D56" s="59">
        <f>SUM(D25:D55)</f>
        <v>920625552385.95117</v>
      </c>
      <c r="E56" s="100">
        <f>(D56/$D$186)</f>
        <v>0.31859134443628534</v>
      </c>
      <c r="F56" s="30"/>
      <c r="G56" s="11"/>
      <c r="H56" s="65">
        <f>SUM(H25:H55)</f>
        <v>277215</v>
      </c>
      <c r="I56" s="32"/>
      <c r="J56" s="32"/>
      <c r="K56" s="59">
        <f>SUM(K25:K55)</f>
        <v>923190562024.35754</v>
      </c>
      <c r="L56" s="100">
        <f>(K56/$K$186)</f>
        <v>0.35505689049147365</v>
      </c>
      <c r="M56" s="30"/>
      <c r="N56" s="11"/>
      <c r="O56" s="65">
        <f>SUM(O25:O55)</f>
        <v>278614</v>
      </c>
      <c r="P56" s="32"/>
      <c r="Q56" s="32"/>
      <c r="R56" s="80">
        <f t="shared" si="9"/>
        <v>2.7861595105183987E-3</v>
      </c>
      <c r="S56" s="80" t="e">
        <f t="shared" si="10"/>
        <v>#DIV/0!</v>
      </c>
      <c r="T56" s="80">
        <f t="shared" si="11"/>
        <v>5.0466244611583064E-3</v>
      </c>
      <c r="U56" s="81">
        <f t="shared" si="12"/>
        <v>0</v>
      </c>
      <c r="V56" s="83">
        <f t="shared" si="13"/>
        <v>0</v>
      </c>
    </row>
    <row r="57" spans="1:22" ht="9" customHeight="1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</row>
    <row r="58" spans="1:22" ht="15" customHeight="1">
      <c r="A58" s="150" t="s">
        <v>92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</row>
    <row r="59" spans="1:22">
      <c r="A59" s="84">
        <v>48</v>
      </c>
      <c r="B59" s="147" t="s">
        <v>93</v>
      </c>
      <c r="C59" s="148" t="s">
        <v>19</v>
      </c>
      <c r="D59" s="2">
        <v>432424010.11000001</v>
      </c>
      <c r="E59" s="3">
        <f>(D59/$D$93)</f>
        <v>1.5492098673094033E-3</v>
      </c>
      <c r="F59" s="14">
        <v>1.1766000000000001</v>
      </c>
      <c r="G59" s="14">
        <v>1.1766000000000001</v>
      </c>
      <c r="H59" s="60">
        <v>399</v>
      </c>
      <c r="I59" s="5" t="s">
        <v>262</v>
      </c>
      <c r="J59" s="5">
        <v>-8.09E-2</v>
      </c>
      <c r="K59" s="2">
        <v>433915735.38</v>
      </c>
      <c r="L59" s="3">
        <f t="shared" ref="L59:L79" si="14">(K59/$K$93)</f>
        <v>1.5563961679831745E-3</v>
      </c>
      <c r="M59" s="14">
        <v>1.1807000000000001</v>
      </c>
      <c r="N59" s="14">
        <v>1.1807000000000001</v>
      </c>
      <c r="O59" s="60">
        <v>399</v>
      </c>
      <c r="P59" s="5">
        <v>3.39E-4</v>
      </c>
      <c r="Q59" s="5">
        <v>-7.7700000000000005E-2</v>
      </c>
      <c r="R59" s="80">
        <f>((K59-D59)/D59)</f>
        <v>3.4496818750201124E-3</v>
      </c>
      <c r="S59" s="80">
        <f>((N59-G59)/G59)</f>
        <v>3.4846166921638552E-3</v>
      </c>
      <c r="T59" s="80">
        <f>((O59-H59)/H59)</f>
        <v>0</v>
      </c>
      <c r="U59" s="81" t="e">
        <f>P59-I59</f>
        <v>#VALUE!</v>
      </c>
      <c r="V59" s="83">
        <f>Q59-J59</f>
        <v>3.1999999999999945E-3</v>
      </c>
    </row>
    <row r="60" spans="1:22">
      <c r="A60" s="75">
        <v>49</v>
      </c>
      <c r="B60" s="125" t="s">
        <v>94</v>
      </c>
      <c r="C60" s="126" t="s">
        <v>21</v>
      </c>
      <c r="D60" s="2">
        <v>1374215065.53</v>
      </c>
      <c r="E60" s="3">
        <f>(D60/$D$93)</f>
        <v>4.9232870736820381E-3</v>
      </c>
      <c r="F60" s="14">
        <v>1.1011</v>
      </c>
      <c r="G60" s="14">
        <v>1.1011</v>
      </c>
      <c r="H60" s="60" t="s">
        <v>263</v>
      </c>
      <c r="I60" s="5">
        <v>-9.4999999999999998E-3</v>
      </c>
      <c r="J60" s="5">
        <v>-0.2742</v>
      </c>
      <c r="K60" s="2">
        <v>1388508539.3399999</v>
      </c>
      <c r="L60" s="3">
        <f t="shared" si="14"/>
        <v>4.9803894941679002E-3</v>
      </c>
      <c r="M60" s="14">
        <v>1.1047</v>
      </c>
      <c r="N60" s="14">
        <v>1.1047</v>
      </c>
      <c r="O60" s="60" t="s">
        <v>273</v>
      </c>
      <c r="P60" s="5">
        <v>0.1709</v>
      </c>
      <c r="Q60" s="5">
        <v>-0.2334</v>
      </c>
      <c r="R60" s="80">
        <f t="shared" ref="R60:R93" si="15">((K60-D60)/D60)</f>
        <v>1.0401191318978381E-2</v>
      </c>
      <c r="S60" s="80">
        <f t="shared" ref="S60:S93" si="16">((N60-G60)/G60)</f>
        <v>3.2694578149124035E-3</v>
      </c>
      <c r="T60" s="80" t="e">
        <f t="shared" ref="T60:T93" si="17">((O60-H60)/H60)</f>
        <v>#VALUE!</v>
      </c>
      <c r="U60" s="81">
        <f t="shared" ref="U60:U93" si="18">P60-I60</f>
        <v>0.1804</v>
      </c>
      <c r="V60" s="83">
        <f t="shared" ref="V60:V93" si="19">Q60-J60</f>
        <v>4.0800000000000003E-2</v>
      </c>
    </row>
    <row r="61" spans="1:22">
      <c r="A61" s="75">
        <v>50</v>
      </c>
      <c r="B61" s="125" t="s">
        <v>95</v>
      </c>
      <c r="C61" s="126" t="s">
        <v>21</v>
      </c>
      <c r="D61" s="2">
        <v>1002169113.08</v>
      </c>
      <c r="E61" s="3">
        <f>(D61/$D$93)</f>
        <v>3.590388698123646E-3</v>
      </c>
      <c r="F61" s="14">
        <v>1.0195000000000001</v>
      </c>
      <c r="G61" s="14">
        <v>1.0195000000000001</v>
      </c>
      <c r="H61" s="60" t="s">
        <v>264</v>
      </c>
      <c r="I61" s="5">
        <v>8.7300000000000003E-2</v>
      </c>
      <c r="J61" s="5">
        <v>-0.255</v>
      </c>
      <c r="K61" s="2">
        <v>1003351621.65</v>
      </c>
      <c r="L61" s="3">
        <f t="shared" si="14"/>
        <v>3.5988845108559792E-3</v>
      </c>
      <c r="M61" s="14">
        <v>1.0213000000000001</v>
      </c>
      <c r="N61" s="14">
        <v>1.0213000000000001</v>
      </c>
      <c r="O61" s="60" t="s">
        <v>274</v>
      </c>
      <c r="P61" s="5">
        <v>9.2299999999999993E-2</v>
      </c>
      <c r="Q61" s="5">
        <v>-0.223</v>
      </c>
      <c r="R61" s="80">
        <f t="shared" si="15"/>
        <v>1.1799491269150072E-3</v>
      </c>
      <c r="S61" s="80">
        <f t="shared" si="16"/>
        <v>1.7655713585090964E-3</v>
      </c>
      <c r="T61" s="80" t="e">
        <f t="shared" si="17"/>
        <v>#VALUE!</v>
      </c>
      <c r="U61" s="81">
        <f t="shared" si="18"/>
        <v>4.9999999999999906E-3</v>
      </c>
      <c r="V61" s="83">
        <f t="shared" si="19"/>
        <v>3.2000000000000001E-2</v>
      </c>
    </row>
    <row r="62" spans="1:22">
      <c r="A62" s="75">
        <v>51</v>
      </c>
      <c r="B62" s="125" t="s">
        <v>96</v>
      </c>
      <c r="C62" s="126" t="s">
        <v>97</v>
      </c>
      <c r="D62" s="2">
        <v>258079856.99000001</v>
      </c>
      <c r="E62" s="3">
        <f>(D62/$D$93)</f>
        <v>9.2460143668017308E-4</v>
      </c>
      <c r="F62" s="7">
        <v>1097.79</v>
      </c>
      <c r="G62" s="7">
        <v>1097.79</v>
      </c>
      <c r="H62" s="60">
        <v>113</v>
      </c>
      <c r="I62" s="5">
        <v>8.9999999999999993E-3</v>
      </c>
      <c r="J62" s="5">
        <v>-1.8499999999999999E-2</v>
      </c>
      <c r="K62" s="2">
        <v>258079856.99000001</v>
      </c>
      <c r="L62" s="3">
        <f t="shared" si="14"/>
        <v>9.2569701373267056E-4</v>
      </c>
      <c r="M62" s="7">
        <v>1097.79</v>
      </c>
      <c r="N62" s="7">
        <v>1097.79</v>
      </c>
      <c r="O62" s="60">
        <v>113</v>
      </c>
      <c r="P62" s="5">
        <v>8.9999999999999993E-3</v>
      </c>
      <c r="Q62" s="5">
        <v>-1.8499999999999999E-2</v>
      </c>
      <c r="R62" s="80">
        <f t="shared" si="15"/>
        <v>0</v>
      </c>
      <c r="S62" s="80">
        <f t="shared" si="16"/>
        <v>0</v>
      </c>
      <c r="T62" s="80">
        <f t="shared" si="17"/>
        <v>0</v>
      </c>
      <c r="U62" s="81">
        <f t="shared" si="18"/>
        <v>0</v>
      </c>
      <c r="V62" s="83">
        <f t="shared" si="19"/>
        <v>0</v>
      </c>
    </row>
    <row r="63" spans="1:22" ht="15" customHeight="1">
      <c r="A63" s="75">
        <v>52</v>
      </c>
      <c r="B63" s="125" t="s">
        <v>98</v>
      </c>
      <c r="C63" s="126" t="s">
        <v>99</v>
      </c>
      <c r="D63" s="2">
        <v>1683955624.6900001</v>
      </c>
      <c r="E63" s="3">
        <f>(D63/$K$93)</f>
        <v>6.0401176256629271E-3</v>
      </c>
      <c r="F63" s="7">
        <v>1.0344</v>
      </c>
      <c r="G63" s="7">
        <v>1.0344</v>
      </c>
      <c r="H63" s="60">
        <v>829</v>
      </c>
      <c r="I63" s="5">
        <v>2.3999999999999998E-3</v>
      </c>
      <c r="J63" s="5">
        <v>1.72E-2</v>
      </c>
      <c r="K63" s="2">
        <v>1652207855.9000001</v>
      </c>
      <c r="L63" s="3">
        <f t="shared" si="14"/>
        <v>5.9262427378497457E-3</v>
      </c>
      <c r="M63" s="7">
        <v>1.0351999999999999</v>
      </c>
      <c r="N63" s="7">
        <v>1.0351999999999999</v>
      </c>
      <c r="O63" s="60">
        <v>830</v>
      </c>
      <c r="P63" s="5">
        <v>8.0000000000000004E-4</v>
      </c>
      <c r="Q63" s="5">
        <v>1.7999999999999999E-2</v>
      </c>
      <c r="R63" s="80">
        <f t="shared" si="15"/>
        <v>-1.885309109368272E-2</v>
      </c>
      <c r="S63" s="80">
        <f t="shared" si="16"/>
        <v>7.7339520494964413E-4</v>
      </c>
      <c r="T63" s="80">
        <f t="shared" si="17"/>
        <v>1.2062726176115801E-3</v>
      </c>
      <c r="U63" s="81">
        <f t="shared" si="18"/>
        <v>-1.5999999999999999E-3</v>
      </c>
      <c r="V63" s="83">
        <v>7.87</v>
      </c>
    </row>
    <row r="64" spans="1:22">
      <c r="A64" s="84">
        <v>53</v>
      </c>
      <c r="B64" s="147" t="s">
        <v>100</v>
      </c>
      <c r="C64" s="148" t="s">
        <v>101</v>
      </c>
      <c r="D64" s="2">
        <v>401804912.76556557</v>
      </c>
      <c r="E64" s="3">
        <f t="shared" ref="E64:E79" si="20">(D64/$D$93)</f>
        <v>1.4395133504068419E-3</v>
      </c>
      <c r="F64" s="7">
        <v>2.2791999999999999</v>
      </c>
      <c r="G64" s="7">
        <v>2.2791999999999999</v>
      </c>
      <c r="H64" s="60">
        <v>1398</v>
      </c>
      <c r="I64" s="5">
        <v>0.1011</v>
      </c>
      <c r="J64" s="5">
        <v>0.1013</v>
      </c>
      <c r="K64" s="2">
        <v>402617988.26365662</v>
      </c>
      <c r="L64" s="3">
        <f t="shared" si="14"/>
        <v>1.4441354461272955E-3</v>
      </c>
      <c r="M64" s="7">
        <v>2.2837999999999998</v>
      </c>
      <c r="N64" s="7">
        <v>2.2837999999999998</v>
      </c>
      <c r="O64" s="60">
        <v>1398</v>
      </c>
      <c r="P64" s="5">
        <v>0.1055</v>
      </c>
      <c r="Q64" s="5">
        <v>0.1019</v>
      </c>
      <c r="R64" s="80">
        <f t="shared" si="15"/>
        <v>2.0235578815967184E-3</v>
      </c>
      <c r="S64" s="80">
        <f t="shared" si="16"/>
        <v>2.018252018251991E-3</v>
      </c>
      <c r="T64" s="80">
        <f t="shared" si="17"/>
        <v>0</v>
      </c>
      <c r="U64" s="81">
        <f t="shared" si="18"/>
        <v>4.4000000000000011E-3</v>
      </c>
      <c r="V64" s="83">
        <f t="shared" si="19"/>
        <v>6.0000000000000331E-4</v>
      </c>
    </row>
    <row r="65" spans="1:22">
      <c r="A65" s="75">
        <v>54</v>
      </c>
      <c r="B65" s="125" t="s">
        <v>102</v>
      </c>
      <c r="C65" s="126" t="s">
        <v>56</v>
      </c>
      <c r="D65" s="2">
        <v>2613553878.33711</v>
      </c>
      <c r="E65" s="3">
        <f t="shared" si="20"/>
        <v>9.3633641111524786E-3</v>
      </c>
      <c r="F65" s="2">
        <v>4058.3218109928098</v>
      </c>
      <c r="G65" s="2">
        <v>4058.3218109928098</v>
      </c>
      <c r="H65" s="60">
        <v>1046</v>
      </c>
      <c r="I65" s="5">
        <v>8.2547735335602154E-2</v>
      </c>
      <c r="J65" s="5">
        <v>8.0274487510221967E-2</v>
      </c>
      <c r="K65" s="2">
        <v>2617846598.6681299</v>
      </c>
      <c r="L65" s="3">
        <f t="shared" si="14"/>
        <v>9.3898563299777988E-3</v>
      </c>
      <c r="M65" s="2">
        <v>4065.5562538917602</v>
      </c>
      <c r="N65" s="2">
        <v>4065.5562538917602</v>
      </c>
      <c r="O65" s="60">
        <v>1046</v>
      </c>
      <c r="P65" s="5">
        <v>9.3205524856665029E-2</v>
      </c>
      <c r="Q65" s="5">
        <v>8.1611127289249241E-2</v>
      </c>
      <c r="R65" s="80">
        <f t="shared" si="15"/>
        <v>1.6424839627760604E-3</v>
      </c>
      <c r="S65" s="80">
        <f t="shared" si="16"/>
        <v>1.7826193278597138E-3</v>
      </c>
      <c r="T65" s="80">
        <f t="shared" si="17"/>
        <v>0</v>
      </c>
      <c r="U65" s="81">
        <f t="shared" si="18"/>
        <v>1.0657789521062874E-2</v>
      </c>
      <c r="V65" s="83">
        <f t="shared" si="19"/>
        <v>1.3366397790272738E-3</v>
      </c>
    </row>
    <row r="66" spans="1:22">
      <c r="A66" s="75">
        <v>55</v>
      </c>
      <c r="B66" s="125" t="s">
        <v>103</v>
      </c>
      <c r="C66" s="126" t="s">
        <v>58</v>
      </c>
      <c r="D66" s="2">
        <v>350758070.12</v>
      </c>
      <c r="E66" s="3">
        <f t="shared" si="20"/>
        <v>1.2566320337533479E-3</v>
      </c>
      <c r="F66" s="14">
        <v>109.57</v>
      </c>
      <c r="G66" s="14">
        <v>109.57</v>
      </c>
      <c r="H66" s="60">
        <v>125</v>
      </c>
      <c r="I66" s="5">
        <v>1.9E-3</v>
      </c>
      <c r="J66" s="5">
        <v>0.1022</v>
      </c>
      <c r="K66" s="2">
        <v>351856864.38</v>
      </c>
      <c r="L66" s="3">
        <f t="shared" si="14"/>
        <v>1.2620622640477047E-3</v>
      </c>
      <c r="M66" s="14">
        <v>109.78</v>
      </c>
      <c r="N66" s="14">
        <v>109.78</v>
      </c>
      <c r="O66" s="60">
        <v>125</v>
      </c>
      <c r="P66" s="5">
        <v>1.9E-3</v>
      </c>
      <c r="Q66" s="5">
        <v>0.1051</v>
      </c>
      <c r="R66" s="80">
        <f t="shared" si="15"/>
        <v>3.1326271684186061E-3</v>
      </c>
      <c r="S66" s="80">
        <f t="shared" si="16"/>
        <v>1.9165830062974169E-3</v>
      </c>
      <c r="T66" s="80">
        <f t="shared" si="17"/>
        <v>0</v>
      </c>
      <c r="U66" s="81">
        <f t="shared" si="18"/>
        <v>0</v>
      </c>
      <c r="V66" s="83">
        <f t="shared" si="19"/>
        <v>2.8999999999999998E-3</v>
      </c>
    </row>
    <row r="67" spans="1:22" ht="13.5" customHeight="1">
      <c r="A67" s="75">
        <v>56</v>
      </c>
      <c r="B67" s="125" t="s">
        <v>104</v>
      </c>
      <c r="C67" s="126" t="s">
        <v>105</v>
      </c>
      <c r="D67" s="2">
        <v>310208092.44</v>
      </c>
      <c r="E67" s="3">
        <f t="shared" si="20"/>
        <v>1.1113569702224126E-3</v>
      </c>
      <c r="F67" s="14">
        <v>1.3220000000000001</v>
      </c>
      <c r="G67" s="14">
        <v>1.3220000000000001</v>
      </c>
      <c r="H67" s="60">
        <v>317</v>
      </c>
      <c r="I67" s="5">
        <v>-7.413010590015201E-3</v>
      </c>
      <c r="J67" s="5">
        <v>-1.5701961138214093E-2</v>
      </c>
      <c r="K67" s="2">
        <v>311687770.39999998</v>
      </c>
      <c r="L67" s="3">
        <f t="shared" si="14"/>
        <v>1.117981238990899E-3</v>
      </c>
      <c r="M67" s="14">
        <v>1.3148</v>
      </c>
      <c r="N67" s="14">
        <v>1.3148</v>
      </c>
      <c r="O67" s="60">
        <v>318</v>
      </c>
      <c r="P67" s="5">
        <v>2E-3</v>
      </c>
      <c r="Q67" s="5">
        <v>-1.38E-2</v>
      </c>
      <c r="R67" s="80">
        <f t="shared" si="15"/>
        <v>4.7699528028469331E-3</v>
      </c>
      <c r="S67" s="80">
        <f t="shared" si="16"/>
        <v>-5.4462934947050639E-3</v>
      </c>
      <c r="T67" s="80">
        <f t="shared" si="17"/>
        <v>3.1545741324921135E-3</v>
      </c>
      <c r="U67" s="81">
        <f t="shared" si="18"/>
        <v>9.4130105900152011E-3</v>
      </c>
      <c r="V67" s="83">
        <f t="shared" si="19"/>
        <v>1.9019611382140936E-3</v>
      </c>
    </row>
    <row r="68" spans="1:22">
      <c r="A68" s="84">
        <v>57</v>
      </c>
      <c r="B68" s="147" t="s">
        <v>106</v>
      </c>
      <c r="C68" s="148" t="s">
        <v>25</v>
      </c>
      <c r="D68" s="2">
        <v>75575120.209999993</v>
      </c>
      <c r="E68" s="3">
        <f t="shared" si="20"/>
        <v>2.7075675544159316E-4</v>
      </c>
      <c r="F68" s="14">
        <v>114.7197</v>
      </c>
      <c r="G68" s="14">
        <v>114.7197</v>
      </c>
      <c r="H68" s="60">
        <v>98</v>
      </c>
      <c r="I68" s="5">
        <v>2.99E-4</v>
      </c>
      <c r="J68" s="5">
        <v>0.13750000000000001</v>
      </c>
      <c r="K68" s="2">
        <v>75668069.099999994</v>
      </c>
      <c r="L68" s="3">
        <f t="shared" si="14"/>
        <v>2.7141097495067762E-4</v>
      </c>
      <c r="M68" s="14">
        <v>114.95489999999999</v>
      </c>
      <c r="N68" s="14">
        <v>114.95489999999999</v>
      </c>
      <c r="O68" s="60">
        <v>94</v>
      </c>
      <c r="P68" s="5">
        <v>3.0800000000000001E-4</v>
      </c>
      <c r="Q68" s="5">
        <v>0.13250000000000001</v>
      </c>
      <c r="R68" s="80">
        <f t="shared" si="15"/>
        <v>1.2298874251436749E-3</v>
      </c>
      <c r="S68" s="80">
        <f t="shared" si="16"/>
        <v>2.0502145664606152E-3</v>
      </c>
      <c r="T68" s="80">
        <f t="shared" si="17"/>
        <v>-4.0816326530612242E-2</v>
      </c>
      <c r="U68" s="81">
        <f t="shared" si="18"/>
        <v>9.0000000000000019E-6</v>
      </c>
      <c r="V68" s="83">
        <f t="shared" si="19"/>
        <v>-5.0000000000000044E-3</v>
      </c>
    </row>
    <row r="69" spans="1:22">
      <c r="A69" s="75">
        <v>58</v>
      </c>
      <c r="B69" s="125" t="s">
        <v>107</v>
      </c>
      <c r="C69" s="126" t="s">
        <v>108</v>
      </c>
      <c r="D69" s="2">
        <v>1195424264.4000001</v>
      </c>
      <c r="E69" s="3">
        <f t="shared" si="20"/>
        <v>4.2827480036514692E-3</v>
      </c>
      <c r="F69" s="7">
        <v>1000</v>
      </c>
      <c r="G69" s="7">
        <v>1000</v>
      </c>
      <c r="H69" s="60">
        <v>288</v>
      </c>
      <c r="I69" s="5">
        <v>2.9180425534952798E-4</v>
      </c>
      <c r="J69" s="5">
        <v>0.14699999999999999</v>
      </c>
      <c r="K69" s="2">
        <v>1207804113.5700002</v>
      </c>
      <c r="L69" s="3">
        <f t="shared" si="14"/>
        <v>4.3322275288966341E-3</v>
      </c>
      <c r="M69" s="7">
        <v>1000</v>
      </c>
      <c r="N69" s="7">
        <v>1000</v>
      </c>
      <c r="O69" s="60">
        <v>291</v>
      </c>
      <c r="P69" s="5">
        <v>1.0356029686425799E-4</v>
      </c>
      <c r="Q69" s="5">
        <v>0.15240000000000001</v>
      </c>
      <c r="R69" s="80">
        <f t="shared" si="15"/>
        <v>1.0356029686425759E-2</v>
      </c>
      <c r="S69" s="80">
        <f t="shared" si="16"/>
        <v>0</v>
      </c>
      <c r="T69" s="80">
        <f t="shared" si="17"/>
        <v>1.0416666666666666E-2</v>
      </c>
      <c r="U69" s="81">
        <f t="shared" si="18"/>
        <v>-1.8824395848526999E-4</v>
      </c>
      <c r="V69" s="83">
        <f t="shared" si="19"/>
        <v>5.4000000000000159E-3</v>
      </c>
    </row>
    <row r="70" spans="1:22">
      <c r="A70" s="75">
        <v>59</v>
      </c>
      <c r="B70" s="125" t="s">
        <v>109</v>
      </c>
      <c r="C70" s="126" t="s">
        <v>64</v>
      </c>
      <c r="D70" s="2">
        <v>214892737.16</v>
      </c>
      <c r="E70" s="3">
        <f t="shared" si="20"/>
        <v>7.6987850128097982E-4</v>
      </c>
      <c r="F70" s="7">
        <v>1043.58</v>
      </c>
      <c r="G70" s="7">
        <v>1049.5</v>
      </c>
      <c r="H70" s="60">
        <v>78</v>
      </c>
      <c r="I70" s="5">
        <v>0</v>
      </c>
      <c r="J70" s="5">
        <v>1.2999999999999999E-2</v>
      </c>
      <c r="K70" s="2">
        <v>214892737.16</v>
      </c>
      <c r="L70" s="3">
        <f t="shared" si="14"/>
        <v>7.7079074431430565E-4</v>
      </c>
      <c r="M70" s="7">
        <v>1046.74</v>
      </c>
      <c r="N70" s="7">
        <v>1053.6300000000001</v>
      </c>
      <c r="O70" s="60">
        <v>78</v>
      </c>
      <c r="P70" s="5">
        <v>3.3999999999999998E-3</v>
      </c>
      <c r="Q70" s="5">
        <v>-7.9000000000000008E-3</v>
      </c>
      <c r="R70" s="80">
        <f t="shared" si="15"/>
        <v>0</v>
      </c>
      <c r="S70" s="80">
        <f t="shared" si="16"/>
        <v>3.9352072415436961E-3</v>
      </c>
      <c r="T70" s="80">
        <f t="shared" si="17"/>
        <v>0</v>
      </c>
      <c r="U70" s="81">
        <f t="shared" si="18"/>
        <v>3.3999999999999998E-3</v>
      </c>
      <c r="V70" s="83">
        <f t="shared" si="19"/>
        <v>-2.0900000000000002E-2</v>
      </c>
    </row>
    <row r="71" spans="1:22">
      <c r="A71" s="84">
        <v>60</v>
      </c>
      <c r="B71" s="147" t="s">
        <v>110</v>
      </c>
      <c r="C71" s="148" t="s">
        <v>67</v>
      </c>
      <c r="D71" s="2">
        <v>867088015.80999994</v>
      </c>
      <c r="E71" s="3">
        <f t="shared" si="20"/>
        <v>3.1064447822332407E-3</v>
      </c>
      <c r="F71" s="15">
        <v>1.1258999999999999</v>
      </c>
      <c r="G71" s="15">
        <v>1.1258999999999999</v>
      </c>
      <c r="H71" s="60">
        <v>36</v>
      </c>
      <c r="I71" s="5">
        <v>2.2253872173757759E-3</v>
      </c>
      <c r="J71" s="5">
        <v>7.0225730074662707E-2</v>
      </c>
      <c r="K71" s="2">
        <v>868838020.53999996</v>
      </c>
      <c r="L71" s="3">
        <f t="shared" si="14"/>
        <v>3.1164026918321123E-3</v>
      </c>
      <c r="M71" s="15">
        <v>1.1284000000000001</v>
      </c>
      <c r="N71" s="15">
        <v>1.1284000000000001</v>
      </c>
      <c r="O71" s="60">
        <v>35</v>
      </c>
      <c r="P71" s="5">
        <v>2.2204458655299486E-3</v>
      </c>
      <c r="Q71" s="5">
        <v>7.911958231649252E-2</v>
      </c>
      <c r="R71" s="80">
        <f t="shared" si="15"/>
        <v>2.0182550076709715E-3</v>
      </c>
      <c r="S71" s="80">
        <f t="shared" si="16"/>
        <v>2.2204458655299486E-3</v>
      </c>
      <c r="T71" s="80">
        <f t="shared" si="17"/>
        <v>-2.7777777777777776E-2</v>
      </c>
      <c r="U71" s="81">
        <f t="shared" si="18"/>
        <v>-4.9413518458272729E-6</v>
      </c>
      <c r="V71" s="83">
        <f t="shared" si="19"/>
        <v>8.8938522418298138E-3</v>
      </c>
    </row>
    <row r="72" spans="1:22">
      <c r="A72" s="75">
        <v>61</v>
      </c>
      <c r="B72" s="125" t="s">
        <v>111</v>
      </c>
      <c r="C72" s="126" t="s">
        <v>27</v>
      </c>
      <c r="D72" s="2">
        <v>61484957399.279999</v>
      </c>
      <c r="E72" s="3">
        <f t="shared" si="20"/>
        <v>0.22027709023333925</v>
      </c>
      <c r="F72" s="15">
        <v>1581.14</v>
      </c>
      <c r="G72" s="2">
        <v>1581.14</v>
      </c>
      <c r="H72" s="60">
        <v>2461</v>
      </c>
      <c r="I72" s="5">
        <v>2.2000000000000001E-3</v>
      </c>
      <c r="J72" s="5">
        <v>2.18E-2</v>
      </c>
      <c r="K72" s="2">
        <v>61064417430.639999</v>
      </c>
      <c r="L72" s="3">
        <f t="shared" si="14"/>
        <v>0.21902968143328974</v>
      </c>
      <c r="M72" s="15">
        <v>1584.65</v>
      </c>
      <c r="N72" s="2">
        <v>1584.65</v>
      </c>
      <c r="O72" s="60">
        <v>2459</v>
      </c>
      <c r="P72" s="5">
        <v>2.2000000000000001E-3</v>
      </c>
      <c r="Q72" s="5">
        <v>2.41E-2</v>
      </c>
      <c r="R72" s="80">
        <f t="shared" si="15"/>
        <v>-6.8397212330982924E-3</v>
      </c>
      <c r="S72" s="80">
        <f t="shared" si="16"/>
        <v>2.2199172748776142E-3</v>
      </c>
      <c r="T72" s="80">
        <f t="shared" si="17"/>
        <v>-8.1267777326290123E-4</v>
      </c>
      <c r="U72" s="81">
        <f t="shared" si="18"/>
        <v>0</v>
      </c>
      <c r="V72" s="83">
        <f t="shared" si="19"/>
        <v>2.3E-3</v>
      </c>
    </row>
    <row r="73" spans="1:22">
      <c r="A73" s="84">
        <v>62</v>
      </c>
      <c r="B73" s="147" t="s">
        <v>112</v>
      </c>
      <c r="C73" s="148" t="s">
        <v>72</v>
      </c>
      <c r="D73" s="2">
        <v>25502306.59</v>
      </c>
      <c r="E73" s="3">
        <f t="shared" si="20"/>
        <v>9.1365012313556469E-5</v>
      </c>
      <c r="F73" s="2">
        <v>0.77780000000000005</v>
      </c>
      <c r="G73" s="2">
        <v>0.77780000000000005</v>
      </c>
      <c r="H73" s="60">
        <v>746</v>
      </c>
      <c r="I73" s="5">
        <v>1.8E-3</v>
      </c>
      <c r="J73" s="5">
        <v>1.7500000000000002E-2</v>
      </c>
      <c r="K73" s="2">
        <v>25550409.539999999</v>
      </c>
      <c r="L73" s="3">
        <f t="shared" si="14"/>
        <v>9.1645811055068871E-5</v>
      </c>
      <c r="M73" s="2">
        <v>0.7792</v>
      </c>
      <c r="N73" s="2">
        <v>0.7792</v>
      </c>
      <c r="O73" s="60">
        <v>746</v>
      </c>
      <c r="P73" s="5">
        <v>1.8E-3</v>
      </c>
      <c r="Q73" s="5">
        <v>1.9400000000000001E-2</v>
      </c>
      <c r="R73" s="80">
        <f t="shared" si="15"/>
        <v>1.8862195790110001E-3</v>
      </c>
      <c r="S73" s="80">
        <f t="shared" si="16"/>
        <v>1.7999485728978615E-3</v>
      </c>
      <c r="T73" s="80">
        <f t="shared" si="17"/>
        <v>0</v>
      </c>
      <c r="U73" s="81">
        <f t="shared" si="18"/>
        <v>0</v>
      </c>
      <c r="V73" s="83">
        <f t="shared" si="19"/>
        <v>1.8999999999999989E-3</v>
      </c>
    </row>
    <row r="74" spans="1:22">
      <c r="A74" s="75">
        <v>63</v>
      </c>
      <c r="B74" s="125" t="s">
        <v>251</v>
      </c>
      <c r="C74" s="126" t="s">
        <v>32</v>
      </c>
      <c r="D74" s="2">
        <v>8744686073.8743</v>
      </c>
      <c r="E74" s="3">
        <f t="shared" si="20"/>
        <v>3.1328866194832744E-2</v>
      </c>
      <c r="F74" s="14">
        <v>1</v>
      </c>
      <c r="G74" s="14">
        <v>1</v>
      </c>
      <c r="H74" s="60">
        <v>5540</v>
      </c>
      <c r="I74" s="5">
        <v>0.06</v>
      </c>
      <c r="J74" s="5">
        <v>0.06</v>
      </c>
      <c r="K74" s="2">
        <v>8741481606.1299992</v>
      </c>
      <c r="L74" s="3">
        <f t="shared" si="14"/>
        <v>3.1354494352138274E-2</v>
      </c>
      <c r="M74" s="14">
        <v>1</v>
      </c>
      <c r="N74" s="14">
        <v>1</v>
      </c>
      <c r="O74" s="60">
        <v>5540</v>
      </c>
      <c r="P74" s="5">
        <v>0.06</v>
      </c>
      <c r="Q74" s="5">
        <v>0.06</v>
      </c>
      <c r="R74" s="80">
        <f>((K74-D74)/D74)</f>
        <v>-3.6644743072876428E-4</v>
      </c>
      <c r="S74" s="80">
        <f>((N74-G74)/G74)</f>
        <v>0</v>
      </c>
      <c r="T74" s="80">
        <f>((O74-H74)/H74)</f>
        <v>0</v>
      </c>
      <c r="U74" s="81">
        <f>P74-I74</f>
        <v>0</v>
      </c>
      <c r="V74" s="83">
        <f>Q74-J74</f>
        <v>0</v>
      </c>
    </row>
    <row r="75" spans="1:22">
      <c r="A75" s="84">
        <v>64</v>
      </c>
      <c r="B75" s="147" t="s">
        <v>113</v>
      </c>
      <c r="C75" s="148" t="s">
        <v>114</v>
      </c>
      <c r="D75" s="2">
        <v>1098707422.29</v>
      </c>
      <c r="E75" s="3">
        <f t="shared" si="20"/>
        <v>3.9362485433331049E-3</v>
      </c>
      <c r="F75" s="2">
        <v>216.139779</v>
      </c>
      <c r="G75" s="2">
        <v>217.65087199999999</v>
      </c>
      <c r="H75" s="60">
        <v>488</v>
      </c>
      <c r="I75" s="5">
        <v>1.2999999999999999E-3</v>
      </c>
      <c r="J75" s="5">
        <v>2.3999999999999998E-3</v>
      </c>
      <c r="K75" s="2">
        <v>1103337944.3900001</v>
      </c>
      <c r="L75" s="3">
        <f t="shared" si="14"/>
        <v>3.9575217228183038E-3</v>
      </c>
      <c r="M75" s="2">
        <v>216.61648600000001</v>
      </c>
      <c r="N75" s="2">
        <v>218.20803699999999</v>
      </c>
      <c r="O75" s="60">
        <v>488</v>
      </c>
      <c r="P75" s="5">
        <v>1.4E-3</v>
      </c>
      <c r="Q75" s="5">
        <v>5.1000000000000004E-3</v>
      </c>
      <c r="R75" s="80">
        <f t="shared" si="15"/>
        <v>4.2145179017257358E-3</v>
      </c>
      <c r="S75" s="80">
        <f t="shared" si="16"/>
        <v>2.5599024478064011E-3</v>
      </c>
      <c r="T75" s="80">
        <f t="shared" si="17"/>
        <v>0</v>
      </c>
      <c r="U75" s="81">
        <f t="shared" si="18"/>
        <v>1.0000000000000005E-4</v>
      </c>
      <c r="V75" s="83">
        <f t="shared" si="19"/>
        <v>2.7000000000000006E-3</v>
      </c>
    </row>
    <row r="76" spans="1:22">
      <c r="A76" s="75">
        <v>65</v>
      </c>
      <c r="B76" s="125" t="s">
        <v>115</v>
      </c>
      <c r="C76" s="126" t="s">
        <v>34</v>
      </c>
      <c r="D76" s="2">
        <v>1094655285.1199999</v>
      </c>
      <c r="E76" s="3">
        <f t="shared" si="20"/>
        <v>3.9217312854087395E-3</v>
      </c>
      <c r="F76" s="14">
        <v>3.37</v>
      </c>
      <c r="G76" s="14">
        <v>3.37</v>
      </c>
      <c r="H76" s="61">
        <v>773</v>
      </c>
      <c r="I76" s="12">
        <v>1.1999999999999999E-3</v>
      </c>
      <c r="J76" s="12">
        <v>-0.312</v>
      </c>
      <c r="K76" s="2">
        <v>1096208714.47</v>
      </c>
      <c r="L76" s="3">
        <f t="shared" si="14"/>
        <v>3.9319501539088666E-3</v>
      </c>
      <c r="M76" s="14">
        <v>3.38</v>
      </c>
      <c r="N76" s="14">
        <v>3.38</v>
      </c>
      <c r="O76" s="61">
        <v>773</v>
      </c>
      <c r="P76" s="12">
        <v>1.4E-3</v>
      </c>
      <c r="Q76" s="12">
        <v>-0.30480000000000002</v>
      </c>
      <c r="R76" s="80">
        <f t="shared" si="15"/>
        <v>1.419103685988097E-3</v>
      </c>
      <c r="S76" s="80">
        <f t="shared" si="16"/>
        <v>2.9673590504450406E-3</v>
      </c>
      <c r="T76" s="80">
        <f t="shared" si="17"/>
        <v>0</v>
      </c>
      <c r="U76" s="81">
        <f t="shared" si="18"/>
        <v>2.0000000000000009E-4</v>
      </c>
      <c r="V76" s="83">
        <f t="shared" si="19"/>
        <v>7.1999999999999842E-3</v>
      </c>
    </row>
    <row r="77" spans="1:22">
      <c r="A77" s="84">
        <v>66</v>
      </c>
      <c r="B77" s="147" t="s">
        <v>258</v>
      </c>
      <c r="C77" s="148" t="s">
        <v>36</v>
      </c>
      <c r="D77" s="2">
        <v>509949599.82999998</v>
      </c>
      <c r="E77" s="3">
        <f t="shared" si="20"/>
        <v>1.8269544091368852E-3</v>
      </c>
      <c r="F77" s="14">
        <v>103.9123</v>
      </c>
      <c r="G77" s="14">
        <v>103.9123</v>
      </c>
      <c r="H77" s="61">
        <v>104</v>
      </c>
      <c r="I77" s="12">
        <v>0.13200000000000001</v>
      </c>
      <c r="J77" s="12">
        <v>0.15509999999999999</v>
      </c>
      <c r="K77" s="2">
        <v>639100008.20029998</v>
      </c>
      <c r="L77" s="3">
        <f t="shared" si="14"/>
        <v>2.2923639836427319E-3</v>
      </c>
      <c r="M77" s="14">
        <v>104.20780000000001</v>
      </c>
      <c r="N77" s="14">
        <v>104.20780000000001</v>
      </c>
      <c r="O77" s="61">
        <v>112</v>
      </c>
      <c r="P77" s="12">
        <v>0.14460000000000001</v>
      </c>
      <c r="Q77" s="12">
        <v>0.16700000000000001</v>
      </c>
      <c r="R77" s="80">
        <f t="shared" ref="R77" si="21">((K77-D77)/D77)</f>
        <v>0.25326112308619203</v>
      </c>
      <c r="S77" s="80">
        <f t="shared" ref="S77" si="22">((N77-G77)/G77)</f>
        <v>2.8437441958267125E-3</v>
      </c>
      <c r="T77" s="80">
        <f t="shared" ref="T77" si="23">((O77-H77)/H77)</f>
        <v>7.6923076923076927E-2</v>
      </c>
      <c r="U77" s="81">
        <f t="shared" ref="U77" si="24">P77-I77</f>
        <v>1.26E-2</v>
      </c>
      <c r="V77" s="83">
        <f t="shared" ref="V77" si="25">Q77-J77</f>
        <v>1.1900000000000022E-2</v>
      </c>
    </row>
    <row r="78" spans="1:22">
      <c r="A78" s="75">
        <v>67</v>
      </c>
      <c r="B78" s="126" t="s">
        <v>116</v>
      </c>
      <c r="C78" s="127" t="s">
        <v>40</v>
      </c>
      <c r="D78" s="2">
        <v>2029847332.77</v>
      </c>
      <c r="E78" s="3">
        <f t="shared" si="20"/>
        <v>7.2721667704321487E-3</v>
      </c>
      <c r="F78" s="14">
        <v>100.35</v>
      </c>
      <c r="G78" s="14">
        <v>100.35</v>
      </c>
      <c r="H78" s="60">
        <v>136</v>
      </c>
      <c r="I78" s="5">
        <v>8.8900000000000007E-2</v>
      </c>
      <c r="J78" s="5">
        <v>9.69E-2</v>
      </c>
      <c r="K78" s="2">
        <v>2290502044.27</v>
      </c>
      <c r="L78" s="3">
        <f t="shared" si="14"/>
        <v>8.2157163563969012E-3</v>
      </c>
      <c r="M78" s="14">
        <v>103.43</v>
      </c>
      <c r="N78" s="14">
        <v>103.43</v>
      </c>
      <c r="O78" s="60">
        <v>137</v>
      </c>
      <c r="P78" s="5">
        <v>7.8399999999999997E-2</v>
      </c>
      <c r="Q78" s="5">
        <v>0.1108</v>
      </c>
      <c r="R78" s="80">
        <f t="shared" si="15"/>
        <v>0.1284109929313263</v>
      </c>
      <c r="S78" s="80">
        <f t="shared" si="16"/>
        <v>3.069257598405593E-2</v>
      </c>
      <c r="T78" s="80">
        <f t="shared" si="17"/>
        <v>7.3529411764705881E-3</v>
      </c>
      <c r="U78" s="81">
        <f t="shared" si="18"/>
        <v>-1.0500000000000009E-2</v>
      </c>
      <c r="V78" s="83">
        <f t="shared" si="19"/>
        <v>1.3899999999999996E-2</v>
      </c>
    </row>
    <row r="79" spans="1:22">
      <c r="A79" s="75">
        <v>68</v>
      </c>
      <c r="B79" s="125" t="s">
        <v>117</v>
      </c>
      <c r="C79" s="126" t="s">
        <v>17</v>
      </c>
      <c r="D79" s="2">
        <v>1227399693.3099999</v>
      </c>
      <c r="E79" s="3">
        <f t="shared" si="20"/>
        <v>4.3973037378860708E-3</v>
      </c>
      <c r="F79" s="14">
        <v>333.45729999999998</v>
      </c>
      <c r="G79" s="14">
        <v>333.45729999999998</v>
      </c>
      <c r="H79" s="60">
        <v>104</v>
      </c>
      <c r="I79" s="5">
        <v>2.0999999999999999E-3</v>
      </c>
      <c r="J79" s="5">
        <v>2.0199999999999999E-2</v>
      </c>
      <c r="K79" s="2">
        <v>1223005683.8199999</v>
      </c>
      <c r="L79" s="3">
        <f t="shared" si="14"/>
        <v>4.3867534742710436E-3</v>
      </c>
      <c r="M79" s="14">
        <v>332.28210000000001</v>
      </c>
      <c r="N79" s="14">
        <v>332.28210000000001</v>
      </c>
      <c r="O79" s="60">
        <v>104</v>
      </c>
      <c r="P79" s="5">
        <v>-3.5000000000000001E-3</v>
      </c>
      <c r="Q79" s="5">
        <v>1.67E-2</v>
      </c>
      <c r="R79" s="80">
        <f t="shared" si="15"/>
        <v>-3.5799336711177018E-3</v>
      </c>
      <c r="S79" s="80">
        <f t="shared" si="16"/>
        <v>-3.5242893168029648E-3</v>
      </c>
      <c r="T79" s="80">
        <f t="shared" si="17"/>
        <v>0</v>
      </c>
      <c r="U79" s="81">
        <f t="shared" si="18"/>
        <v>-5.5999999999999999E-3</v>
      </c>
      <c r="V79" s="83">
        <f t="shared" si="19"/>
        <v>-3.4999999999999996E-3</v>
      </c>
    </row>
    <row r="80" spans="1:22">
      <c r="A80" s="84">
        <v>69</v>
      </c>
      <c r="B80" s="147" t="s">
        <v>252</v>
      </c>
      <c r="C80" s="148" t="s">
        <v>78</v>
      </c>
      <c r="D80" s="9">
        <v>1448079233.9000001</v>
      </c>
      <c r="E80" s="3">
        <f>(D80/$K$56)</f>
        <v>1.5685593998325492E-3</v>
      </c>
      <c r="F80" s="14">
        <v>102.68</v>
      </c>
      <c r="G80" s="14">
        <v>102.68</v>
      </c>
      <c r="H80" s="60">
        <v>324</v>
      </c>
      <c r="I80" s="5">
        <v>3.3E-3</v>
      </c>
      <c r="J80" s="5">
        <v>2.5000000000000001E-3</v>
      </c>
      <c r="K80" s="9">
        <v>1508346784.5799999</v>
      </c>
      <c r="L80" s="3">
        <f>(K80/$K$56)</f>
        <v>1.633841209633384E-3</v>
      </c>
      <c r="M80" s="14">
        <v>102.95</v>
      </c>
      <c r="N80" s="14">
        <v>102.95</v>
      </c>
      <c r="O80" s="60">
        <v>332</v>
      </c>
      <c r="P80" s="5">
        <v>2.5999999999999999E-3</v>
      </c>
      <c r="Q80" s="5">
        <v>2.7E-2</v>
      </c>
      <c r="R80" s="80">
        <f t="shared" si="15"/>
        <v>4.1618959286976225E-2</v>
      </c>
      <c r="S80" s="80">
        <f t="shared" si="16"/>
        <v>2.6295286326450721E-3</v>
      </c>
      <c r="T80" s="80">
        <f t="shared" si="17"/>
        <v>2.4691358024691357E-2</v>
      </c>
      <c r="U80" s="81">
        <f t="shared" si="18"/>
        <v>-7.000000000000001E-4</v>
      </c>
      <c r="V80" s="83">
        <f t="shared" si="19"/>
        <v>2.4500000000000001E-2</v>
      </c>
    </row>
    <row r="81" spans="1:28">
      <c r="A81" s="75">
        <v>70</v>
      </c>
      <c r="B81" s="125" t="s">
        <v>118</v>
      </c>
      <c r="C81" s="126" t="s">
        <v>38</v>
      </c>
      <c r="D81" s="2">
        <v>56586256.530000001</v>
      </c>
      <c r="E81" s="3">
        <f t="shared" ref="E81:E92" si="26">(D81/$D$93)</f>
        <v>2.0272691830427545E-4</v>
      </c>
      <c r="F81" s="14">
        <v>12.28</v>
      </c>
      <c r="G81" s="2">
        <v>12.57</v>
      </c>
      <c r="H81" s="60">
        <v>57</v>
      </c>
      <c r="I81" s="5">
        <v>1.8E-3</v>
      </c>
      <c r="J81" s="5">
        <v>2.9085999999999999</v>
      </c>
      <c r="K81" s="2">
        <v>103247463.7</v>
      </c>
      <c r="L81" s="3">
        <f t="shared" ref="L81:L92" si="27">(K81/$K$93)</f>
        <v>3.7033447684476067E-4</v>
      </c>
      <c r="M81" s="14">
        <v>22.412374</v>
      </c>
      <c r="N81" s="2">
        <v>22.691745999999998</v>
      </c>
      <c r="O81" s="60">
        <v>57</v>
      </c>
      <c r="P81" s="5">
        <v>0.44391000000000003</v>
      </c>
      <c r="Q81" s="5">
        <v>5.8613</v>
      </c>
      <c r="R81" s="80">
        <f t="shared" si="15"/>
        <v>0.82460318160933488</v>
      </c>
      <c r="S81" s="80">
        <f t="shared" si="16"/>
        <v>0.80523038981702455</v>
      </c>
      <c r="T81" s="80">
        <f t="shared" si="17"/>
        <v>0</v>
      </c>
      <c r="U81" s="81">
        <f t="shared" si="18"/>
        <v>0.44211</v>
      </c>
      <c r="V81" s="83">
        <f t="shared" si="19"/>
        <v>2.9527000000000001</v>
      </c>
    </row>
    <row r="82" spans="1:28">
      <c r="A82" s="84">
        <v>71</v>
      </c>
      <c r="B82" s="147" t="s">
        <v>236</v>
      </c>
      <c r="C82" s="148" t="s">
        <v>237</v>
      </c>
      <c r="D82" s="2">
        <v>265254225.37</v>
      </c>
      <c r="E82" s="3">
        <f t="shared" si="26"/>
        <v>9.5030445507450609E-4</v>
      </c>
      <c r="F82" s="2">
        <v>116.34</v>
      </c>
      <c r="G82" s="2">
        <v>116.34</v>
      </c>
      <c r="H82" s="60">
        <v>79</v>
      </c>
      <c r="I82" s="5">
        <v>0.12770000000000001</v>
      </c>
      <c r="J82" s="5">
        <v>0.2366</v>
      </c>
      <c r="K82" s="2">
        <v>265282414.19</v>
      </c>
      <c r="L82" s="3">
        <f t="shared" si="27"/>
        <v>9.5153159752793775E-4</v>
      </c>
      <c r="M82" s="2">
        <v>116.48</v>
      </c>
      <c r="N82" s="2">
        <v>116.48</v>
      </c>
      <c r="O82" s="60">
        <v>79</v>
      </c>
      <c r="P82" s="5">
        <v>4.3799999999999999E-2</v>
      </c>
      <c r="Q82" s="5">
        <v>0.21959999999999999</v>
      </c>
      <c r="R82" s="80">
        <f>((K82-D82)/D82)</f>
        <v>1.0627095557355436E-4</v>
      </c>
      <c r="S82" s="80">
        <f>((N82-G82)/G82)</f>
        <v>1.2033694344163706E-3</v>
      </c>
      <c r="T82" s="80">
        <f>((O82-H82)/H82)</f>
        <v>0</v>
      </c>
      <c r="U82" s="81">
        <f t="shared" si="18"/>
        <v>-8.3900000000000002E-2</v>
      </c>
      <c r="V82" s="83">
        <f t="shared" si="19"/>
        <v>-1.7000000000000015E-2</v>
      </c>
    </row>
    <row r="83" spans="1:28">
      <c r="A83" s="75">
        <v>72</v>
      </c>
      <c r="B83" s="125" t="s">
        <v>119</v>
      </c>
      <c r="C83" s="126" t="s">
        <v>120</v>
      </c>
      <c r="D83" s="2">
        <v>7245305003.2791948</v>
      </c>
      <c r="E83" s="3">
        <f t="shared" si="26"/>
        <v>2.595715718905393E-2</v>
      </c>
      <c r="F83" s="14">
        <v>1.0209203955424841</v>
      </c>
      <c r="G83" s="14">
        <v>1.0209203955424841</v>
      </c>
      <c r="H83" s="60">
        <v>4024</v>
      </c>
      <c r="I83" s="5">
        <v>0.125</v>
      </c>
      <c r="J83" s="5">
        <v>0.125</v>
      </c>
      <c r="K83" s="2">
        <v>7263229380.8493824</v>
      </c>
      <c r="L83" s="3">
        <f t="shared" si="27"/>
        <v>2.6052206577936023E-2</v>
      </c>
      <c r="M83" s="14">
        <v>1.0209203955424841</v>
      </c>
      <c r="N83" s="14">
        <v>1.0209203955424841</v>
      </c>
      <c r="O83" s="60">
        <v>4043</v>
      </c>
      <c r="P83" s="5">
        <v>0.12540000000000001</v>
      </c>
      <c r="Q83" s="5">
        <v>0.12540000000000001</v>
      </c>
      <c r="R83" s="80">
        <f t="shared" si="15"/>
        <v>2.4739300225559958E-3</v>
      </c>
      <c r="S83" s="80">
        <f t="shared" si="16"/>
        <v>0</v>
      </c>
      <c r="T83" s="80">
        <f t="shared" si="17"/>
        <v>4.7216699801192839E-3</v>
      </c>
      <c r="U83" s="81">
        <f t="shared" si="18"/>
        <v>4.0000000000001146E-4</v>
      </c>
      <c r="V83" s="83">
        <f t="shared" si="19"/>
        <v>4.0000000000001146E-4</v>
      </c>
    </row>
    <row r="84" spans="1:28" ht="14.25" customHeight="1">
      <c r="A84" s="84">
        <v>73</v>
      </c>
      <c r="B84" s="147" t="s">
        <v>121</v>
      </c>
      <c r="C84" s="148" t="s">
        <v>42</v>
      </c>
      <c r="D84" s="2">
        <v>20386037456.889999</v>
      </c>
      <c r="E84" s="3">
        <f t="shared" si="26"/>
        <v>7.303537649428668E-2</v>
      </c>
      <c r="F84" s="2">
        <v>5095.24</v>
      </c>
      <c r="G84" s="2">
        <v>5095.24</v>
      </c>
      <c r="H84" s="60">
        <v>410</v>
      </c>
      <c r="I84" s="5">
        <v>1.5E-3</v>
      </c>
      <c r="J84" s="5">
        <v>1.3899999999999999E-2</v>
      </c>
      <c r="K84" s="2">
        <v>20227713566.349998</v>
      </c>
      <c r="L84" s="3">
        <f t="shared" si="27"/>
        <v>7.2554031381595038E-2</v>
      </c>
      <c r="M84" s="2">
        <v>5105.95</v>
      </c>
      <c r="N84" s="2">
        <v>5105.95</v>
      </c>
      <c r="O84" s="60">
        <v>410</v>
      </c>
      <c r="P84" s="5">
        <v>1.5E-3</v>
      </c>
      <c r="Q84" s="5">
        <v>1.8200000000000001E-2</v>
      </c>
      <c r="R84" s="80">
        <f t="shared" si="15"/>
        <v>-7.7662905738697724E-3</v>
      </c>
      <c r="S84" s="80">
        <f t="shared" si="16"/>
        <v>2.1019618310423134E-3</v>
      </c>
      <c r="T84" s="80">
        <f t="shared" si="17"/>
        <v>0</v>
      </c>
      <c r="U84" s="81">
        <f t="shared" si="18"/>
        <v>0</v>
      </c>
      <c r="V84" s="83">
        <f t="shared" si="19"/>
        <v>4.3000000000000017E-3</v>
      </c>
    </row>
    <row r="85" spans="1:28">
      <c r="A85" s="84">
        <v>74</v>
      </c>
      <c r="B85" s="147" t="s">
        <v>122</v>
      </c>
      <c r="C85" s="148" t="s">
        <v>42</v>
      </c>
      <c r="D85" s="2">
        <v>35397173605.720001</v>
      </c>
      <c r="E85" s="3">
        <f t="shared" si="26"/>
        <v>0.12681453698858164</v>
      </c>
      <c r="F85" s="14">
        <v>257.63</v>
      </c>
      <c r="G85" s="14">
        <v>257.63</v>
      </c>
      <c r="H85" s="60">
        <v>6646</v>
      </c>
      <c r="I85" s="5">
        <v>2.0000000000000001E-4</v>
      </c>
      <c r="J85" s="5">
        <v>7.1000000000000004E-3</v>
      </c>
      <c r="K85" s="2">
        <v>35173344723.260002</v>
      </c>
      <c r="L85" s="3">
        <f t="shared" si="27"/>
        <v>0.12616195836846417</v>
      </c>
      <c r="M85" s="14">
        <v>257.67</v>
      </c>
      <c r="N85" s="14">
        <v>257.67</v>
      </c>
      <c r="O85" s="60">
        <v>6642</v>
      </c>
      <c r="P85" s="5">
        <v>1E-4</v>
      </c>
      <c r="Q85" s="5">
        <v>7.1999999999999998E-3</v>
      </c>
      <c r="R85" s="80">
        <f t="shared" si="15"/>
        <v>-6.3233546540515167E-3</v>
      </c>
      <c r="S85" s="80">
        <f t="shared" si="16"/>
        <v>1.5526142141839252E-4</v>
      </c>
      <c r="T85" s="80">
        <f t="shared" si="17"/>
        <v>-6.0186578393018361E-4</v>
      </c>
      <c r="U85" s="81">
        <f t="shared" si="18"/>
        <v>-1E-4</v>
      </c>
      <c r="V85" s="83">
        <f t="shared" si="19"/>
        <v>9.9999999999999395E-5</v>
      </c>
    </row>
    <row r="86" spans="1:28" ht="12.75" customHeight="1">
      <c r="A86" s="84">
        <v>75</v>
      </c>
      <c r="B86" s="147" t="s">
        <v>123</v>
      </c>
      <c r="C86" s="148" t="s">
        <v>42</v>
      </c>
      <c r="D86" s="2">
        <v>310317841.61000001</v>
      </c>
      <c r="E86" s="3">
        <f t="shared" si="26"/>
        <v>1.1117501595299391E-3</v>
      </c>
      <c r="F86" s="2">
        <v>5489.53</v>
      </c>
      <c r="G86" s="7">
        <v>5514.53</v>
      </c>
      <c r="H86" s="60">
        <v>16</v>
      </c>
      <c r="I86" s="5">
        <v>-4.4999999999999997E-3</v>
      </c>
      <c r="J86" s="5">
        <v>3.8699999999999998E-2</v>
      </c>
      <c r="K86" s="2">
        <v>318803888.64999998</v>
      </c>
      <c r="L86" s="3">
        <f t="shared" si="27"/>
        <v>1.1435057781402243E-3</v>
      </c>
      <c r="M86" s="2">
        <v>5638.63</v>
      </c>
      <c r="N86" s="7">
        <v>5666.04</v>
      </c>
      <c r="O86" s="60">
        <v>16</v>
      </c>
      <c r="P86" s="5">
        <v>2.1000000000000001E-2</v>
      </c>
      <c r="Q86" s="5">
        <v>6.0499999999999998E-2</v>
      </c>
      <c r="R86" s="80">
        <f t="shared" si="15"/>
        <v>2.7346307244122372E-2</v>
      </c>
      <c r="S86" s="80">
        <f t="shared" si="16"/>
        <v>2.7474689592766787E-2</v>
      </c>
      <c r="T86" s="80">
        <f t="shared" si="17"/>
        <v>0</v>
      </c>
      <c r="U86" s="81">
        <f t="shared" si="18"/>
        <v>2.5500000000000002E-2</v>
      </c>
      <c r="V86" s="83">
        <f t="shared" si="19"/>
        <v>2.18E-2</v>
      </c>
    </row>
    <row r="87" spans="1:28" ht="12.75" customHeight="1">
      <c r="A87" s="84">
        <v>76</v>
      </c>
      <c r="B87" s="147" t="s">
        <v>124</v>
      </c>
      <c r="C87" s="148" t="s">
        <v>42</v>
      </c>
      <c r="D87" s="2">
        <v>16138838336.25</v>
      </c>
      <c r="E87" s="3">
        <f t="shared" si="26"/>
        <v>5.7819286193358348E-2</v>
      </c>
      <c r="F87" s="14">
        <v>128.13</v>
      </c>
      <c r="G87" s="14">
        <v>128.13</v>
      </c>
      <c r="H87" s="60">
        <v>4304</v>
      </c>
      <c r="I87" s="5">
        <v>2E-3</v>
      </c>
      <c r="J87" s="5">
        <v>1.7600000000000001E-2</v>
      </c>
      <c r="K87" s="2">
        <v>15991540742.09</v>
      </c>
      <c r="L87" s="3">
        <f t="shared" si="27"/>
        <v>5.7359461069875904E-2</v>
      </c>
      <c r="M87" s="14">
        <v>128.38</v>
      </c>
      <c r="N87" s="14">
        <v>128.38</v>
      </c>
      <c r="O87" s="60">
        <v>4308</v>
      </c>
      <c r="P87" s="5">
        <v>1.4E-3</v>
      </c>
      <c r="Q87" s="5">
        <v>1.9E-2</v>
      </c>
      <c r="R87" s="80">
        <f t="shared" si="15"/>
        <v>-9.1269018928797161E-3</v>
      </c>
      <c r="S87" s="80">
        <f t="shared" si="16"/>
        <v>1.9511433700148287E-3</v>
      </c>
      <c r="T87" s="80">
        <f t="shared" si="17"/>
        <v>9.2936802973977691E-4</v>
      </c>
      <c r="U87" s="81">
        <f t="shared" si="18"/>
        <v>-6.0000000000000006E-4</v>
      </c>
      <c r="V87" s="83">
        <f t="shared" si="19"/>
        <v>1.3999999999999985E-3</v>
      </c>
    </row>
    <row r="88" spans="1:28" ht="12.75" customHeight="1">
      <c r="A88" s="84">
        <v>77</v>
      </c>
      <c r="B88" s="147" t="s">
        <v>125</v>
      </c>
      <c r="C88" s="148" t="s">
        <v>42</v>
      </c>
      <c r="D88" s="2">
        <v>13138676079.85</v>
      </c>
      <c r="E88" s="3">
        <f t="shared" si="26"/>
        <v>4.7070852104414494E-2</v>
      </c>
      <c r="F88" s="14">
        <v>355.2</v>
      </c>
      <c r="G88" s="14">
        <v>355.43</v>
      </c>
      <c r="H88" s="60">
        <v>10247</v>
      </c>
      <c r="I88" s="5">
        <v>2.9999999999999997E-4</v>
      </c>
      <c r="J88" s="5">
        <v>5.8999999999999999E-3</v>
      </c>
      <c r="K88" s="2">
        <v>13169797394.209999</v>
      </c>
      <c r="L88" s="3">
        <f t="shared" si="27"/>
        <v>4.723825509465035E-2</v>
      </c>
      <c r="M88" s="14">
        <v>356.79</v>
      </c>
      <c r="N88" s="14">
        <v>357.04</v>
      </c>
      <c r="O88" s="60">
        <v>10246</v>
      </c>
      <c r="P88" s="5">
        <v>4.8999999999999998E-3</v>
      </c>
      <c r="Q88" s="5">
        <v>1.0800000000000001E-2</v>
      </c>
      <c r="R88" s="80">
        <f t="shared" si="15"/>
        <v>2.3686796272972734E-3</v>
      </c>
      <c r="S88" s="80">
        <f t="shared" si="16"/>
        <v>4.5297245589849301E-3</v>
      </c>
      <c r="T88" s="80">
        <f t="shared" si="17"/>
        <v>-9.7589538401483366E-5</v>
      </c>
      <c r="U88" s="81">
        <f t="shared" si="18"/>
        <v>4.5999999999999999E-3</v>
      </c>
      <c r="V88" s="83">
        <f t="shared" si="19"/>
        <v>4.9000000000000007E-3</v>
      </c>
    </row>
    <row r="89" spans="1:28">
      <c r="A89" s="75">
        <v>78</v>
      </c>
      <c r="B89" s="125" t="s">
        <v>126</v>
      </c>
      <c r="C89" s="126" t="s">
        <v>45</v>
      </c>
      <c r="D89" s="2">
        <v>95073734848.820007</v>
      </c>
      <c r="E89" s="3">
        <f t="shared" si="26"/>
        <v>0.34061283533327025</v>
      </c>
      <c r="F89" s="2">
        <v>1.9748000000000001</v>
      </c>
      <c r="G89" s="2">
        <v>1.9748000000000001</v>
      </c>
      <c r="H89" s="60">
        <v>6133</v>
      </c>
      <c r="I89" s="5">
        <v>5.7099999999999998E-2</v>
      </c>
      <c r="J89" s="5">
        <v>6.8699999999999997E-2</v>
      </c>
      <c r="K89" s="2">
        <v>94940348176.470001</v>
      </c>
      <c r="L89" s="3">
        <f t="shared" si="27"/>
        <v>0.34053799399425289</v>
      </c>
      <c r="M89" s="2">
        <v>1.9769000000000001</v>
      </c>
      <c r="N89" s="2">
        <v>1.9769000000000001</v>
      </c>
      <c r="O89" s="60">
        <v>6134</v>
      </c>
      <c r="P89" s="5">
        <v>5.6899999999999999E-2</v>
      </c>
      <c r="Q89" s="5">
        <v>6.7599999999999993E-2</v>
      </c>
      <c r="R89" s="80">
        <f t="shared" si="15"/>
        <v>-1.4029813024817928E-3</v>
      </c>
      <c r="S89" s="80">
        <f t="shared" si="16"/>
        <v>1.0633988251974836E-3</v>
      </c>
      <c r="T89" s="80">
        <f t="shared" si="17"/>
        <v>1.6305233980107615E-4</v>
      </c>
      <c r="U89" s="81">
        <f t="shared" si="18"/>
        <v>-1.9999999999999879E-4</v>
      </c>
      <c r="V89" s="83">
        <f t="shared" si="19"/>
        <v>-1.1000000000000038E-3</v>
      </c>
    </row>
    <row r="90" spans="1:28">
      <c r="A90" s="75">
        <v>79</v>
      </c>
      <c r="B90" s="125" t="s">
        <v>241</v>
      </c>
      <c r="C90" s="125" t="s">
        <v>242</v>
      </c>
      <c r="D90" s="2">
        <v>83358020.120000005</v>
      </c>
      <c r="E90" s="3">
        <f t="shared" si="26"/>
        <v>2.986399096026823E-4</v>
      </c>
      <c r="F90" s="2">
        <v>103.04252279996672</v>
      </c>
      <c r="G90" s="2">
        <v>103.04252279996672</v>
      </c>
      <c r="H90" s="60">
        <v>56</v>
      </c>
      <c r="I90" s="5">
        <v>1.4773397168924445E-3</v>
      </c>
      <c r="J90" s="5">
        <v>1.4208041417402839E-2</v>
      </c>
      <c r="K90" s="2">
        <v>83791705.75</v>
      </c>
      <c r="L90" s="3">
        <f t="shared" si="27"/>
        <v>3.0054934427271916E-4</v>
      </c>
      <c r="M90" s="2">
        <v>103.20698523518581</v>
      </c>
      <c r="N90" s="2">
        <v>103.20698523518581</v>
      </c>
      <c r="O90" s="60">
        <v>57</v>
      </c>
      <c r="P90" s="5">
        <v>1.6000000000000001E-3</v>
      </c>
      <c r="Q90" s="5">
        <v>1.5800000000000002E-2</v>
      </c>
      <c r="R90" s="80">
        <f>((K90-D90)/D90)</f>
        <v>5.2026863087159805E-3</v>
      </c>
      <c r="S90" s="80">
        <f>((N90-G90)/G90)</f>
        <v>1.5960637487337044E-3</v>
      </c>
      <c r="T90" s="80">
        <f>((O90-H90)/H90)</f>
        <v>1.7857142857142856E-2</v>
      </c>
      <c r="U90" s="81">
        <f>P90-I90</f>
        <v>1.2266028310755554E-4</v>
      </c>
      <c r="V90" s="83">
        <f>Q90-J90</f>
        <v>1.5919585825971624E-3</v>
      </c>
    </row>
    <row r="91" spans="1:28">
      <c r="A91" s="75">
        <v>80</v>
      </c>
      <c r="B91" s="125" t="s">
        <v>271</v>
      </c>
      <c r="C91" s="126" t="s">
        <v>269</v>
      </c>
      <c r="D91" s="2">
        <v>0</v>
      </c>
      <c r="E91" s="3">
        <f t="shared" si="26"/>
        <v>0</v>
      </c>
      <c r="F91" s="2">
        <v>0</v>
      </c>
      <c r="G91" s="2">
        <v>0</v>
      </c>
      <c r="H91" s="60">
        <v>0</v>
      </c>
      <c r="I91" s="5">
        <v>0</v>
      </c>
      <c r="J91" s="5">
        <v>0</v>
      </c>
      <c r="K91" s="2">
        <v>178778731.49000001</v>
      </c>
      <c r="L91" s="3">
        <f t="shared" si="27"/>
        <v>6.4125476427871894E-4</v>
      </c>
      <c r="M91" s="2">
        <v>0.99</v>
      </c>
      <c r="N91" s="2">
        <v>0.99</v>
      </c>
      <c r="O91" s="60">
        <v>113</v>
      </c>
      <c r="P91" s="5">
        <v>-5.4660000000000004E-3</v>
      </c>
      <c r="Q91" s="5">
        <v>-4.4832999999999998E-2</v>
      </c>
      <c r="R91" s="80" t="e">
        <f>((K91-D91)/D91)</f>
        <v>#DIV/0!</v>
      </c>
      <c r="S91" s="80" t="e">
        <f>((N91-G91)/G91)</f>
        <v>#DIV/0!</v>
      </c>
      <c r="T91" s="80" t="e">
        <f>((O91-H91)/H91)</f>
        <v>#DIV/0!</v>
      </c>
      <c r="U91" s="81">
        <f>P91-I91</f>
        <v>-5.4660000000000004E-3</v>
      </c>
      <c r="V91" s="83">
        <f>Q91-J91</f>
        <v>-4.4832999999999998E-2</v>
      </c>
    </row>
    <row r="92" spans="1:28">
      <c r="A92" s="84">
        <v>81</v>
      </c>
      <c r="B92" s="147" t="s">
        <v>127</v>
      </c>
      <c r="C92" s="148" t="s">
        <v>91</v>
      </c>
      <c r="D92" s="2">
        <v>2586305415.8499999</v>
      </c>
      <c r="E92" s="3">
        <f t="shared" si="26"/>
        <v>9.2657432899975588E-3</v>
      </c>
      <c r="F92" s="14">
        <v>25.8263</v>
      </c>
      <c r="G92" s="14">
        <v>25.8263</v>
      </c>
      <c r="H92" s="60">
        <v>1319</v>
      </c>
      <c r="I92" s="5">
        <v>0</v>
      </c>
      <c r="J92" s="5">
        <v>0.1053</v>
      </c>
      <c r="K92" s="2">
        <v>2600066147.9299998</v>
      </c>
      <c r="L92" s="3">
        <f t="shared" si="27"/>
        <v>9.3260802943620248E-3</v>
      </c>
      <c r="M92" s="14">
        <v>25.8687</v>
      </c>
      <c r="N92" s="14">
        <v>25.8687</v>
      </c>
      <c r="O92" s="60">
        <v>1321</v>
      </c>
      <c r="P92" s="5">
        <v>0</v>
      </c>
      <c r="Q92" s="5">
        <v>0.1061</v>
      </c>
      <c r="R92" s="80">
        <f t="shared" si="15"/>
        <v>5.3206137201229978E-3</v>
      </c>
      <c r="S92" s="80">
        <f t="shared" si="16"/>
        <v>1.6417372988000859E-3</v>
      </c>
      <c r="T92" s="80">
        <f t="shared" si="17"/>
        <v>1.5163002274450341E-3</v>
      </c>
      <c r="U92" s="81">
        <f t="shared" si="18"/>
        <v>0</v>
      </c>
      <c r="V92" s="83">
        <f t="shared" si="19"/>
        <v>7.9999999999999516E-4</v>
      </c>
    </row>
    <row r="93" spans="1:28">
      <c r="A93" s="75"/>
      <c r="B93" s="19"/>
      <c r="C93" s="71" t="s">
        <v>46</v>
      </c>
      <c r="D93" s="59">
        <f>SUM(D59:D92)</f>
        <v>279125520198.89612</v>
      </c>
      <c r="E93" s="100">
        <f>(D93/$D$186)</f>
        <v>9.6594076186757027E-2</v>
      </c>
      <c r="F93" s="30"/>
      <c r="G93" s="11"/>
      <c r="H93" s="65">
        <f>SUM(H59:H92)</f>
        <v>48694</v>
      </c>
      <c r="I93" s="12"/>
      <c r="J93" s="12"/>
      <c r="K93" s="59">
        <f>SUM(K59:K92)</f>
        <v>278795170732.32147</v>
      </c>
      <c r="L93" s="100">
        <f>(K93/$K$186)</f>
        <v>0.10722395838536081</v>
      </c>
      <c r="M93" s="30"/>
      <c r="N93" s="11"/>
      <c r="O93" s="65">
        <f>SUM(O59:O92)</f>
        <v>48844</v>
      </c>
      <c r="P93" s="12"/>
      <c r="Q93" s="12"/>
      <c r="R93" s="80">
        <f t="shared" si="15"/>
        <v>-1.1835158115934697E-3</v>
      </c>
      <c r="S93" s="80" t="e">
        <f t="shared" si="16"/>
        <v>#DIV/0!</v>
      </c>
      <c r="T93" s="80">
        <f t="shared" si="17"/>
        <v>3.0804616585205571E-3</v>
      </c>
      <c r="U93" s="81">
        <f t="shared" si="18"/>
        <v>0</v>
      </c>
      <c r="V93" s="83">
        <f t="shared" si="19"/>
        <v>0</v>
      </c>
    </row>
    <row r="94" spans="1:28" ht="8.25" customHeight="1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</row>
    <row r="95" spans="1:28" ht="15" customHeight="1">
      <c r="A95" s="150" t="s">
        <v>128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</row>
    <row r="96" spans="1:28">
      <c r="A96" s="151" t="s">
        <v>230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Z96" s="117"/>
      <c r="AB96" s="103"/>
    </row>
    <row r="97" spans="1:27" ht="16.5" customHeight="1">
      <c r="A97" s="75">
        <v>82</v>
      </c>
      <c r="B97" s="125" t="s">
        <v>129</v>
      </c>
      <c r="C97" s="126" t="s">
        <v>17</v>
      </c>
      <c r="D97" s="2">
        <v>2816110655.5100002</v>
      </c>
      <c r="E97" s="3">
        <f>(D97/$D$123)</f>
        <v>1.9292333849340677E-3</v>
      </c>
      <c r="F97" s="2">
        <f>109.0655*1625.232</f>
        <v>177256.74069599999</v>
      </c>
      <c r="G97" s="2">
        <f>109.0655*1625.232</f>
        <v>177256.74069599999</v>
      </c>
      <c r="H97" s="60">
        <v>237</v>
      </c>
      <c r="I97" s="5">
        <v>1.1000000000000001E-3</v>
      </c>
      <c r="J97" s="5">
        <v>1.21E-2</v>
      </c>
      <c r="K97" s="2">
        <v>2683602894.73</v>
      </c>
      <c r="L97" s="3">
        <f t="shared" ref="L97:L108" si="28">(K97/$K$123)</f>
        <v>2.3023456631342926E-3</v>
      </c>
      <c r="M97" s="2">
        <f>108.9589*1573.007</f>
        <v>171393.11241230002</v>
      </c>
      <c r="N97" s="2">
        <f>108.9589*1573.007</f>
        <v>171393.11241230002</v>
      </c>
      <c r="O97" s="60">
        <v>237</v>
      </c>
      <c r="P97" s="5">
        <v>-1E-3</v>
      </c>
      <c r="Q97" s="5">
        <v>1.12E-2</v>
      </c>
      <c r="R97" s="81">
        <f>((K97-D97)/D97)</f>
        <v>-4.7053463797928401E-2</v>
      </c>
      <c r="S97" s="81">
        <f>((N97-G97)/G97)</f>
        <v>-3.3079860662428927E-2</v>
      </c>
      <c r="T97" s="81">
        <f>((O97-H97)/H97)</f>
        <v>0</v>
      </c>
      <c r="U97" s="81">
        <f>P97-I97</f>
        <v>-2.1000000000000003E-3</v>
      </c>
      <c r="V97" s="83">
        <f>Q97-J97</f>
        <v>-8.9999999999999976E-4</v>
      </c>
      <c r="X97" s="117"/>
      <c r="Y97" s="119"/>
      <c r="Z97" s="117"/>
      <c r="AA97" s="104"/>
    </row>
    <row r="98" spans="1:27">
      <c r="A98" s="75">
        <v>83</v>
      </c>
      <c r="B98" s="125" t="s">
        <v>130</v>
      </c>
      <c r="C98" s="126" t="s">
        <v>21</v>
      </c>
      <c r="D98" s="2">
        <f>10947118.61*1625.232</f>
        <v>17791607472.767517</v>
      </c>
      <c r="E98" s="3">
        <f>(D98/$D$123)</f>
        <v>1.2188499425953628E-2</v>
      </c>
      <c r="F98" s="2">
        <f>1.1136*1625.232</f>
        <v>1809.8583551999998</v>
      </c>
      <c r="G98" s="2">
        <f>1.1136*1625.232</f>
        <v>1809.8583551999998</v>
      </c>
      <c r="H98" s="60">
        <v>303</v>
      </c>
      <c r="I98" s="5">
        <v>1.8800000000000001E-2</v>
      </c>
      <c r="J98" s="5">
        <v>-0.28520000000000001</v>
      </c>
      <c r="K98" s="2">
        <f>10885853.66*1572.507</f>
        <v>17118081081.325621</v>
      </c>
      <c r="L98" s="3">
        <f t="shared" si="28"/>
        <v>1.4686129537334726E-2</v>
      </c>
      <c r="M98" s="2">
        <f>1.1141*1572.507</f>
        <v>1751.9300487000003</v>
      </c>
      <c r="N98" s="2">
        <f>1.1141*1572.507</f>
        <v>1751.9300487000003</v>
      </c>
      <c r="O98" s="60">
        <v>302</v>
      </c>
      <c r="P98" s="5">
        <v>2.35E-2</v>
      </c>
      <c r="Q98" s="5">
        <v>-0.25650000000000001</v>
      </c>
      <c r="R98" s="81">
        <f t="shared" ref="R98:R108" si="29">((K98-D98)/D98)</f>
        <v>-3.7856410246956074E-2</v>
      </c>
      <c r="S98" s="81">
        <f t="shared" ref="S98:S108" si="30">((N98-G98)/G98)</f>
        <v>-3.2007093999131271E-2</v>
      </c>
      <c r="T98" s="81">
        <f t="shared" ref="T98:T108" si="31">((O98-H98)/H98)</f>
        <v>-3.3003300330033004E-3</v>
      </c>
      <c r="U98" s="81">
        <f t="shared" ref="U98:U108" si="32">P98-I98</f>
        <v>4.6999999999999993E-3</v>
      </c>
      <c r="V98" s="83">
        <f t="shared" ref="V98:V108" si="33">Q98-J98</f>
        <v>2.8700000000000003E-2</v>
      </c>
    </row>
    <row r="99" spans="1:27">
      <c r="A99" s="84">
        <v>84</v>
      </c>
      <c r="B99" s="147" t="s">
        <v>243</v>
      </c>
      <c r="C99" s="148" t="s">
        <v>25</v>
      </c>
      <c r="D99" s="2">
        <f>381036.97*1625.232</f>
        <v>619273476.82703996</v>
      </c>
      <c r="E99" s="3">
        <v>0</v>
      </c>
      <c r="F99" s="2">
        <f>1.1212*1625.232</f>
        <v>1822.2101183999998</v>
      </c>
      <c r="G99" s="2">
        <f>1.1212*1625.232</f>
        <v>1822.2101183999998</v>
      </c>
      <c r="H99" s="60">
        <v>27</v>
      </c>
      <c r="I99" s="5">
        <v>2.6800000000000001E-4</v>
      </c>
      <c r="J99" s="5">
        <v>0.1104</v>
      </c>
      <c r="K99" s="2">
        <f>381622.54*1573.007</f>
        <v>600294926.77777994</v>
      </c>
      <c r="L99" s="3">
        <f t="shared" si="28"/>
        <v>5.1501152572999904E-4</v>
      </c>
      <c r="M99" s="2">
        <f>1.1229*1573.007</f>
        <v>1766.3295603000001</v>
      </c>
      <c r="N99" s="2">
        <f>1.1229*1573.007</f>
        <v>1766.3295603000001</v>
      </c>
      <c r="O99" s="60">
        <v>27</v>
      </c>
      <c r="P99" s="5">
        <v>2.6699999999999998E-4</v>
      </c>
      <c r="Q99" s="5">
        <v>0.112</v>
      </c>
      <c r="R99" s="81">
        <f>((K99-D99)/D99)</f>
        <v>-3.0646476491291159E-2</v>
      </c>
      <c r="S99" s="81">
        <f>((N99-G99)/G99)</f>
        <v>-3.0666363629385331E-2</v>
      </c>
      <c r="T99" s="81">
        <f>((O99-H99)/H99)</f>
        <v>0</v>
      </c>
      <c r="U99" s="81">
        <f>P99-I99</f>
        <v>-1.0000000000000243E-6</v>
      </c>
      <c r="V99" s="83">
        <f t="shared" si="33"/>
        <v>1.6000000000000042E-3</v>
      </c>
    </row>
    <row r="100" spans="1:27">
      <c r="A100" s="75">
        <v>85</v>
      </c>
      <c r="B100" s="125" t="s">
        <v>139</v>
      </c>
      <c r="C100" s="126" t="s">
        <v>64</v>
      </c>
      <c r="D100" s="2">
        <f>408773.5*1625.232</f>
        <v>664351772.95200002</v>
      </c>
      <c r="E100" s="3">
        <f t="shared" ref="E100:E108" si="34">(D100/$D$123)</f>
        <v>4.5512757718216192E-4</v>
      </c>
      <c r="F100" s="2">
        <f>104.37*1625.232</f>
        <v>169625.46384000001</v>
      </c>
      <c r="G100" s="2">
        <f>105.45*1625.232</f>
        <v>171380.7144</v>
      </c>
      <c r="H100" s="60">
        <v>42</v>
      </c>
      <c r="I100" s="5">
        <v>5.9999999999999995E-4</v>
      </c>
      <c r="J100" s="5">
        <v>1.8700000000000001E-2</v>
      </c>
      <c r="K100" s="2">
        <f>408773.5*1573.007</f>
        <v>643003576.9145</v>
      </c>
      <c r="L100" s="3">
        <f t="shared" si="28"/>
        <v>5.5165259345790166E-4</v>
      </c>
      <c r="M100" s="2">
        <f>104.54*1573.007</f>
        <v>164442.15178000001</v>
      </c>
      <c r="N100" s="2">
        <f>105.69*1573.007</f>
        <v>166251.10983</v>
      </c>
      <c r="O100" s="60">
        <v>42</v>
      </c>
      <c r="P100" s="5">
        <v>2E-3</v>
      </c>
      <c r="Q100" s="5">
        <v>2.07E-2</v>
      </c>
      <c r="R100" s="81">
        <f>((K100-D100)/D100)</f>
        <v>-3.2133873810016082E-2</v>
      </c>
      <c r="S100" s="81">
        <f>((N100-G100)/G100)</f>
        <v>-2.9931049056240812E-2</v>
      </c>
      <c r="T100" s="81">
        <f>((O100-H100)/H100)</f>
        <v>0</v>
      </c>
      <c r="U100" s="81">
        <f>P100-I100</f>
        <v>1.4000000000000002E-3</v>
      </c>
      <c r="V100" s="83">
        <f>Q100-J100</f>
        <v>1.9999999999999983E-3</v>
      </c>
    </row>
    <row r="101" spans="1:27">
      <c r="A101" s="84">
        <v>86</v>
      </c>
      <c r="B101" s="147" t="s">
        <v>131</v>
      </c>
      <c r="C101" s="148" t="s">
        <v>67</v>
      </c>
      <c r="D101" s="2">
        <v>4450876461.0543995</v>
      </c>
      <c r="E101" s="3">
        <f t="shared" si="34"/>
        <v>3.0491626613046814E-3</v>
      </c>
      <c r="F101" s="2">
        <v>176657.78783300001</v>
      </c>
      <c r="G101" s="2">
        <v>176657.78783300001</v>
      </c>
      <c r="H101" s="60">
        <v>48</v>
      </c>
      <c r="I101" s="5">
        <v>2.1287737562485404E-3</v>
      </c>
      <c r="J101" s="5">
        <v>4.3985155287860733E-2</v>
      </c>
      <c r="K101" s="2">
        <v>4313252943.4114895</v>
      </c>
      <c r="L101" s="3">
        <f t="shared" si="28"/>
        <v>3.7004726846010475E-3</v>
      </c>
      <c r="M101" s="2">
        <v>171195.54273310001</v>
      </c>
      <c r="N101" s="2">
        <v>171195.54273310001</v>
      </c>
      <c r="O101" s="60">
        <v>48</v>
      </c>
      <c r="P101" s="5">
        <v>1.2530233097294049E-3</v>
      </c>
      <c r="Q101" s="5">
        <v>4.8839904397713907E-2</v>
      </c>
      <c r="R101" s="81">
        <f t="shared" si="29"/>
        <v>-3.0920543144059183E-2</v>
      </c>
      <c r="S101" s="81">
        <f t="shared" si="30"/>
        <v>-3.0919922449519327E-2</v>
      </c>
      <c r="T101" s="81">
        <f t="shared" si="31"/>
        <v>0</v>
      </c>
      <c r="U101" s="81">
        <f t="shared" si="32"/>
        <v>-8.7575044651913548E-4</v>
      </c>
      <c r="V101" s="83">
        <f t="shared" si="33"/>
        <v>4.8547491098531736E-3</v>
      </c>
      <c r="X101" s="108"/>
    </row>
    <row r="102" spans="1:27">
      <c r="A102" s="75">
        <v>87</v>
      </c>
      <c r="B102" s="125" t="s">
        <v>132</v>
      </c>
      <c r="C102" s="126" t="s">
        <v>27</v>
      </c>
      <c r="D102" s="2">
        <v>46419354679.461502</v>
      </c>
      <c r="E102" s="3">
        <f t="shared" si="34"/>
        <v>3.1800514862401354E-2</v>
      </c>
      <c r="F102" s="2">
        <v>204515.35800000001</v>
      </c>
      <c r="G102" s="2">
        <v>204515.35800000001</v>
      </c>
      <c r="H102" s="60">
        <v>2090</v>
      </c>
      <c r="I102" s="5">
        <v>1.4E-3</v>
      </c>
      <c r="J102" s="5">
        <v>1.41E-2</v>
      </c>
      <c r="K102" s="2">
        <v>45716247211.809998</v>
      </c>
      <c r="L102" s="3">
        <f t="shared" si="28"/>
        <v>3.9221377987623506E-2</v>
      </c>
      <c r="M102" s="2">
        <v>201722.11</v>
      </c>
      <c r="N102" s="2">
        <v>201722.11</v>
      </c>
      <c r="O102" s="60">
        <v>2097</v>
      </c>
      <c r="P102" s="5">
        <v>1.5E-3</v>
      </c>
      <c r="Q102" s="5">
        <v>1.5699999999999999E-2</v>
      </c>
      <c r="R102" s="81">
        <f t="shared" si="29"/>
        <v>-1.5146860022218238E-2</v>
      </c>
      <c r="S102" s="81">
        <f t="shared" si="30"/>
        <v>-1.365788871464617E-2</v>
      </c>
      <c r="T102" s="81">
        <f t="shared" si="31"/>
        <v>3.3492822966507177E-3</v>
      </c>
      <c r="U102" s="81">
        <f t="shared" si="32"/>
        <v>1.0000000000000005E-4</v>
      </c>
      <c r="V102" s="83">
        <f t="shared" si="33"/>
        <v>1.599999999999999E-3</v>
      </c>
    </row>
    <row r="103" spans="1:27">
      <c r="A103" s="75">
        <v>88</v>
      </c>
      <c r="B103" s="146" t="s">
        <v>133</v>
      </c>
      <c r="C103" s="146" t="s">
        <v>27</v>
      </c>
      <c r="D103" s="2">
        <v>67016757485.330299</v>
      </c>
      <c r="E103" s="3">
        <f t="shared" si="34"/>
        <v>4.5911180953688263E-2</v>
      </c>
      <c r="F103" s="2">
        <v>185263.21599999999</v>
      </c>
      <c r="G103" s="2">
        <v>185263.21599999999</v>
      </c>
      <c r="H103" s="60">
        <v>328</v>
      </c>
      <c r="I103" s="5">
        <v>1.8E-3</v>
      </c>
      <c r="J103" s="5">
        <v>1.7500000000000002E-2</v>
      </c>
      <c r="K103" s="2">
        <v>67266249449.809998</v>
      </c>
      <c r="L103" s="3">
        <f t="shared" si="28"/>
        <v>5.7709789328447267E-2</v>
      </c>
      <c r="M103" s="2">
        <v>182745.55</v>
      </c>
      <c r="N103" s="2">
        <v>182745.55</v>
      </c>
      <c r="O103" s="60">
        <v>335</v>
      </c>
      <c r="P103" s="5">
        <v>1.9099999999999999E-2</v>
      </c>
      <c r="Q103" s="5">
        <v>1.9099999999999999E-2</v>
      </c>
      <c r="R103" s="81">
        <f t="shared" si="29"/>
        <v>3.7228295405714157E-3</v>
      </c>
      <c r="S103" s="81">
        <f t="shared" si="30"/>
        <v>-1.3589670169603434E-2</v>
      </c>
      <c r="T103" s="81">
        <f t="shared" si="31"/>
        <v>2.1341463414634148E-2</v>
      </c>
      <c r="U103" s="81">
        <f t="shared" si="32"/>
        <v>1.7299999999999999E-2</v>
      </c>
      <c r="V103" s="83">
        <f t="shared" si="33"/>
        <v>1.5999999999999973E-3</v>
      </c>
    </row>
    <row r="104" spans="1:27">
      <c r="A104" s="84">
        <v>89</v>
      </c>
      <c r="B104" s="147" t="s">
        <v>134</v>
      </c>
      <c r="C104" s="148" t="s">
        <v>31</v>
      </c>
      <c r="D104" s="2">
        <f>118075.35*1625.232</f>
        <v>191899837.23120001</v>
      </c>
      <c r="E104" s="3">
        <f t="shared" si="34"/>
        <v>1.3146485271289793E-4</v>
      </c>
      <c r="F104" s="2">
        <f>117.87*1625.232</f>
        <v>191566.09583999999</v>
      </c>
      <c r="G104" s="2">
        <f>117.87*1625.232</f>
        <v>191566.09583999999</v>
      </c>
      <c r="H104" s="60">
        <v>4</v>
      </c>
      <c r="I104" s="5">
        <v>1.24E-2</v>
      </c>
      <c r="J104" s="5">
        <v>2.86E-2</v>
      </c>
      <c r="K104" s="2">
        <f>116819.46*1573.007</f>
        <v>183757828.31622002</v>
      </c>
      <c r="L104" s="3">
        <f t="shared" si="28"/>
        <v>1.5765150645859286E-4</v>
      </c>
      <c r="M104" s="2">
        <f>116.62*1573.007</f>
        <v>183444.07634000003</v>
      </c>
      <c r="N104" s="2">
        <f>116.62*1573.007</f>
        <v>183444.07634000003</v>
      </c>
      <c r="O104" s="60">
        <v>4</v>
      </c>
      <c r="P104" s="5">
        <v>-1.06E-2</v>
      </c>
      <c r="Q104" s="5">
        <v>1.7600000000000001E-2</v>
      </c>
      <c r="R104" s="81">
        <f t="shared" si="29"/>
        <v>-4.2428430541973525E-2</v>
      </c>
      <c r="S104" s="81">
        <f t="shared" si="30"/>
        <v>-4.2398000879986852E-2</v>
      </c>
      <c r="T104" s="81">
        <f t="shared" si="31"/>
        <v>0</v>
      </c>
      <c r="U104" s="81">
        <f t="shared" si="32"/>
        <v>-2.3E-2</v>
      </c>
      <c r="V104" s="83">
        <f t="shared" si="33"/>
        <v>-1.0999999999999999E-2</v>
      </c>
    </row>
    <row r="105" spans="1:27">
      <c r="A105" s="75">
        <v>90</v>
      </c>
      <c r="B105" s="125" t="s">
        <v>135</v>
      </c>
      <c r="C105" s="126" t="s">
        <v>34</v>
      </c>
      <c r="D105" s="2">
        <f>10425540.74*1625.232</f>
        <v>16943922427.951679</v>
      </c>
      <c r="E105" s="3">
        <f t="shared" si="34"/>
        <v>1.1607775694388514E-2</v>
      </c>
      <c r="F105" s="2">
        <f>1.33*1625.232</f>
        <v>2161.5585599999999</v>
      </c>
      <c r="G105" s="2">
        <f>1.33*1625.232</f>
        <v>2161.5585599999999</v>
      </c>
      <c r="H105" s="61">
        <v>115</v>
      </c>
      <c r="I105" s="12">
        <v>8.9999999999999998E-4</v>
      </c>
      <c r="J105" s="12">
        <v>4.58E-2</v>
      </c>
      <c r="K105" s="2">
        <f>10435052.41*1573.007</f>
        <v>16414410486.296871</v>
      </c>
      <c r="L105" s="3">
        <f t="shared" si="28"/>
        <v>1.4082428838575953E-2</v>
      </c>
      <c r="M105" s="2">
        <f>1.34*1573.007</f>
        <v>2107.8293800000001</v>
      </c>
      <c r="N105" s="2">
        <f>1.34*1573.007</f>
        <v>2107.8293800000001</v>
      </c>
      <c r="O105" s="61">
        <v>115</v>
      </c>
      <c r="P105" s="12">
        <v>8.9999999999999998E-4</v>
      </c>
      <c r="Q105" s="12">
        <v>5.0799999999999998E-2</v>
      </c>
      <c r="R105" s="81">
        <f t="shared" si="29"/>
        <v>-3.1250847842722321E-2</v>
      </c>
      <c r="S105" s="81">
        <f t="shared" si="30"/>
        <v>-2.4856684891294278E-2</v>
      </c>
      <c r="T105" s="81">
        <f t="shared" si="31"/>
        <v>0</v>
      </c>
      <c r="U105" s="81">
        <f t="shared" si="32"/>
        <v>0</v>
      </c>
      <c r="V105" s="83">
        <f t="shared" si="33"/>
        <v>4.9999999999999975E-3</v>
      </c>
    </row>
    <row r="106" spans="1:27">
      <c r="A106" s="84">
        <v>91</v>
      </c>
      <c r="B106" s="147" t="s">
        <v>136</v>
      </c>
      <c r="C106" s="148" t="s">
        <v>78</v>
      </c>
      <c r="D106" s="2">
        <f>10294730.72*1625.232</f>
        <v>16731325797.52704</v>
      </c>
      <c r="E106" s="3">
        <f t="shared" si="34"/>
        <v>1.1462132086195346E-2</v>
      </c>
      <c r="F106" s="2">
        <f>104.38*1625.232</f>
        <v>169641.71615999998</v>
      </c>
      <c r="G106" s="2">
        <f>104.38*1625.232</f>
        <v>169641.71615999998</v>
      </c>
      <c r="H106" s="60">
        <v>274</v>
      </c>
      <c r="I106" s="5">
        <v>8.0999999999999996E-3</v>
      </c>
      <c r="J106" s="5">
        <v>9.9000000000000008E-3</v>
      </c>
      <c r="K106" s="2">
        <f>10318836.1*1573.007</f>
        <v>16231601417.1527</v>
      </c>
      <c r="L106" s="3">
        <f t="shared" si="28"/>
        <v>1.3925591301862814E-2</v>
      </c>
      <c r="M106" s="2">
        <f>104.58*1573.007</f>
        <v>164505.07206000001</v>
      </c>
      <c r="N106" s="2">
        <f>104.58*1573.007</f>
        <v>164505.07206000001</v>
      </c>
      <c r="O106" s="60">
        <v>289</v>
      </c>
      <c r="P106" s="5">
        <v>1.9E-3</v>
      </c>
      <c r="Q106" s="5">
        <v>2.1899999999999999E-2</v>
      </c>
      <c r="R106" s="81">
        <f t="shared" si="29"/>
        <v>-2.9867590077541938E-2</v>
      </c>
      <c r="S106" s="81">
        <f t="shared" si="30"/>
        <v>-3.0279368873840425E-2</v>
      </c>
      <c r="T106" s="81">
        <f t="shared" si="31"/>
        <v>5.4744525547445258E-2</v>
      </c>
      <c r="U106" s="81">
        <f t="shared" si="32"/>
        <v>-6.1999999999999998E-3</v>
      </c>
      <c r="V106" s="83">
        <f t="shared" si="33"/>
        <v>1.1999999999999999E-2</v>
      </c>
    </row>
    <row r="107" spans="1:27">
      <c r="A107" s="75">
        <v>92</v>
      </c>
      <c r="B107" s="125" t="s">
        <v>137</v>
      </c>
      <c r="C107" s="126" t="s">
        <v>38</v>
      </c>
      <c r="D107" s="2">
        <f xml:space="preserve"> 1908424.67*1625.232</f>
        <v>3101632843.2734399</v>
      </c>
      <c r="E107" s="3">
        <f t="shared" si="34"/>
        <v>2.124836116557866E-3</v>
      </c>
      <c r="F107" s="2">
        <f>134.47*1625.232</f>
        <v>218544.94704</v>
      </c>
      <c r="G107" s="2">
        <f>134.47*1625.232</f>
        <v>218544.94704</v>
      </c>
      <c r="H107" s="60">
        <v>47</v>
      </c>
      <c r="I107" s="5">
        <v>1.2999999999999999E-3</v>
      </c>
      <c r="J107" s="5">
        <v>1.9400000000000001E-2</v>
      </c>
      <c r="K107" s="2">
        <f xml:space="preserve"> 1909952.04*1573.007</f>
        <v>3004367928.58428</v>
      </c>
      <c r="L107" s="3">
        <f t="shared" si="28"/>
        <v>2.5775398753740391E-3</v>
      </c>
      <c r="M107" s="2">
        <f>134.62*1573.007</f>
        <v>211758.20234000002</v>
      </c>
      <c r="N107" s="2">
        <f>134.62*1573.007</f>
        <v>211758.20234000002</v>
      </c>
      <c r="O107" s="60">
        <v>48</v>
      </c>
      <c r="P107" s="5">
        <v>1.1999999999999999E-3</v>
      </c>
      <c r="Q107" s="5">
        <v>2.07E-2</v>
      </c>
      <c r="R107" s="81">
        <f t="shared" si="29"/>
        <v>-3.1359261267851164E-2</v>
      </c>
      <c r="S107" s="81">
        <f t="shared" si="30"/>
        <v>-3.1054228395213421E-2</v>
      </c>
      <c r="T107" s="81">
        <f t="shared" si="31"/>
        <v>2.1276595744680851E-2</v>
      </c>
      <c r="U107" s="81">
        <f t="shared" si="32"/>
        <v>-1.0000000000000005E-4</v>
      </c>
      <c r="V107" s="83">
        <f t="shared" si="33"/>
        <v>1.2999999999999991E-3</v>
      </c>
    </row>
    <row r="108" spans="1:27" ht="16.5" customHeight="1">
      <c r="A108" s="75">
        <v>93</v>
      </c>
      <c r="B108" s="125" t="s">
        <v>138</v>
      </c>
      <c r="C108" s="126" t="s">
        <v>45</v>
      </c>
      <c r="D108" s="4">
        <v>238710090714.57001</v>
      </c>
      <c r="E108" s="3">
        <f t="shared" si="34"/>
        <v>0.16353316068248971</v>
      </c>
      <c r="F108" s="2">
        <v>204320.56</v>
      </c>
      <c r="G108" s="2">
        <v>204320.56</v>
      </c>
      <c r="H108" s="60">
        <v>3102</v>
      </c>
      <c r="I108" s="5">
        <v>5.3800000000000001E-2</v>
      </c>
      <c r="J108" s="5">
        <v>5.3999999999999999E-2</v>
      </c>
      <c r="K108" s="4">
        <v>234759611921.17001</v>
      </c>
      <c r="L108" s="3">
        <f t="shared" si="28"/>
        <v>0.20140750907938462</v>
      </c>
      <c r="M108" s="2">
        <v>201427.69</v>
      </c>
      <c r="N108" s="2">
        <v>201427.69</v>
      </c>
      <c r="O108" s="60">
        <v>3108</v>
      </c>
      <c r="P108" s="5">
        <v>5.3699999999999998E-2</v>
      </c>
      <c r="Q108" s="5">
        <v>5.3900000000000003E-2</v>
      </c>
      <c r="R108" s="81">
        <f t="shared" si="29"/>
        <v>-1.6549274400484617E-2</v>
      </c>
      <c r="S108" s="81">
        <f t="shared" si="30"/>
        <v>-1.4158487036253206E-2</v>
      </c>
      <c r="T108" s="81">
        <f t="shared" si="31"/>
        <v>1.9342359767891683E-3</v>
      </c>
      <c r="U108" s="81">
        <f t="shared" si="32"/>
        <v>-1.0000000000000286E-4</v>
      </c>
      <c r="V108" s="83">
        <f t="shared" si="33"/>
        <v>-9.9999999999995925E-5</v>
      </c>
    </row>
    <row r="109" spans="1:27" ht="6" customHeight="1">
      <c r="A109" s="152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</row>
    <row r="110" spans="1:27">
      <c r="A110" s="151" t="s">
        <v>231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</row>
    <row r="111" spans="1:27">
      <c r="A111" s="75">
        <v>94</v>
      </c>
      <c r="B111" s="125" t="s">
        <v>140</v>
      </c>
      <c r="C111" s="126" t="s">
        <v>97</v>
      </c>
      <c r="D111" s="4">
        <v>1801510184.5599999</v>
      </c>
      <c r="E111" s="3">
        <f>(D111/$D$123)</f>
        <v>1.2341608752311133E-3</v>
      </c>
      <c r="F111" s="2">
        <v>176597.48</v>
      </c>
      <c r="G111" s="2">
        <v>176597.48</v>
      </c>
      <c r="H111" s="60">
        <v>26</v>
      </c>
      <c r="I111" s="5">
        <v>2.9999999999999997E-4</v>
      </c>
      <c r="J111" s="5">
        <v>5.4199999999999998E-2</v>
      </c>
      <c r="K111" s="4">
        <v>1801510184.5599999</v>
      </c>
      <c r="L111" s="3">
        <f t="shared" ref="L111:L122" si="35">(K111/$K$123)</f>
        <v>1.5455711307582559E-3</v>
      </c>
      <c r="M111" s="2">
        <v>176597.48</v>
      </c>
      <c r="N111" s="2">
        <v>176597.48</v>
      </c>
      <c r="O111" s="60">
        <v>26</v>
      </c>
      <c r="P111" s="5">
        <v>2.9999999999999997E-4</v>
      </c>
      <c r="Q111" s="5">
        <v>5.4199999999999998E-2</v>
      </c>
      <c r="R111" s="81">
        <f>((K111-D111)/D111)</f>
        <v>0</v>
      </c>
      <c r="S111" s="81">
        <f>((N111-G111)/G111)</f>
        <v>0</v>
      </c>
      <c r="T111" s="81">
        <f>((O111-H111)/H111)</f>
        <v>0</v>
      </c>
      <c r="U111" s="81">
        <f>P111-I111</f>
        <v>0</v>
      </c>
      <c r="V111" s="83">
        <f>Q111-J111</f>
        <v>0</v>
      </c>
    </row>
    <row r="112" spans="1:27">
      <c r="A112" s="75">
        <v>95</v>
      </c>
      <c r="B112" s="126" t="s">
        <v>141</v>
      </c>
      <c r="C112" s="126" t="s">
        <v>23</v>
      </c>
      <c r="D112" s="2">
        <f>7234609.81*1625.232</f>
        <v>11757919370.72592</v>
      </c>
      <c r="E112" s="3">
        <f>(D112/$D$123)</f>
        <v>8.0549997362441561E-3</v>
      </c>
      <c r="F112" s="4">
        <f>133.2*1625.232</f>
        <v>216480.90239999999</v>
      </c>
      <c r="G112" s="4">
        <f>133.2*1625.232</f>
        <v>216480.90239999999</v>
      </c>
      <c r="H112" s="60">
        <v>357</v>
      </c>
      <c r="I112" s="5">
        <v>5.0000000000000001E-4</v>
      </c>
      <c r="J112" s="5">
        <v>1.1599999999999999E-2</v>
      </c>
      <c r="K112" s="2">
        <f>7453125.57*1573.007</f>
        <v>11723818693.488991</v>
      </c>
      <c r="L112" s="3">
        <f t="shared" si="35"/>
        <v>1.0058225521120869E-2</v>
      </c>
      <c r="M112" s="4">
        <f>133.36*1573.007</f>
        <v>209776.21352000002</v>
      </c>
      <c r="N112" s="4">
        <f>133.36*1573.007</f>
        <v>209776.21352000002</v>
      </c>
      <c r="O112" s="60">
        <v>357</v>
      </c>
      <c r="P112" s="5">
        <v>5.0000000000000001E-4</v>
      </c>
      <c r="Q112" s="5">
        <v>1.2800000000000001E-2</v>
      </c>
      <c r="R112" s="81">
        <f t="shared" ref="R112:R123" si="36">((K112-D112)/D112)</f>
        <v>-2.9002305732620114E-3</v>
      </c>
      <c r="S112" s="81">
        <f t="shared" ref="S112:S123" si="37">((N112-G112)/G112)</f>
        <v>-3.097127185663456E-2</v>
      </c>
      <c r="T112" s="81">
        <f t="shared" ref="T112:T123" si="38">((O112-H112)/H112)</f>
        <v>0</v>
      </c>
      <c r="U112" s="81">
        <f t="shared" ref="U112:U123" si="39">P112-I112</f>
        <v>0</v>
      </c>
      <c r="V112" s="83">
        <f t="shared" ref="V112:V123" si="40">Q112-J112</f>
        <v>1.2000000000000014E-3</v>
      </c>
    </row>
    <row r="113" spans="1:24">
      <c r="A113" s="75">
        <v>96</v>
      </c>
      <c r="B113" s="125" t="s">
        <v>142</v>
      </c>
      <c r="C113" s="126" t="s">
        <v>58</v>
      </c>
      <c r="D113" s="4">
        <v>18764640129.389999</v>
      </c>
      <c r="E113" s="3">
        <f t="shared" ref="E113:E122" si="41">(D113/$D$123)</f>
        <v>1.2855095066332402E-2</v>
      </c>
      <c r="F113" s="4">
        <v>187596.02</v>
      </c>
      <c r="G113" s="4">
        <v>187596.02</v>
      </c>
      <c r="H113" s="60">
        <v>594</v>
      </c>
      <c r="I113" s="5">
        <v>1.1999999999999999E-3</v>
      </c>
      <c r="J113" s="5">
        <v>6.3E-2</v>
      </c>
      <c r="K113" s="4">
        <v>18029279273.509998</v>
      </c>
      <c r="L113" s="3">
        <f t="shared" si="35"/>
        <v>1.5467874560099199E-2</v>
      </c>
      <c r="M113" s="4">
        <v>186375.87</v>
      </c>
      <c r="N113" s="4">
        <v>186375.87</v>
      </c>
      <c r="O113" s="60">
        <v>595</v>
      </c>
      <c r="P113" s="5">
        <v>1.1000000000000001E-3</v>
      </c>
      <c r="Q113" s="5">
        <v>6.4100000000000004E-2</v>
      </c>
      <c r="R113" s="81">
        <f t="shared" si="36"/>
        <v>-3.9188646881015678E-2</v>
      </c>
      <c r="S113" s="81">
        <f t="shared" si="37"/>
        <v>-6.5041358553342135E-3</v>
      </c>
      <c r="T113" s="81">
        <f t="shared" si="38"/>
        <v>1.6835016835016834E-3</v>
      </c>
      <c r="U113" s="81">
        <f t="shared" si="39"/>
        <v>-9.9999999999999829E-5</v>
      </c>
      <c r="V113" s="83">
        <f t="shared" si="40"/>
        <v>1.1000000000000038E-3</v>
      </c>
    </row>
    <row r="114" spans="1:24">
      <c r="A114" s="75">
        <v>97</v>
      </c>
      <c r="B114" s="125" t="s">
        <v>143</v>
      </c>
      <c r="C114" s="126" t="s">
        <v>56</v>
      </c>
      <c r="D114" s="4">
        <v>7002853872.4252901</v>
      </c>
      <c r="E114" s="3">
        <f t="shared" si="41"/>
        <v>4.7974462417035204E-3</v>
      </c>
      <c r="F114" s="4">
        <v>1950.9585241814061</v>
      </c>
      <c r="G114" s="4">
        <v>1950.9585241814061</v>
      </c>
      <c r="H114" s="60">
        <v>170</v>
      </c>
      <c r="I114" s="5">
        <v>4.908012436304092E-2</v>
      </c>
      <c r="J114" s="5">
        <v>4.9161930252350022E-2</v>
      </c>
      <c r="K114" s="4">
        <v>6773480011.869709</v>
      </c>
      <c r="L114" s="3">
        <f t="shared" si="35"/>
        <v>5.8111773393447839E-3</v>
      </c>
      <c r="M114" s="4">
        <v>1936.5301193993646</v>
      </c>
      <c r="N114" s="4">
        <v>1936.5301193993646</v>
      </c>
      <c r="O114" s="60">
        <v>171</v>
      </c>
      <c r="P114" s="5">
        <v>4.7961584664937516E-2</v>
      </c>
      <c r="Q114" s="5">
        <v>4.9090785167729925E-2</v>
      </c>
      <c r="R114" s="81">
        <f t="shared" si="36"/>
        <v>-3.2754340549468346E-2</v>
      </c>
      <c r="S114" s="81">
        <f t="shared" si="37"/>
        <v>-7.3955466521747172E-3</v>
      </c>
      <c r="T114" s="81">
        <f t="shared" si="38"/>
        <v>5.8823529411764705E-3</v>
      </c>
      <c r="U114" s="81">
        <f t="shared" si="39"/>
        <v>-1.1185396981034032E-3</v>
      </c>
      <c r="V114" s="83">
        <f t="shared" si="40"/>
        <v>-7.1145084620097276E-5</v>
      </c>
    </row>
    <row r="115" spans="1:24" ht="15.75">
      <c r="A115" s="84">
        <v>98</v>
      </c>
      <c r="B115" s="147" t="s">
        <v>253</v>
      </c>
      <c r="C115" s="148" t="s">
        <v>114</v>
      </c>
      <c r="D115" s="4">
        <v>1398281673.54</v>
      </c>
      <c r="E115" s="3">
        <f t="shared" si="41"/>
        <v>9.579210535838505E-4</v>
      </c>
      <c r="F115" s="4">
        <f>1.042026*1625.232</f>
        <v>1693.5340000319998</v>
      </c>
      <c r="G115" s="4">
        <f>1.051613*1625.232</f>
        <v>1709.1150992159999</v>
      </c>
      <c r="H115" s="60">
        <v>36</v>
      </c>
      <c r="I115" s="5">
        <v>8.0000000000000004E-4</v>
      </c>
      <c r="J115" s="5">
        <v>1.44E-2</v>
      </c>
      <c r="K115" s="4">
        <v>1349981630.6800001</v>
      </c>
      <c r="L115" s="3">
        <f t="shared" si="35"/>
        <v>1.1581908630411467E-3</v>
      </c>
      <c r="M115" s="4">
        <f>1.047941*1573.007</f>
        <v>1648.4185285870001</v>
      </c>
      <c r="N115" s="4">
        <f>1.058071*1573.007</f>
        <v>1664.3530894969999</v>
      </c>
      <c r="O115" s="60">
        <v>36</v>
      </c>
      <c r="P115" s="5">
        <v>5.5999999999999999E-3</v>
      </c>
      <c r="Q115" s="5">
        <v>2.07E-2</v>
      </c>
      <c r="R115" s="81">
        <f t="shared" si="36"/>
        <v>-3.4542427161846231E-2</v>
      </c>
      <c r="S115" s="81">
        <f t="shared" si="37"/>
        <v>-2.6190166911247245E-2</v>
      </c>
      <c r="T115" s="81">
        <f t="shared" si="38"/>
        <v>0</v>
      </c>
      <c r="U115" s="81">
        <f t="shared" si="39"/>
        <v>4.7999999999999996E-3</v>
      </c>
      <c r="V115" s="83">
        <f t="shared" si="40"/>
        <v>6.3E-3</v>
      </c>
      <c r="X115" s="120"/>
    </row>
    <row r="116" spans="1:24" ht="15.75">
      <c r="A116" s="84">
        <v>99</v>
      </c>
      <c r="B116" s="147" t="s">
        <v>259</v>
      </c>
      <c r="C116" s="148" t="s">
        <v>36</v>
      </c>
      <c r="D116" s="2">
        <f>670074.21*1625.232</f>
        <v>1089026048.4667199</v>
      </c>
      <c r="E116" s="3">
        <f t="shared" si="41"/>
        <v>7.4605925220091595E-4</v>
      </c>
      <c r="F116" s="4">
        <f>10.1296*1625.232</f>
        <v>16462.950067199999</v>
      </c>
      <c r="G116" s="4">
        <f>10.1296*1625.232</f>
        <v>16462.950067199999</v>
      </c>
      <c r="H116" s="60">
        <v>36</v>
      </c>
      <c r="I116" s="5">
        <v>6.6799999999999998E-2</v>
      </c>
      <c r="J116" s="5">
        <v>8.77E-2</v>
      </c>
      <c r="K116" s="2">
        <f>690089.0893*1573.007</f>
        <v>1085514968.0925252</v>
      </c>
      <c r="L116" s="3">
        <f t="shared" si="35"/>
        <v>9.3129675927951911E-4</v>
      </c>
      <c r="M116" s="4">
        <f>10.168*1573.007</f>
        <v>15994.335175999999</v>
      </c>
      <c r="N116" s="4">
        <f>10.168*1573.007</f>
        <v>15994.335175999999</v>
      </c>
      <c r="O116" s="60">
        <v>37</v>
      </c>
      <c r="P116" s="5">
        <v>7.3300000000000004E-2</v>
      </c>
      <c r="Q116" s="5">
        <v>9.5500000000000002E-2</v>
      </c>
      <c r="R116" s="81">
        <f t="shared" ref="R116" si="42">((K116-D116)/D116)</f>
        <v>-3.2240554568350338E-3</v>
      </c>
      <c r="S116" s="81">
        <f t="shared" ref="S116" si="43">((N116-G116)/G116)</f>
        <v>-2.8464818837885372E-2</v>
      </c>
      <c r="T116" s="81">
        <f t="shared" ref="T116" si="44">((O116-H116)/H116)</f>
        <v>2.7777777777777776E-2</v>
      </c>
      <c r="U116" s="81">
        <f t="shared" ref="U116" si="45">P116-I116</f>
        <v>6.5000000000000058E-3</v>
      </c>
      <c r="V116" s="83">
        <f t="shared" ref="V116" si="46">Q116-J116</f>
        <v>7.8000000000000014E-3</v>
      </c>
      <c r="X116" s="120"/>
    </row>
    <row r="117" spans="1:24" ht="15.75">
      <c r="A117" s="75">
        <v>100</v>
      </c>
      <c r="B117" s="126" t="s">
        <v>144</v>
      </c>
      <c r="C117" s="127" t="s">
        <v>40</v>
      </c>
      <c r="D117" s="2">
        <v>18333909282</v>
      </c>
      <c r="E117" s="3">
        <f t="shared" si="41"/>
        <v>1.2560014214633684E-2</v>
      </c>
      <c r="F117" s="4">
        <f>1.0325*1625.232</f>
        <v>1678.05204</v>
      </c>
      <c r="G117" s="4">
        <f>1.0325*1625.232</f>
        <v>1678.05204</v>
      </c>
      <c r="H117" s="60">
        <v>367</v>
      </c>
      <c r="I117" s="5">
        <v>9.9299999999999999E-2</v>
      </c>
      <c r="J117" s="5">
        <v>9.1999999999999998E-2</v>
      </c>
      <c r="K117" s="2">
        <v>18473097037</v>
      </c>
      <c r="L117" s="3">
        <f t="shared" si="35"/>
        <v>1.5848639503004795E-2</v>
      </c>
      <c r="M117" s="4">
        <f>1.0343*1573.007</f>
        <v>1626.9611401</v>
      </c>
      <c r="N117" s="4">
        <f>1.0343*1573.007</f>
        <v>1626.9611401</v>
      </c>
      <c r="O117" s="60">
        <v>369</v>
      </c>
      <c r="P117" s="5">
        <v>9.9299999999999999E-2</v>
      </c>
      <c r="Q117" s="5">
        <v>9.0300000000000005E-2</v>
      </c>
      <c r="R117" s="81">
        <f t="shared" si="36"/>
        <v>7.5918208636852353E-3</v>
      </c>
      <c r="S117" s="81">
        <f t="shared" si="37"/>
        <v>-3.044655271835316E-2</v>
      </c>
      <c r="T117" s="81">
        <f t="shared" si="38"/>
        <v>5.4495912806539508E-3</v>
      </c>
      <c r="U117" s="81">
        <f t="shared" si="39"/>
        <v>0</v>
      </c>
      <c r="V117" s="83">
        <f t="shared" si="40"/>
        <v>-1.6999999999999932E-3</v>
      </c>
      <c r="X117" s="120"/>
    </row>
    <row r="118" spans="1:24">
      <c r="A118" s="75">
        <v>101</v>
      </c>
      <c r="B118" s="125" t="s">
        <v>145</v>
      </c>
      <c r="C118" s="126" t="s">
        <v>80</v>
      </c>
      <c r="D118" s="4">
        <v>432466417.17000002</v>
      </c>
      <c r="E118" s="3">
        <f t="shared" si="41"/>
        <v>2.9626983877027025E-4</v>
      </c>
      <c r="F118" s="4">
        <f>1.05*1625.232</f>
        <v>1706.4936</v>
      </c>
      <c r="G118" s="4">
        <f>1.05*1625.232</f>
        <v>1706.4936</v>
      </c>
      <c r="H118" s="60">
        <v>3</v>
      </c>
      <c r="I118" s="5">
        <v>7.7780000000000002E-3</v>
      </c>
      <c r="J118" s="5">
        <v>1.2388E-2</v>
      </c>
      <c r="K118" s="4">
        <v>422551368.70999998</v>
      </c>
      <c r="L118" s="3">
        <f t="shared" si="35"/>
        <v>3.6251984714706019E-4</v>
      </c>
      <c r="M118" s="4">
        <f>1.03*1602.43</f>
        <v>1650.5029000000002</v>
      </c>
      <c r="N118" s="4">
        <f>1.03*1602.43</f>
        <v>1650.5029000000002</v>
      </c>
      <c r="O118" s="60">
        <v>3</v>
      </c>
      <c r="P118" s="5">
        <v>-1.4744E-2</v>
      </c>
      <c r="Q118" s="5">
        <v>-2.539E-3</v>
      </c>
      <c r="R118" s="81">
        <f t="shared" si="36"/>
        <v>-2.2926747757392896E-2</v>
      </c>
      <c r="S118" s="81">
        <f t="shared" si="37"/>
        <v>-3.2810377958639773E-2</v>
      </c>
      <c r="T118" s="81">
        <f t="shared" si="38"/>
        <v>0</v>
      </c>
      <c r="U118" s="81">
        <f t="shared" si="39"/>
        <v>-2.2522E-2</v>
      </c>
      <c r="V118" s="83">
        <f t="shared" si="40"/>
        <v>-1.4926999999999999E-2</v>
      </c>
    </row>
    <row r="119" spans="1:24">
      <c r="A119" s="84">
        <v>102</v>
      </c>
      <c r="B119" s="147" t="s">
        <v>146</v>
      </c>
      <c r="C119" s="148" t="s">
        <v>42</v>
      </c>
      <c r="D119" s="2">
        <v>881074296769.13</v>
      </c>
      <c r="E119" s="3">
        <f t="shared" si="41"/>
        <v>0.60359771183298094</v>
      </c>
      <c r="F119" s="4">
        <v>2399.6999999999998</v>
      </c>
      <c r="G119" s="4">
        <v>2399.6999999999998</v>
      </c>
      <c r="H119" s="60">
        <v>6816</v>
      </c>
      <c r="I119" s="5">
        <v>1.5E-3</v>
      </c>
      <c r="J119" s="5">
        <v>1.3899999999999999E-2</v>
      </c>
      <c r="K119" s="2">
        <v>592322653926.93994</v>
      </c>
      <c r="L119" s="3">
        <f t="shared" si="35"/>
        <v>0.50817186705341177</v>
      </c>
      <c r="M119" s="4">
        <v>2382.0100000000002</v>
      </c>
      <c r="N119" s="4">
        <v>2382.0100000000002</v>
      </c>
      <c r="O119" s="60">
        <v>6891</v>
      </c>
      <c r="P119" s="5">
        <v>1E-3</v>
      </c>
      <c r="Q119" s="5">
        <v>1.4999999999999999E-2</v>
      </c>
      <c r="R119" s="81">
        <f t="shared" si="36"/>
        <v>-0.32772678070513767</v>
      </c>
      <c r="S119" s="81">
        <f t="shared" si="37"/>
        <v>-7.3717548026835025E-3</v>
      </c>
      <c r="T119" s="81">
        <f t="shared" si="38"/>
        <v>1.1003521126760563E-2</v>
      </c>
      <c r="U119" s="81">
        <f t="shared" si="39"/>
        <v>-5.0000000000000001E-4</v>
      </c>
      <c r="V119" s="83">
        <f t="shared" si="40"/>
        <v>1.1000000000000003E-3</v>
      </c>
    </row>
    <row r="120" spans="1:24" ht="16.5" customHeight="1">
      <c r="A120" s="75">
        <v>103</v>
      </c>
      <c r="B120" s="125" t="s">
        <v>147</v>
      </c>
      <c r="C120" s="126" t="s">
        <v>45</v>
      </c>
      <c r="D120" s="2">
        <v>49538534276.589996</v>
      </c>
      <c r="E120" s="3">
        <f t="shared" si="41"/>
        <v>3.3937371736477449E-2</v>
      </c>
      <c r="F120" s="4">
        <v>1792.42</v>
      </c>
      <c r="G120" s="4">
        <v>1792.42</v>
      </c>
      <c r="H120" s="60">
        <v>237</v>
      </c>
      <c r="I120" s="5">
        <v>6.8599999999999994E-2</v>
      </c>
      <c r="J120" s="5">
        <v>8.1900000000000001E-2</v>
      </c>
      <c r="K120" s="2">
        <v>49538534276.589996</v>
      </c>
      <c r="L120" s="3">
        <f t="shared" si="35"/>
        <v>4.2500635907687698E-2</v>
      </c>
      <c r="M120" s="4">
        <v>1792.42</v>
      </c>
      <c r="N120" s="4">
        <v>1792.42</v>
      </c>
      <c r="O120" s="60">
        <v>237</v>
      </c>
      <c r="P120" s="5">
        <v>6.8599999999999994E-2</v>
      </c>
      <c r="Q120" s="5">
        <v>8.1900000000000001E-2</v>
      </c>
      <c r="R120" s="81">
        <f t="shared" si="36"/>
        <v>0</v>
      </c>
      <c r="S120" s="81">
        <f t="shared" si="37"/>
        <v>0</v>
      </c>
      <c r="T120" s="81">
        <f t="shared" si="38"/>
        <v>0</v>
      </c>
      <c r="U120" s="81">
        <f t="shared" si="39"/>
        <v>0</v>
      </c>
      <c r="V120" s="83">
        <f t="shared" si="40"/>
        <v>0</v>
      </c>
    </row>
    <row r="121" spans="1:24" ht="16.5" customHeight="1">
      <c r="A121" s="75">
        <v>104</v>
      </c>
      <c r="B121" s="125" t="s">
        <v>148</v>
      </c>
      <c r="C121" s="126" t="s">
        <v>32</v>
      </c>
      <c r="D121" s="4">
        <v>53053859373.459213</v>
      </c>
      <c r="E121" s="3">
        <f t="shared" ref="E121" si="47">(D121/$D$123)</f>
        <v>3.6345616072511348E-2</v>
      </c>
      <c r="F121" s="4">
        <f>1.1014*1625.232</f>
        <v>1790.0305248</v>
      </c>
      <c r="G121" s="4">
        <f>1.1014*1625.232</f>
        <v>1790.0305248</v>
      </c>
      <c r="H121" s="60">
        <v>1232</v>
      </c>
      <c r="I121" s="5">
        <v>-9.0785292782613602E-5</v>
      </c>
      <c r="J121" s="5">
        <v>9.7176384305097674E-3</v>
      </c>
      <c r="K121" s="4">
        <v>54172751143.970001</v>
      </c>
      <c r="L121" s="3">
        <f t="shared" ref="L121" si="48">(K121/$K$123)</f>
        <v>4.6476473438489589E-2</v>
      </c>
      <c r="M121" s="4">
        <f>1.1023*1573.007</f>
        <v>1733.9256161000001</v>
      </c>
      <c r="N121" s="4">
        <f>1.1023*1573.007</f>
        <v>1733.9256161000001</v>
      </c>
      <c r="O121" s="60">
        <v>1270</v>
      </c>
      <c r="P121" s="5">
        <v>8.1714181950265363E-4</v>
      </c>
      <c r="Q121" s="5">
        <v>1.0542720938760519E-2</v>
      </c>
      <c r="R121" s="81">
        <f t="shared" ref="R121" si="49">((K121-D121)/D121)</f>
        <v>2.1089733786087691E-2</v>
      </c>
      <c r="S121" s="81">
        <f t="shared" ref="S121" si="50">((N121-G121)/G121)</f>
        <v>-3.1342989922626317E-2</v>
      </c>
      <c r="T121" s="81">
        <f t="shared" ref="T121" si="51">((O121-H121)/H121)</f>
        <v>3.0844155844155844E-2</v>
      </c>
      <c r="U121" s="81">
        <f t="shared" ref="U121" si="52">P121-I121</f>
        <v>9.0792711228526723E-4</v>
      </c>
      <c r="V121" s="83">
        <f t="shared" ref="V121" si="53">Q121-J121</f>
        <v>8.250825082507518E-4</v>
      </c>
    </row>
    <row r="122" spans="1:24">
      <c r="A122" s="75">
        <v>105</v>
      </c>
      <c r="B122" s="125" t="s">
        <v>272</v>
      </c>
      <c r="C122" s="126" t="s">
        <v>269</v>
      </c>
      <c r="D122" s="4">
        <v>0</v>
      </c>
      <c r="E122" s="3">
        <f t="shared" si="41"/>
        <v>0</v>
      </c>
      <c r="F122" s="4">
        <v>0</v>
      </c>
      <c r="G122" s="4">
        <v>0</v>
      </c>
      <c r="H122" s="60">
        <v>0</v>
      </c>
      <c r="I122" s="5">
        <v>0</v>
      </c>
      <c r="J122" s="5">
        <v>0</v>
      </c>
      <c r="K122" s="4">
        <f>615049.25*1573.007</f>
        <v>967476775.59475005</v>
      </c>
      <c r="L122" s="3">
        <f t="shared" si="35"/>
        <v>8.300281546304673E-4</v>
      </c>
      <c r="M122" s="4">
        <f>1.14*1573.007</f>
        <v>1793.2279799999999</v>
      </c>
      <c r="N122" s="4">
        <f>1.14*1573.007</f>
        <v>1793.2279799999999</v>
      </c>
      <c r="O122" s="60">
        <v>19</v>
      </c>
      <c r="P122" s="5">
        <v>-1.397E-3</v>
      </c>
      <c r="Q122" s="5">
        <v>3.5955000000000001E-2</v>
      </c>
      <c r="R122" s="81" t="e">
        <f t="shared" si="36"/>
        <v>#DIV/0!</v>
      </c>
      <c r="S122" s="81" t="e">
        <f t="shared" si="37"/>
        <v>#DIV/0!</v>
      </c>
      <c r="T122" s="81" t="e">
        <f t="shared" si="38"/>
        <v>#DIV/0!</v>
      </c>
      <c r="U122" s="81">
        <f t="shared" si="39"/>
        <v>-1.397E-3</v>
      </c>
      <c r="V122" s="83">
        <f t="shared" si="40"/>
        <v>3.5955000000000001E-2</v>
      </c>
    </row>
    <row r="123" spans="1:24">
      <c r="A123" s="75"/>
      <c r="B123" s="19"/>
      <c r="C123" s="66" t="s">
        <v>46</v>
      </c>
      <c r="D123" s="59">
        <f>SUM(D97:D122)</f>
        <v>1459704501021.9133</v>
      </c>
      <c r="E123" s="100">
        <f>(D123/$D$186)</f>
        <v>0.50514480969490538</v>
      </c>
      <c r="F123" s="30"/>
      <c r="G123" s="11"/>
      <c r="H123" s="65">
        <f>SUM(H97:H122)</f>
        <v>16491</v>
      </c>
      <c r="I123" s="33"/>
      <c r="J123" s="33"/>
      <c r="K123" s="59">
        <f>SUM(K97:K122)</f>
        <v>1165595130957.3054</v>
      </c>
      <c r="L123" s="100">
        <f>(K123/$K$186)</f>
        <v>0.44828511013177341</v>
      </c>
      <c r="M123" s="30"/>
      <c r="N123" s="11"/>
      <c r="O123" s="65">
        <f>SUM(O97:O122)</f>
        <v>16663</v>
      </c>
      <c r="P123" s="33"/>
      <c r="Q123" s="33"/>
      <c r="R123" s="81">
        <f t="shared" si="36"/>
        <v>-0.20148555399994117</v>
      </c>
      <c r="S123" s="81" t="e">
        <f t="shared" si="37"/>
        <v>#DIV/0!</v>
      </c>
      <c r="T123" s="81">
        <f t="shared" si="38"/>
        <v>1.0429931477775756E-2</v>
      </c>
      <c r="U123" s="81">
        <f t="shared" si="39"/>
        <v>0</v>
      </c>
      <c r="V123" s="83">
        <f t="shared" si="40"/>
        <v>0</v>
      </c>
    </row>
    <row r="124" spans="1:24" ht="8.25" customHeight="1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</row>
    <row r="125" spans="1:24" ht="15.75">
      <c r="A125" s="150" t="s">
        <v>149</v>
      </c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</row>
    <row r="126" spans="1:24">
      <c r="A126" s="75">
        <v>106</v>
      </c>
      <c r="B126" s="125" t="s">
        <v>245</v>
      </c>
      <c r="C126" s="126" t="s">
        <v>246</v>
      </c>
      <c r="D126" s="2">
        <v>2216995621.3899999</v>
      </c>
      <c r="E126" s="3">
        <f>(D126/$D$131)</f>
        <v>2.2219090592051426E-2</v>
      </c>
      <c r="F126" s="14">
        <v>104.48</v>
      </c>
      <c r="G126" s="14">
        <v>104.48</v>
      </c>
      <c r="H126" s="60">
        <v>7</v>
      </c>
      <c r="I126" s="5">
        <v>1.5020203015339018E-3</v>
      </c>
      <c r="J126" s="5">
        <v>2.24E-2</v>
      </c>
      <c r="K126" s="2">
        <v>2222192846.4987564</v>
      </c>
      <c r="L126" s="3">
        <f>(K126/$K$131)</f>
        <v>2.2268098317453321E-2</v>
      </c>
      <c r="M126" s="14">
        <v>104.72</v>
      </c>
      <c r="N126" s="14">
        <v>104.72</v>
      </c>
      <c r="O126" s="60">
        <v>7</v>
      </c>
      <c r="P126" s="5">
        <v>2.2970903522203656E-3</v>
      </c>
      <c r="Q126" s="5">
        <v>2.4799999999999999E-2</v>
      </c>
      <c r="R126" s="81">
        <f t="shared" ref="R126:R131" si="54">((K126-D126)/D126)</f>
        <v>2.3442649406307868E-3</v>
      </c>
      <c r="S126" s="81">
        <f t="shared" ref="S126:T131" si="55">((N126-G126)/G126)</f>
        <v>2.2970903522204714E-3</v>
      </c>
      <c r="T126" s="81">
        <f t="shared" si="55"/>
        <v>0</v>
      </c>
      <c r="U126" s="81">
        <f t="shared" ref="U126:V131" si="56">P126-I126</f>
        <v>7.9507005068646386E-4</v>
      </c>
      <c r="V126" s="83">
        <f t="shared" si="56"/>
        <v>2.3999999999999994E-3</v>
      </c>
    </row>
    <row r="127" spans="1:24">
      <c r="A127" s="75">
        <v>107</v>
      </c>
      <c r="B127" s="125" t="s">
        <v>150</v>
      </c>
      <c r="C127" s="126" t="s">
        <v>40</v>
      </c>
      <c r="D127" s="2">
        <v>53749983529</v>
      </c>
      <c r="E127" s="3">
        <f>(D127/$D$131)</f>
        <v>0.53869107445658482</v>
      </c>
      <c r="F127" s="14">
        <v>102.5</v>
      </c>
      <c r="G127" s="14">
        <v>102.5</v>
      </c>
      <c r="H127" s="60">
        <v>666</v>
      </c>
      <c r="I127" s="5">
        <v>0</v>
      </c>
      <c r="J127" s="5">
        <v>7.6999999999999999E-2</v>
      </c>
      <c r="K127" s="2">
        <v>53749983529</v>
      </c>
      <c r="L127" s="3">
        <f>(K127/$K$131)</f>
        <v>0.53861658301667936</v>
      </c>
      <c r="M127" s="14">
        <v>102.5</v>
      </c>
      <c r="N127" s="14">
        <v>102.5</v>
      </c>
      <c r="O127" s="60">
        <v>666</v>
      </c>
      <c r="P127" s="5">
        <v>0</v>
      </c>
      <c r="Q127" s="5">
        <v>7.6999999999999999E-2</v>
      </c>
      <c r="R127" s="81">
        <f t="shared" si="54"/>
        <v>0</v>
      </c>
      <c r="S127" s="81">
        <f t="shared" si="55"/>
        <v>0</v>
      </c>
      <c r="T127" s="81">
        <f t="shared" si="55"/>
        <v>0</v>
      </c>
      <c r="U127" s="81">
        <f t="shared" si="56"/>
        <v>0</v>
      </c>
      <c r="V127" s="83">
        <f t="shared" si="56"/>
        <v>0</v>
      </c>
    </row>
    <row r="128" spans="1:24" ht="17.25" customHeight="1">
      <c r="A128" s="75">
        <v>108</v>
      </c>
      <c r="B128" s="125" t="s">
        <v>151</v>
      </c>
      <c r="C128" s="126" t="s">
        <v>120</v>
      </c>
      <c r="D128" s="2">
        <v>2635880494.3499999</v>
      </c>
      <c r="E128" s="3">
        <f>(D128/$D$131)</f>
        <v>2.6417222897835047E-2</v>
      </c>
      <c r="F128" s="14">
        <v>101.35</v>
      </c>
      <c r="G128" s="14">
        <v>101.35</v>
      </c>
      <c r="H128" s="60">
        <v>2771</v>
      </c>
      <c r="I128" s="5">
        <v>7.5172792349213679E-3</v>
      </c>
      <c r="J128" s="5">
        <v>7.8940638069109698E-2</v>
      </c>
      <c r="K128" s="2">
        <v>2635996068.4106836</v>
      </c>
      <c r="L128" s="3">
        <f>(K128/$K$131)</f>
        <v>2.6414728005390669E-2</v>
      </c>
      <c r="M128" s="14">
        <v>101.35</v>
      </c>
      <c r="N128" s="14">
        <v>101.35</v>
      </c>
      <c r="O128" s="60">
        <v>2771</v>
      </c>
      <c r="P128" s="5">
        <v>3.2000000000000002E-3</v>
      </c>
      <c r="Q128" s="5">
        <v>7.1800000000000003E-2</v>
      </c>
      <c r="R128" s="81">
        <f t="shared" si="54"/>
        <v>4.3846472149044633E-5</v>
      </c>
      <c r="S128" s="81">
        <f t="shared" si="55"/>
        <v>0</v>
      </c>
      <c r="T128" s="81">
        <f t="shared" si="55"/>
        <v>0</v>
      </c>
      <c r="U128" s="81">
        <f t="shared" si="56"/>
        <v>-4.3172792349213673E-3</v>
      </c>
      <c r="V128" s="83">
        <f t="shared" si="56"/>
        <v>-7.1406380691096949E-3</v>
      </c>
    </row>
    <row r="129" spans="1:22">
      <c r="A129" s="75">
        <v>109</v>
      </c>
      <c r="B129" s="125" t="s">
        <v>152</v>
      </c>
      <c r="C129" s="126" t="s">
        <v>120</v>
      </c>
      <c r="D129" s="2">
        <v>10951368269.01</v>
      </c>
      <c r="E129" s="3">
        <f>(D129/$D$131)</f>
        <v>0.10975639344000562</v>
      </c>
      <c r="F129" s="14">
        <v>36.6</v>
      </c>
      <c r="G129" s="14">
        <v>36.6</v>
      </c>
      <c r="H129" s="60">
        <v>5274</v>
      </c>
      <c r="I129" s="5">
        <v>3.4700000000000002E-2</v>
      </c>
      <c r="J129" s="5">
        <v>0.11799999999999999</v>
      </c>
      <c r="K129" s="2">
        <v>10963004252.389999</v>
      </c>
      <c r="L129" s="3">
        <f>(K129/$K$131)</f>
        <v>0.10985781766488822</v>
      </c>
      <c r="M129" s="14">
        <v>36.6</v>
      </c>
      <c r="N129" s="14">
        <v>36.6</v>
      </c>
      <c r="O129" s="60">
        <v>5274</v>
      </c>
      <c r="P129" s="5">
        <v>5.1999999999999998E-2</v>
      </c>
      <c r="Q129" s="5">
        <v>0.1203</v>
      </c>
      <c r="R129" s="81">
        <f t="shared" si="54"/>
        <v>1.0625141164256591E-3</v>
      </c>
      <c r="S129" s="81">
        <f t="shared" si="55"/>
        <v>0</v>
      </c>
      <c r="T129" s="81">
        <f t="shared" si="55"/>
        <v>0</v>
      </c>
      <c r="U129" s="81">
        <f t="shared" si="56"/>
        <v>1.7299999999999996E-2</v>
      </c>
      <c r="V129" s="83">
        <f t="shared" si="56"/>
        <v>2.3000000000000104E-3</v>
      </c>
    </row>
    <row r="130" spans="1:22">
      <c r="A130" s="84">
        <v>110</v>
      </c>
      <c r="B130" s="147" t="s">
        <v>153</v>
      </c>
      <c r="C130" s="148" t="s">
        <v>42</v>
      </c>
      <c r="D130" s="2">
        <v>30224636221.360001</v>
      </c>
      <c r="E130" s="3">
        <f>(D130/$D$131)</f>
        <v>0.30291621861352308</v>
      </c>
      <c r="F130" s="14">
        <v>5.3</v>
      </c>
      <c r="G130" s="14">
        <v>5.3</v>
      </c>
      <c r="H130" s="60">
        <v>208853</v>
      </c>
      <c r="I130" s="5">
        <v>3.9199999999999999E-2</v>
      </c>
      <c r="J130" s="5">
        <v>-0.1719</v>
      </c>
      <c r="K130" s="2">
        <v>30221486997.709999</v>
      </c>
      <c r="L130" s="3">
        <f>(K130/$K$131)</f>
        <v>0.30284277299558843</v>
      </c>
      <c r="M130" s="14">
        <v>5.5</v>
      </c>
      <c r="N130" s="14">
        <v>5.5</v>
      </c>
      <c r="O130" s="60">
        <v>208853</v>
      </c>
      <c r="P130" s="5">
        <v>3.7699999999999997E-2</v>
      </c>
      <c r="Q130" s="5">
        <v>-0.1406</v>
      </c>
      <c r="R130" s="81">
        <f t="shared" si="54"/>
        <v>-1.0419393063781338E-4</v>
      </c>
      <c r="S130" s="81">
        <f t="shared" si="55"/>
        <v>3.7735849056603807E-2</v>
      </c>
      <c r="T130" s="81">
        <f t="shared" si="55"/>
        <v>0</v>
      </c>
      <c r="U130" s="81">
        <f t="shared" si="56"/>
        <v>-1.5000000000000013E-3</v>
      </c>
      <c r="V130" s="83">
        <f t="shared" si="56"/>
        <v>3.1299999999999994E-2</v>
      </c>
    </row>
    <row r="131" spans="1:22">
      <c r="A131" s="122"/>
      <c r="B131" s="123"/>
      <c r="C131" s="124" t="s">
        <v>46</v>
      </c>
      <c r="D131" s="58">
        <f>SUM(D126:D130)</f>
        <v>99778864135.110001</v>
      </c>
      <c r="E131" s="100">
        <f>(D131/$D$186)</f>
        <v>3.4529437499040298E-2</v>
      </c>
      <c r="F131" s="30"/>
      <c r="G131" s="34"/>
      <c r="H131" s="65">
        <f>SUM(H126:H130)</f>
        <v>217571</v>
      </c>
      <c r="I131" s="35"/>
      <c r="J131" s="35"/>
      <c r="K131" s="58">
        <f>SUM(K126:K130)</f>
        <v>99792663694.00943</v>
      </c>
      <c r="L131" s="100">
        <f>(K131/$K$186)</f>
        <v>3.8380020683228697E-2</v>
      </c>
      <c r="M131" s="30"/>
      <c r="N131" s="34"/>
      <c r="O131" s="65">
        <f>SUM(O126:O130)</f>
        <v>217571</v>
      </c>
      <c r="P131" s="35"/>
      <c r="Q131" s="35"/>
      <c r="R131" s="81">
        <f t="shared" si="54"/>
        <v>1.3830142304229297E-4</v>
      </c>
      <c r="S131" s="81" t="e">
        <f t="shared" si="55"/>
        <v>#DIV/0!</v>
      </c>
      <c r="T131" s="81">
        <f t="shared" si="55"/>
        <v>0</v>
      </c>
      <c r="U131" s="81">
        <f t="shared" si="56"/>
        <v>0</v>
      </c>
      <c r="V131" s="83">
        <f t="shared" si="56"/>
        <v>0</v>
      </c>
    </row>
    <row r="132" spans="1:22" ht="7.5" customHeight="1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</row>
    <row r="133" spans="1:22" ht="15" customHeight="1">
      <c r="A133" s="150" t="s">
        <v>154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</row>
    <row r="134" spans="1:22">
      <c r="A134" s="75">
        <v>111</v>
      </c>
      <c r="B134" s="125" t="s">
        <v>155</v>
      </c>
      <c r="C134" s="126" t="s">
        <v>50</v>
      </c>
      <c r="D134" s="4">
        <v>234457441.09999999</v>
      </c>
      <c r="E134" s="3">
        <f t="shared" ref="E134:E159" si="57">(D134/$D$160)</f>
        <v>4.8288577819514331E-3</v>
      </c>
      <c r="F134" s="4">
        <v>5.28</v>
      </c>
      <c r="G134" s="4">
        <v>5.33</v>
      </c>
      <c r="H134" s="62">
        <v>11817</v>
      </c>
      <c r="I134" s="6">
        <v>-7.1599999999999995E-4</v>
      </c>
      <c r="J134" s="6">
        <v>4.9222000000000002E-2</v>
      </c>
      <c r="K134" s="4">
        <v>234932116.44999999</v>
      </c>
      <c r="L134" s="16">
        <f t="shared" ref="L134:L150" si="58">(K134/$K$160)</f>
        <v>4.6967450902930469E-3</v>
      </c>
      <c r="M134" s="4">
        <v>5.28</v>
      </c>
      <c r="N134" s="4">
        <v>5.34</v>
      </c>
      <c r="O134" s="62">
        <v>11831</v>
      </c>
      <c r="P134" s="6">
        <v>1.054E-3</v>
      </c>
      <c r="Q134" s="6">
        <v>5.0276000000000001E-2</v>
      </c>
      <c r="R134" s="81">
        <f>((K134-D134)/D134)</f>
        <v>2.0245693537085784E-3</v>
      </c>
      <c r="S134" s="81">
        <f>((N134-G134)/G134)</f>
        <v>1.8761726078798848E-3</v>
      </c>
      <c r="T134" s="81">
        <f>((O134-H134)/H134)</f>
        <v>1.1847338580011847E-3</v>
      </c>
      <c r="U134" s="81">
        <f>P134-I134</f>
        <v>1.7699999999999999E-3</v>
      </c>
      <c r="V134" s="83">
        <f>Q134-J134</f>
        <v>1.0539999999999994E-3</v>
      </c>
    </row>
    <row r="135" spans="1:22">
      <c r="A135" s="75">
        <v>112</v>
      </c>
      <c r="B135" s="125" t="s">
        <v>255</v>
      </c>
      <c r="C135" s="125" t="s">
        <v>254</v>
      </c>
      <c r="D135" s="4">
        <v>588151329.16239297</v>
      </c>
      <c r="E135" s="3">
        <f t="shared" si="57"/>
        <v>1.2113495351079733E-2</v>
      </c>
      <c r="F135" s="4">
        <v>1122.6474531787474</v>
      </c>
      <c r="G135" s="4">
        <v>1133.5825533369923</v>
      </c>
      <c r="H135" s="62">
        <v>180</v>
      </c>
      <c r="I135" s="6">
        <v>-9.0426073120231521E-4</v>
      </c>
      <c r="J135" s="6">
        <v>2.2839538601127415E-3</v>
      </c>
      <c r="K135" s="4">
        <v>624004269.15157568</v>
      </c>
      <c r="L135" s="16">
        <f t="shared" si="58"/>
        <v>1.2475046118623448E-2</v>
      </c>
      <c r="M135" s="4">
        <v>1190.8281926461129</v>
      </c>
      <c r="N135" s="4">
        <v>1202.8883662359326</v>
      </c>
      <c r="O135" s="62">
        <v>179</v>
      </c>
      <c r="P135" s="6">
        <v>6.0979070282794992E-2</v>
      </c>
      <c r="Q135" s="6">
        <v>6.3402297525866208E-2</v>
      </c>
      <c r="R135" s="81">
        <f>((K135-D135)/D135)</f>
        <v>6.0958699252184202E-2</v>
      </c>
      <c r="S135" s="81">
        <f>((N135-G135)/G135)</f>
        <v>6.1138743442125838E-2</v>
      </c>
      <c r="T135" s="81">
        <f>((O135-H135)/H135)</f>
        <v>-5.5555555555555558E-3</v>
      </c>
      <c r="U135" s="81">
        <f>P135-I135</f>
        <v>6.188333101399731E-2</v>
      </c>
      <c r="V135" s="83">
        <f>Q135-J135</f>
        <v>6.1118343665753465E-2</v>
      </c>
    </row>
    <row r="136" spans="1:22">
      <c r="A136" s="75">
        <v>113</v>
      </c>
      <c r="B136" s="125" t="s">
        <v>156</v>
      </c>
      <c r="C136" s="126" t="s">
        <v>21</v>
      </c>
      <c r="D136" s="4">
        <v>7186159441</v>
      </c>
      <c r="E136" s="3">
        <f t="shared" si="57"/>
        <v>0.14800529160520898</v>
      </c>
      <c r="F136" s="4">
        <v>758.90830000000005</v>
      </c>
      <c r="G136" s="4">
        <v>781.78989999999999</v>
      </c>
      <c r="H136" s="62">
        <v>21216</v>
      </c>
      <c r="I136" s="6">
        <v>0.2641</v>
      </c>
      <c r="J136" s="6">
        <v>0.78359999999999996</v>
      </c>
      <c r="K136" s="4">
        <v>7281137306.2700005</v>
      </c>
      <c r="L136" s="16">
        <f t="shared" si="58"/>
        <v>0.14556394592499816</v>
      </c>
      <c r="M136" s="4">
        <v>768.84109999999998</v>
      </c>
      <c r="N136" s="4">
        <v>792.0222</v>
      </c>
      <c r="O136" s="62">
        <v>21215</v>
      </c>
      <c r="P136" s="6">
        <v>0.6643</v>
      </c>
      <c r="Q136" s="6">
        <v>0.78359999999999996</v>
      </c>
      <c r="R136" s="81">
        <f t="shared" ref="R136:R160" si="59">((K136-D136)/D136)</f>
        <v>1.321677678456626E-2</v>
      </c>
      <c r="S136" s="81">
        <f t="shared" ref="S136:S160" si="60">((N136-G136)/G136)</f>
        <v>1.3088299043003765E-2</v>
      </c>
      <c r="T136" s="81">
        <f t="shared" ref="T136:T160" si="61">((O136-H136)/H136)</f>
        <v>-4.7134238310708901E-5</v>
      </c>
      <c r="U136" s="81">
        <f t="shared" ref="U136:U160" si="62">P136-I136</f>
        <v>0.4002</v>
      </c>
      <c r="V136" s="83">
        <f t="shared" ref="V136:V160" si="63">Q136-J136</f>
        <v>0</v>
      </c>
    </row>
    <row r="137" spans="1:22">
      <c r="A137" s="84">
        <v>114</v>
      </c>
      <c r="B137" s="147" t="s">
        <v>157</v>
      </c>
      <c r="C137" s="148" t="s">
        <v>91</v>
      </c>
      <c r="D137" s="4">
        <v>3490339899.3400002</v>
      </c>
      <c r="E137" s="3">
        <f t="shared" si="57"/>
        <v>7.1886628573221006E-2</v>
      </c>
      <c r="F137" s="4">
        <v>18.866299999999999</v>
      </c>
      <c r="G137" s="4">
        <v>19.085000000000001</v>
      </c>
      <c r="H137" s="60">
        <v>6267</v>
      </c>
      <c r="I137" s="5">
        <v>-2.7699999999999999E-2</v>
      </c>
      <c r="J137" s="5">
        <v>2.2800000000000001E-2</v>
      </c>
      <c r="K137" s="4">
        <v>3648825683.6199999</v>
      </c>
      <c r="L137" s="16">
        <f t="shared" si="58"/>
        <v>7.2947046890988868E-2</v>
      </c>
      <c r="M137" s="4">
        <v>20.039400000000001</v>
      </c>
      <c r="N137" s="4">
        <v>20.284099999999999</v>
      </c>
      <c r="O137" s="60">
        <v>6266</v>
      </c>
      <c r="P137" s="5">
        <v>5.57E-2</v>
      </c>
      <c r="Q137" s="5">
        <v>8.6699999999999999E-2</v>
      </c>
      <c r="R137" s="81">
        <f t="shared" si="59"/>
        <v>4.5406977214445025E-2</v>
      </c>
      <c r="S137" s="81">
        <f t="shared" si="60"/>
        <v>6.282944720985055E-2</v>
      </c>
      <c r="T137" s="81">
        <f t="shared" si="61"/>
        <v>-1.5956598053295037E-4</v>
      </c>
      <c r="U137" s="81">
        <f t="shared" si="62"/>
        <v>8.3400000000000002E-2</v>
      </c>
      <c r="V137" s="83">
        <f t="shared" si="63"/>
        <v>6.3899999999999998E-2</v>
      </c>
    </row>
    <row r="138" spans="1:22">
      <c r="A138" s="84">
        <v>115</v>
      </c>
      <c r="B138" s="147" t="s">
        <v>158</v>
      </c>
      <c r="C138" s="148" t="s">
        <v>101</v>
      </c>
      <c r="D138" s="2">
        <v>1466124640.7233043</v>
      </c>
      <c r="E138" s="3">
        <f t="shared" si="57"/>
        <v>3.0196130041562057E-2</v>
      </c>
      <c r="F138" s="4">
        <v>3.4289000000000001</v>
      </c>
      <c r="G138" s="4">
        <v>3.5152000000000001</v>
      </c>
      <c r="H138" s="60">
        <v>2753</v>
      </c>
      <c r="I138" s="5">
        <v>0.15720000000000001</v>
      </c>
      <c r="J138" s="5">
        <v>0.56399999999999995</v>
      </c>
      <c r="K138" s="2">
        <v>1547279573.151844</v>
      </c>
      <c r="L138" s="16">
        <f t="shared" si="58"/>
        <v>3.0933096114418655E-2</v>
      </c>
      <c r="M138" s="4">
        <v>3.6171000000000002</v>
      </c>
      <c r="N138" s="4">
        <v>3.7115</v>
      </c>
      <c r="O138" s="60">
        <v>2753</v>
      </c>
      <c r="P138" s="5">
        <v>2.9198</v>
      </c>
      <c r="Q138" s="5">
        <v>0.81240000000000001</v>
      </c>
      <c r="R138" s="81">
        <f t="shared" si="59"/>
        <v>5.5353365037574452E-2</v>
      </c>
      <c r="S138" s="81">
        <f t="shared" si="60"/>
        <v>5.5843195266272162E-2</v>
      </c>
      <c r="T138" s="81">
        <f t="shared" si="61"/>
        <v>0</v>
      </c>
      <c r="U138" s="81">
        <f t="shared" si="62"/>
        <v>2.7625999999999999</v>
      </c>
      <c r="V138" s="83">
        <f t="shared" si="63"/>
        <v>0.24840000000000007</v>
      </c>
    </row>
    <row r="139" spans="1:22">
      <c r="A139" s="75">
        <v>116</v>
      </c>
      <c r="B139" s="125" t="s">
        <v>159</v>
      </c>
      <c r="C139" s="126" t="s">
        <v>56</v>
      </c>
      <c r="D139" s="2">
        <v>3160790398.75314</v>
      </c>
      <c r="E139" s="3">
        <f t="shared" si="57"/>
        <v>6.5099265958577734E-2</v>
      </c>
      <c r="F139" s="4">
        <v>5862.67072028856</v>
      </c>
      <c r="G139" s="4">
        <v>5904.6245996412999</v>
      </c>
      <c r="H139" s="60">
        <v>868</v>
      </c>
      <c r="I139" s="5">
        <v>0.1326035927802085</v>
      </c>
      <c r="J139" s="5">
        <v>6.9919231734305282E-2</v>
      </c>
      <c r="K139" s="2">
        <v>3290187414.1935601</v>
      </c>
      <c r="L139" s="16">
        <f t="shared" si="58"/>
        <v>6.5777177753585006E-2</v>
      </c>
      <c r="M139" s="4">
        <v>6095.4455234962397</v>
      </c>
      <c r="N139" s="4">
        <v>6141.4298465483998</v>
      </c>
      <c r="O139" s="60">
        <v>867</v>
      </c>
      <c r="P139" s="5">
        <v>2.0759816530905333</v>
      </c>
      <c r="Q139" s="5">
        <v>0.25966873336050822</v>
      </c>
      <c r="R139" s="81">
        <f t="shared" si="59"/>
        <v>4.0938182896108621E-2</v>
      </c>
      <c r="S139" s="81">
        <f t="shared" si="60"/>
        <v>4.0105046969706688E-2</v>
      </c>
      <c r="T139" s="81">
        <f t="shared" si="61"/>
        <v>-1.152073732718894E-3</v>
      </c>
      <c r="U139" s="81">
        <f t="shared" si="62"/>
        <v>1.9433780603103248</v>
      </c>
      <c r="V139" s="83">
        <f t="shared" si="63"/>
        <v>0.18974950162620294</v>
      </c>
    </row>
    <row r="140" spans="1:22">
      <c r="A140" s="75">
        <v>117</v>
      </c>
      <c r="B140" s="125" t="s">
        <v>160</v>
      </c>
      <c r="C140" s="126" t="s">
        <v>58</v>
      </c>
      <c r="D140" s="4">
        <v>495598261.49000001</v>
      </c>
      <c r="E140" s="3">
        <f t="shared" si="57"/>
        <v>1.0207283294100524E-2</v>
      </c>
      <c r="F140" s="4">
        <v>179.51</v>
      </c>
      <c r="G140" s="4">
        <v>180.78</v>
      </c>
      <c r="H140" s="60">
        <v>663</v>
      </c>
      <c r="I140" s="5">
        <v>4.3E-3</v>
      </c>
      <c r="J140" s="5">
        <v>3.7900000000000003E-2</v>
      </c>
      <c r="K140" s="4">
        <v>508398197.86000001</v>
      </c>
      <c r="L140" s="16">
        <f t="shared" si="58"/>
        <v>1.0163858291469405E-2</v>
      </c>
      <c r="M140" s="4">
        <v>184.43</v>
      </c>
      <c r="N140" s="4">
        <v>185.82</v>
      </c>
      <c r="O140" s="60">
        <v>665</v>
      </c>
      <c r="P140" s="5">
        <v>2.76E-2</v>
      </c>
      <c r="Q140" s="5">
        <v>6.6500000000000004E-2</v>
      </c>
      <c r="R140" s="81">
        <f t="shared" si="59"/>
        <v>2.5827242273847802E-2</v>
      </c>
      <c r="S140" s="81">
        <f t="shared" si="60"/>
        <v>2.7879190175904369E-2</v>
      </c>
      <c r="T140" s="81">
        <f t="shared" si="61"/>
        <v>3.0165912518853697E-3</v>
      </c>
      <c r="U140" s="81">
        <f t="shared" si="62"/>
        <v>2.3300000000000001E-2</v>
      </c>
      <c r="V140" s="83">
        <f t="shared" si="63"/>
        <v>2.86E-2</v>
      </c>
    </row>
    <row r="141" spans="1:22">
      <c r="A141" s="84">
        <v>118</v>
      </c>
      <c r="B141" s="147" t="s">
        <v>161</v>
      </c>
      <c r="C141" s="148" t="s">
        <v>60</v>
      </c>
      <c r="D141" s="4">
        <v>3734808.11</v>
      </c>
      <c r="E141" s="3">
        <f t="shared" si="57"/>
        <v>7.692166698337656E-5</v>
      </c>
      <c r="F141" s="4">
        <v>102.747</v>
      </c>
      <c r="G141" s="4">
        <v>102.99</v>
      </c>
      <c r="H141" s="60">
        <v>0</v>
      </c>
      <c r="I141" s="5">
        <v>0</v>
      </c>
      <c r="J141" s="5">
        <v>0</v>
      </c>
      <c r="K141" s="4">
        <v>3734808.11</v>
      </c>
      <c r="L141" s="16">
        <f t="shared" si="58"/>
        <v>7.4666001051254549E-5</v>
      </c>
      <c r="M141" s="4">
        <v>102.747</v>
      </c>
      <c r="N141" s="4">
        <v>102.99</v>
      </c>
      <c r="O141" s="60">
        <v>0</v>
      </c>
      <c r="P141" s="5">
        <v>0</v>
      </c>
      <c r="Q141" s="5">
        <v>0</v>
      </c>
      <c r="R141" s="81">
        <f t="shared" si="59"/>
        <v>0</v>
      </c>
      <c r="S141" s="81">
        <f t="shared" si="60"/>
        <v>0</v>
      </c>
      <c r="T141" s="81" t="e">
        <f t="shared" si="61"/>
        <v>#DIV/0!</v>
      </c>
      <c r="U141" s="81">
        <f t="shared" si="62"/>
        <v>0</v>
      </c>
      <c r="V141" s="83">
        <f t="shared" si="63"/>
        <v>0</v>
      </c>
    </row>
    <row r="142" spans="1:22">
      <c r="A142" s="75">
        <v>119</v>
      </c>
      <c r="B142" s="125" t="s">
        <v>162</v>
      </c>
      <c r="C142" s="126" t="s">
        <v>105</v>
      </c>
      <c r="D142" s="4">
        <v>182824684.38</v>
      </c>
      <c r="E142" s="3">
        <f t="shared" si="57"/>
        <v>3.7654356191861448E-3</v>
      </c>
      <c r="F142" s="4">
        <v>1.5265</v>
      </c>
      <c r="G142" s="4">
        <v>1.5401</v>
      </c>
      <c r="H142" s="60">
        <v>287</v>
      </c>
      <c r="I142" s="5">
        <v>-3.4064854241728781E-3</v>
      </c>
      <c r="J142" s="5">
        <v>2.4237527772167367E-2</v>
      </c>
      <c r="K142" s="4">
        <v>189697437.94</v>
      </c>
      <c r="L142" s="16">
        <f t="shared" si="58"/>
        <v>3.7924168212883995E-3</v>
      </c>
      <c r="M142" s="4">
        <v>1.5782</v>
      </c>
      <c r="N142" s="4">
        <v>1.593</v>
      </c>
      <c r="O142" s="60">
        <v>287</v>
      </c>
      <c r="P142" s="5">
        <v>3.7400000000000003E-2</v>
      </c>
      <c r="Q142" s="5">
        <v>6.25E-2</v>
      </c>
      <c r="R142" s="81">
        <f t="shared" si="59"/>
        <v>3.7592043893345528E-2</v>
      </c>
      <c r="S142" s="81">
        <f t="shared" si="60"/>
        <v>3.4348418933835431E-2</v>
      </c>
      <c r="T142" s="81">
        <f t="shared" si="61"/>
        <v>0</v>
      </c>
      <c r="U142" s="81">
        <f t="shared" si="62"/>
        <v>4.0806485424172881E-2</v>
      </c>
      <c r="V142" s="83">
        <f t="shared" si="63"/>
        <v>3.8262472227832633E-2</v>
      </c>
    </row>
    <row r="143" spans="1:22">
      <c r="A143" s="84">
        <v>120</v>
      </c>
      <c r="B143" s="147" t="s">
        <v>163</v>
      </c>
      <c r="C143" s="148" t="s">
        <v>25</v>
      </c>
      <c r="D143" s="9">
        <v>150309890.75</v>
      </c>
      <c r="E143" s="3">
        <f t="shared" si="57"/>
        <v>3.0957647675717436E-3</v>
      </c>
      <c r="F143" s="4">
        <v>144.73609999999999</v>
      </c>
      <c r="G143" s="4">
        <v>144.73609999999999</v>
      </c>
      <c r="H143" s="60">
        <v>96</v>
      </c>
      <c r="I143" s="5">
        <v>7.698E-3</v>
      </c>
      <c r="J143" s="5">
        <v>0.31530000000000002</v>
      </c>
      <c r="K143" s="9">
        <v>152713521.28999999</v>
      </c>
      <c r="L143" s="16">
        <f t="shared" si="58"/>
        <v>3.0530371588970134E-3</v>
      </c>
      <c r="M143" s="4">
        <v>147.13059999999999</v>
      </c>
      <c r="N143" s="4">
        <v>147.5872</v>
      </c>
      <c r="O143" s="60">
        <v>97</v>
      </c>
      <c r="P143" s="5">
        <v>5.8199999999999997E-3</v>
      </c>
      <c r="Q143" s="5">
        <v>0.3175</v>
      </c>
      <c r="R143" s="81">
        <f t="shared" si="59"/>
        <v>1.5991166835439882E-2</v>
      </c>
      <c r="S143" s="81">
        <f t="shared" si="60"/>
        <v>1.9698610091055394E-2</v>
      </c>
      <c r="T143" s="81">
        <f t="shared" si="61"/>
        <v>1.0416666666666666E-2</v>
      </c>
      <c r="U143" s="81">
        <f t="shared" si="62"/>
        <v>-1.8780000000000003E-3</v>
      </c>
      <c r="V143" s="83">
        <f t="shared" si="63"/>
        <v>2.1999999999999797E-3</v>
      </c>
    </row>
    <row r="144" spans="1:22">
      <c r="A144" s="75">
        <v>121</v>
      </c>
      <c r="B144" s="125" t="s">
        <v>164</v>
      </c>
      <c r="C144" s="126" t="s">
        <v>64</v>
      </c>
      <c r="D144" s="9">
        <v>196818871.94999999</v>
      </c>
      <c r="E144" s="3">
        <f t="shared" si="57"/>
        <v>4.0536582545285657E-3</v>
      </c>
      <c r="F144" s="4">
        <v>110.29</v>
      </c>
      <c r="G144" s="4">
        <v>110.95</v>
      </c>
      <c r="H144" s="60">
        <v>29</v>
      </c>
      <c r="I144" s="5">
        <v>1.8E-3</v>
      </c>
      <c r="J144" s="5">
        <v>6.4899999999999999E-2</v>
      </c>
      <c r="K144" s="9">
        <v>196818871.94999999</v>
      </c>
      <c r="L144" s="16">
        <f t="shared" si="58"/>
        <v>3.9347879910021488E-3</v>
      </c>
      <c r="M144" s="4">
        <v>111.65</v>
      </c>
      <c r="N144" s="4">
        <v>112.42</v>
      </c>
      <c r="O144" s="60">
        <v>29</v>
      </c>
      <c r="P144" s="5">
        <v>1.3599999999999999E-2</v>
      </c>
      <c r="Q144" s="5">
        <v>7.85E-2</v>
      </c>
      <c r="R144" s="81">
        <f t="shared" si="59"/>
        <v>0</v>
      </c>
      <c r="S144" s="81">
        <f t="shared" si="60"/>
        <v>1.3249211356466867E-2</v>
      </c>
      <c r="T144" s="81">
        <f t="shared" si="61"/>
        <v>0</v>
      </c>
      <c r="U144" s="81">
        <f t="shared" si="62"/>
        <v>1.18E-2</v>
      </c>
      <c r="V144" s="83">
        <f t="shared" si="63"/>
        <v>1.3600000000000001E-2</v>
      </c>
    </row>
    <row r="145" spans="1:24" ht="15.75" customHeight="1">
      <c r="A145" s="84">
        <v>122</v>
      </c>
      <c r="B145" s="147" t="s">
        <v>165</v>
      </c>
      <c r="C145" s="148" t="s">
        <v>67</v>
      </c>
      <c r="D145" s="2">
        <v>331118297.77999997</v>
      </c>
      <c r="E145" s="3">
        <f t="shared" si="57"/>
        <v>6.8196733764551215E-3</v>
      </c>
      <c r="F145" s="4">
        <v>1.3847</v>
      </c>
      <c r="G145" s="4">
        <v>1.4013</v>
      </c>
      <c r="H145" s="60">
        <v>107</v>
      </c>
      <c r="I145" s="5">
        <v>2.2371529828706434E-2</v>
      </c>
      <c r="J145" s="5">
        <v>6.2212335072107966E-2</v>
      </c>
      <c r="K145" s="2">
        <v>350302133.26999998</v>
      </c>
      <c r="L145" s="16">
        <f t="shared" si="58"/>
        <v>7.0032137343180745E-3</v>
      </c>
      <c r="M145" s="4">
        <v>1.4519</v>
      </c>
      <c r="N145" s="4">
        <v>1.4697</v>
      </c>
      <c r="O145" s="60">
        <v>107</v>
      </c>
      <c r="P145" s="5">
        <v>4.8530367588647309E-2</v>
      </c>
      <c r="Q145" s="5">
        <v>0.11376189015035276</v>
      </c>
      <c r="R145" s="81">
        <f t="shared" si="59"/>
        <v>5.7936500696636348E-2</v>
      </c>
      <c r="S145" s="81">
        <f t="shared" si="60"/>
        <v>4.8811817597944777E-2</v>
      </c>
      <c r="T145" s="81">
        <f t="shared" si="61"/>
        <v>0</v>
      </c>
      <c r="U145" s="81">
        <f t="shared" si="62"/>
        <v>2.6158837759940875E-2</v>
      </c>
      <c r="V145" s="83">
        <f t="shared" si="63"/>
        <v>5.1549555078244796E-2</v>
      </c>
      <c r="X145" s="105"/>
    </row>
    <row r="146" spans="1:24">
      <c r="A146" s="75">
        <v>123</v>
      </c>
      <c r="B146" s="125" t="s">
        <v>166</v>
      </c>
      <c r="C146" s="126" t="s">
        <v>27</v>
      </c>
      <c r="D146" s="4">
        <v>8064329278</v>
      </c>
      <c r="E146" s="3">
        <f t="shared" si="57"/>
        <v>0.16609197391043726</v>
      </c>
      <c r="F146" s="4">
        <v>300.45</v>
      </c>
      <c r="G146" s="4">
        <v>302.77999999999997</v>
      </c>
      <c r="H146" s="60">
        <v>5497</v>
      </c>
      <c r="I146" s="5">
        <v>1E-4</v>
      </c>
      <c r="J146" s="5">
        <v>8.7900000000000006E-2</v>
      </c>
      <c r="K146" s="4">
        <v>8233213586.4700003</v>
      </c>
      <c r="L146" s="16">
        <f t="shared" si="58"/>
        <v>0.1645977828570615</v>
      </c>
      <c r="M146" s="4">
        <v>300.45</v>
      </c>
      <c r="N146" s="4">
        <v>302.77999999999997</v>
      </c>
      <c r="O146" s="60">
        <v>5498</v>
      </c>
      <c r="P146" s="5">
        <v>2.1299999999999999E-2</v>
      </c>
      <c r="Q146" s="5">
        <v>0.1111</v>
      </c>
      <c r="R146" s="81">
        <f t="shared" si="59"/>
        <v>2.0942139469766859E-2</v>
      </c>
      <c r="S146" s="81">
        <f t="shared" si="60"/>
        <v>0</v>
      </c>
      <c r="T146" s="81">
        <f t="shared" si="61"/>
        <v>1.8191740949608878E-4</v>
      </c>
      <c r="U146" s="81">
        <f t="shared" si="62"/>
        <v>2.12E-2</v>
      </c>
      <c r="V146" s="83">
        <f t="shared" si="63"/>
        <v>2.3199999999999998E-2</v>
      </c>
    </row>
    <row r="147" spans="1:24">
      <c r="A147" s="84">
        <v>124</v>
      </c>
      <c r="B147" s="147" t="s">
        <v>167</v>
      </c>
      <c r="C147" s="148" t="s">
        <v>72</v>
      </c>
      <c r="D147" s="4">
        <v>2645567847.0999999</v>
      </c>
      <c r="E147" s="3">
        <f t="shared" si="57"/>
        <v>5.4487803100693885E-2</v>
      </c>
      <c r="F147" s="4">
        <v>1.8454999999999999</v>
      </c>
      <c r="G147" s="4">
        <v>1.8777999999999999</v>
      </c>
      <c r="H147" s="60">
        <v>10319</v>
      </c>
      <c r="I147" s="5">
        <v>3.5000000000000001E-3</v>
      </c>
      <c r="J147" s="5">
        <v>5.8200000000000002E-2</v>
      </c>
      <c r="K147" s="4">
        <v>2726631860.3000002</v>
      </c>
      <c r="L147" s="16">
        <f t="shared" si="58"/>
        <v>5.4510617775097407E-2</v>
      </c>
      <c r="M147" s="4">
        <v>1.9013</v>
      </c>
      <c r="N147" s="4">
        <v>1.9358</v>
      </c>
      <c r="O147" s="60">
        <v>10319</v>
      </c>
      <c r="P147" s="5">
        <v>3.0599999999999999E-2</v>
      </c>
      <c r="Q147" s="5">
        <v>9.06E-2</v>
      </c>
      <c r="R147" s="81">
        <f t="shared" si="59"/>
        <v>3.0641441794380921E-2</v>
      </c>
      <c r="S147" s="81">
        <f t="shared" si="60"/>
        <v>3.0887208435403161E-2</v>
      </c>
      <c r="T147" s="81">
        <f t="shared" si="61"/>
        <v>0</v>
      </c>
      <c r="U147" s="81">
        <f t="shared" si="62"/>
        <v>2.7099999999999999E-2</v>
      </c>
      <c r="V147" s="83">
        <f t="shared" si="63"/>
        <v>3.2399999999999998E-2</v>
      </c>
    </row>
    <row r="148" spans="1:24">
      <c r="A148" s="75">
        <v>125</v>
      </c>
      <c r="B148" s="125" t="s">
        <v>168</v>
      </c>
      <c r="C148" s="126" t="s">
        <v>74</v>
      </c>
      <c r="D148" s="4">
        <v>191232343.87992886</v>
      </c>
      <c r="E148" s="3">
        <f t="shared" si="57"/>
        <v>3.9385987818213331E-3</v>
      </c>
      <c r="F148" s="4">
        <v>248.82061007251278</v>
      </c>
      <c r="G148" s="4">
        <v>253.80696241828068</v>
      </c>
      <c r="H148" s="60">
        <v>183</v>
      </c>
      <c r="I148" s="5">
        <v>2.2337835225615388E-2</v>
      </c>
      <c r="J148" s="5">
        <v>1.8840712127937254E-2</v>
      </c>
      <c r="K148" s="4">
        <v>204099185.11298639</v>
      </c>
      <c r="L148" s="16">
        <f t="shared" si="58"/>
        <v>4.0803354607170002E-3</v>
      </c>
      <c r="M148" s="4">
        <v>260.44330787889595</v>
      </c>
      <c r="N148" s="4">
        <v>265.56220942939626</v>
      </c>
      <c r="O148" s="60">
        <v>183</v>
      </c>
      <c r="P148" s="5">
        <v>4.6711153883096879E-2</v>
      </c>
      <c r="Q148" s="5">
        <v>6.6431937414509257E-2</v>
      </c>
      <c r="R148" s="81">
        <f t="shared" si="59"/>
        <v>6.7283812832082276E-2</v>
      </c>
      <c r="S148" s="81">
        <f t="shared" si="60"/>
        <v>4.6315699534446274E-2</v>
      </c>
      <c r="T148" s="81">
        <f t="shared" si="61"/>
        <v>0</v>
      </c>
      <c r="U148" s="81">
        <f t="shared" si="62"/>
        <v>2.4373318657481491E-2</v>
      </c>
      <c r="V148" s="83">
        <f t="shared" si="63"/>
        <v>4.7591225286572003E-2</v>
      </c>
    </row>
    <row r="149" spans="1:24" ht="13.5" customHeight="1">
      <c r="A149" s="75">
        <v>126</v>
      </c>
      <c r="B149" s="125" t="s">
        <v>240</v>
      </c>
      <c r="C149" s="126" t="s">
        <v>32</v>
      </c>
      <c r="D149" s="2">
        <v>2492627285.1977</v>
      </c>
      <c r="E149" s="3">
        <f t="shared" si="57"/>
        <v>5.1337857340589169E-2</v>
      </c>
      <c r="F149" s="4">
        <v>3.4685999999999999</v>
      </c>
      <c r="G149" s="4">
        <v>3.5289000000000001</v>
      </c>
      <c r="H149" s="60">
        <v>2318</v>
      </c>
      <c r="I149" s="5">
        <v>-1.0385164051355256E-2</v>
      </c>
      <c r="J149" s="5">
        <v>-4.6380557006570844E-2</v>
      </c>
      <c r="K149" s="2">
        <v>2606520445.4200001</v>
      </c>
      <c r="L149" s="16">
        <f t="shared" si="58"/>
        <v>5.2109359459928506E-2</v>
      </c>
      <c r="M149" s="4">
        <v>3.6246</v>
      </c>
      <c r="N149" s="4">
        <v>3.6918000000000002</v>
      </c>
      <c r="O149" s="60">
        <v>2319</v>
      </c>
      <c r="P149" s="5">
        <v>4.4974917834284867E-2</v>
      </c>
      <c r="Q149" s="5">
        <v>-3.4916009127650138E-3</v>
      </c>
      <c r="R149" s="81">
        <f t="shared" si="59"/>
        <v>4.5692013763408174E-2</v>
      </c>
      <c r="S149" s="81">
        <f t="shared" si="60"/>
        <v>4.6161693445549615E-2</v>
      </c>
      <c r="T149" s="81">
        <f t="shared" si="61"/>
        <v>4.3140638481449527E-4</v>
      </c>
      <c r="U149" s="81">
        <f t="shared" si="62"/>
        <v>5.5360081885640122E-2</v>
      </c>
      <c r="V149" s="83">
        <f>Q149-J149</f>
        <v>4.288895609380583E-2</v>
      </c>
    </row>
    <row r="150" spans="1:24">
      <c r="A150" s="84">
        <v>127</v>
      </c>
      <c r="B150" s="147" t="s">
        <v>169</v>
      </c>
      <c r="C150" s="148" t="s">
        <v>114</v>
      </c>
      <c r="D150" s="2">
        <v>183158328.66999999</v>
      </c>
      <c r="E150" s="3">
        <f t="shared" si="57"/>
        <v>3.7723073176001991E-3</v>
      </c>
      <c r="F150" s="4">
        <v>167.04328100000001</v>
      </c>
      <c r="G150" s="4">
        <v>172.43466100000001</v>
      </c>
      <c r="H150" s="60">
        <v>139</v>
      </c>
      <c r="I150" s="5">
        <v>2.1700000000000001E-2</v>
      </c>
      <c r="J150" s="5">
        <v>-6.8599999999999994E-2</v>
      </c>
      <c r="K150" s="2">
        <v>188603817.77000001</v>
      </c>
      <c r="L150" s="16">
        <f t="shared" si="58"/>
        <v>3.770553249624769E-3</v>
      </c>
      <c r="M150" s="4">
        <v>172.00965299999999</v>
      </c>
      <c r="N150" s="4">
        <v>177.47059400000001</v>
      </c>
      <c r="O150" s="60">
        <v>139</v>
      </c>
      <c r="P150" s="5">
        <v>1.7899999999999999E-2</v>
      </c>
      <c r="Q150" s="5">
        <v>-4.1399999999999999E-2</v>
      </c>
      <c r="R150" s="81">
        <f t="shared" si="59"/>
        <v>2.9731048211360731E-2</v>
      </c>
      <c r="S150" s="81">
        <f t="shared" si="60"/>
        <v>2.920487662280381E-2</v>
      </c>
      <c r="T150" s="81">
        <f t="shared" si="61"/>
        <v>0</v>
      </c>
      <c r="U150" s="81">
        <f t="shared" si="62"/>
        <v>-3.8000000000000013E-3</v>
      </c>
      <c r="V150" s="83">
        <f t="shared" si="63"/>
        <v>2.7199999999999995E-2</v>
      </c>
    </row>
    <row r="151" spans="1:24">
      <c r="A151" s="75">
        <v>128</v>
      </c>
      <c r="B151" s="125" t="s">
        <v>170</v>
      </c>
      <c r="C151" s="126" t="s">
        <v>29</v>
      </c>
      <c r="D151" s="2">
        <v>1640908904.8900001</v>
      </c>
      <c r="E151" s="3">
        <f t="shared" si="57"/>
        <v>3.3795966115112056E-2</v>
      </c>
      <c r="F151" s="4">
        <v>552.22</v>
      </c>
      <c r="G151" s="4">
        <v>552.22</v>
      </c>
      <c r="H151" s="60">
        <v>818</v>
      </c>
      <c r="I151" s="5">
        <v>-2.15E-3</v>
      </c>
      <c r="J151" s="5">
        <v>4.965E-2</v>
      </c>
      <c r="K151" s="2">
        <v>1662318840.3900001</v>
      </c>
      <c r="L151" s="16">
        <f t="shared" ref="L151:L159" si="64">(K151/$K$160)</f>
        <v>3.3232952437837561E-2</v>
      </c>
      <c r="M151" s="4">
        <v>552.22</v>
      </c>
      <c r="N151" s="4">
        <v>552.22</v>
      </c>
      <c r="O151" s="60">
        <v>818</v>
      </c>
      <c r="P151" s="5">
        <v>1.3047E-2</v>
      </c>
      <c r="Q151" s="5">
        <v>6.3339999999999994E-2</v>
      </c>
      <c r="R151" s="81">
        <f t="shared" si="59"/>
        <v>1.3047607601005271E-2</v>
      </c>
      <c r="S151" s="81">
        <f t="shared" si="60"/>
        <v>0</v>
      </c>
      <c r="T151" s="81">
        <f t="shared" si="61"/>
        <v>0</v>
      </c>
      <c r="U151" s="81">
        <f t="shared" si="62"/>
        <v>1.5196999999999999E-2</v>
      </c>
      <c r="V151" s="83">
        <f t="shared" si="63"/>
        <v>1.3689999999999994E-2</v>
      </c>
    </row>
    <row r="152" spans="1:24">
      <c r="A152" s="75">
        <v>129</v>
      </c>
      <c r="B152" s="125" t="s">
        <v>171</v>
      </c>
      <c r="C152" s="126" t="s">
        <v>80</v>
      </c>
      <c r="D152" s="4">
        <v>25766313.91</v>
      </c>
      <c r="E152" s="3">
        <f t="shared" si="57"/>
        <v>5.3067995987996375E-4</v>
      </c>
      <c r="F152" s="4">
        <v>1.63</v>
      </c>
      <c r="G152" s="4">
        <v>1.63</v>
      </c>
      <c r="H152" s="60">
        <v>8</v>
      </c>
      <c r="I152" s="5">
        <v>-5.3569999999999998E-3</v>
      </c>
      <c r="J152" s="128">
        <v>-2.1840000000000002E-3</v>
      </c>
      <c r="K152" s="4">
        <v>27362493.25</v>
      </c>
      <c r="L152" s="16">
        <f t="shared" si="64"/>
        <v>5.4702889401443591E-4</v>
      </c>
      <c r="M152" s="4">
        <v>1.73</v>
      </c>
      <c r="N152" s="4">
        <v>1.73</v>
      </c>
      <c r="O152" s="60">
        <v>8</v>
      </c>
      <c r="P152" s="5">
        <v>6.1948000000000003E-2</v>
      </c>
      <c r="Q152" s="128">
        <v>5.9629000000000001E-2</v>
      </c>
      <c r="R152" s="81">
        <f t="shared" si="59"/>
        <v>6.194829984511354E-2</v>
      </c>
      <c r="S152" s="81">
        <f t="shared" si="60"/>
        <v>6.1349693251533798E-2</v>
      </c>
      <c r="T152" s="81">
        <f t="shared" si="61"/>
        <v>0</v>
      </c>
      <c r="U152" s="81">
        <f t="shared" si="62"/>
        <v>6.7305000000000004E-2</v>
      </c>
      <c r="V152" s="83">
        <f t="shared" si="63"/>
        <v>6.1813E-2</v>
      </c>
    </row>
    <row r="153" spans="1:24">
      <c r="A153" s="75">
        <v>130</v>
      </c>
      <c r="B153" s="125" t="s">
        <v>172</v>
      </c>
      <c r="C153" s="126" t="s">
        <v>38</v>
      </c>
      <c r="D153" s="4">
        <v>236513255.86000001</v>
      </c>
      <c r="E153" s="3">
        <f t="shared" si="57"/>
        <v>4.8711991000836329E-3</v>
      </c>
      <c r="F153" s="4">
        <v>2.31</v>
      </c>
      <c r="G153" s="4">
        <v>2.36</v>
      </c>
      <c r="H153" s="60">
        <v>120</v>
      </c>
      <c r="I153" s="5">
        <v>-9.2999999999999992E-3</v>
      </c>
      <c r="J153" s="5">
        <v>4.4000000000000003E-3</v>
      </c>
      <c r="K153" s="4">
        <v>264696603.28</v>
      </c>
      <c r="L153" s="16">
        <f t="shared" si="64"/>
        <v>5.2917944581543676E-3</v>
      </c>
      <c r="M153" s="4">
        <v>2.5781320000000001</v>
      </c>
      <c r="N153" s="4">
        <v>2.6198250000000001</v>
      </c>
      <c r="O153" s="60">
        <v>120</v>
      </c>
      <c r="P153" s="5">
        <v>0.1021</v>
      </c>
      <c r="Q153" s="5">
        <v>0.10879999999999999</v>
      </c>
      <c r="R153" s="81">
        <f t="shared" si="59"/>
        <v>0.11916180899679736</v>
      </c>
      <c r="S153" s="81">
        <f t="shared" si="60"/>
        <v>0.11009533898305093</v>
      </c>
      <c r="T153" s="81">
        <f t="shared" si="61"/>
        <v>0</v>
      </c>
      <c r="U153" s="81">
        <f t="shared" si="62"/>
        <v>0.1114</v>
      </c>
      <c r="V153" s="83">
        <f t="shared" si="63"/>
        <v>0.10439999999999999</v>
      </c>
    </row>
    <row r="154" spans="1:24">
      <c r="A154" s="84">
        <v>131</v>
      </c>
      <c r="B154" s="147" t="s">
        <v>173</v>
      </c>
      <c r="C154" s="148" t="s">
        <v>42</v>
      </c>
      <c r="D154" s="2">
        <v>2844972402.9699998</v>
      </c>
      <c r="E154" s="3">
        <f t="shared" si="57"/>
        <v>5.8594715796029186E-2</v>
      </c>
      <c r="F154" s="4">
        <v>5385.63</v>
      </c>
      <c r="G154" s="4">
        <v>5429.27</v>
      </c>
      <c r="H154" s="60">
        <v>2207</v>
      </c>
      <c r="I154" s="5">
        <v>-5.8999999999999999E-3</v>
      </c>
      <c r="J154" s="5">
        <v>8.1299999999999997E-2</v>
      </c>
      <c r="K154" s="2">
        <v>2931061206.4099998</v>
      </c>
      <c r="L154" s="3">
        <f t="shared" si="64"/>
        <v>5.8597553789477147E-2</v>
      </c>
      <c r="M154" s="4">
        <v>5569.4</v>
      </c>
      <c r="N154" s="4">
        <v>5617.58</v>
      </c>
      <c r="O154" s="60">
        <v>2217</v>
      </c>
      <c r="P154" s="5">
        <v>2.4899999999999999E-2</v>
      </c>
      <c r="Q154" s="5">
        <v>0.1081</v>
      </c>
      <c r="R154" s="81">
        <f t="shared" si="59"/>
        <v>3.0259978392102479E-2</v>
      </c>
      <c r="S154" s="81">
        <f t="shared" si="60"/>
        <v>3.4684220898942117E-2</v>
      </c>
      <c r="T154" s="81">
        <f t="shared" si="61"/>
        <v>4.5310376076121428E-3</v>
      </c>
      <c r="U154" s="81">
        <f t="shared" si="62"/>
        <v>3.0799999999999998E-2</v>
      </c>
      <c r="V154" s="83">
        <f t="shared" si="63"/>
        <v>2.6800000000000004E-2</v>
      </c>
    </row>
    <row r="155" spans="1:24">
      <c r="A155" s="75">
        <v>132</v>
      </c>
      <c r="B155" s="125" t="s">
        <v>256</v>
      </c>
      <c r="C155" s="125" t="s">
        <v>257</v>
      </c>
      <c r="D155" s="2">
        <v>606430783.21000004</v>
      </c>
      <c r="E155" s="3">
        <f t="shared" si="57"/>
        <v>1.2489976828969627E-2</v>
      </c>
      <c r="F155" s="4">
        <v>1.1930000000000001</v>
      </c>
      <c r="G155" s="4">
        <v>1.1930000000000001</v>
      </c>
      <c r="H155" s="60">
        <v>33</v>
      </c>
      <c r="I155" s="5">
        <v>3.3999999999999998E-3</v>
      </c>
      <c r="J155" s="5">
        <v>2.8E-3</v>
      </c>
      <c r="K155" s="2">
        <v>623011538.09000003</v>
      </c>
      <c r="L155" s="3">
        <f t="shared" si="64"/>
        <v>1.2455199514379242E-2</v>
      </c>
      <c r="M155" s="4">
        <v>1.1970000000000001</v>
      </c>
      <c r="N155" s="4">
        <v>1.1970000000000001</v>
      </c>
      <c r="O155" s="60">
        <v>33</v>
      </c>
      <c r="P155" s="5">
        <v>3.3999999999999998E-3</v>
      </c>
      <c r="Q155" s="5">
        <v>5.4100000000000002E-2</v>
      </c>
      <c r="R155" s="81">
        <f>((K155-D155)/D155)</f>
        <v>2.7341545546605721E-2</v>
      </c>
      <c r="S155" s="81">
        <f>((N155-G155)/G155)</f>
        <v>3.3528918692372197E-3</v>
      </c>
      <c r="T155" s="81">
        <f>((O155-H155)/H155)</f>
        <v>0</v>
      </c>
      <c r="U155" s="81">
        <f>P155-I155</f>
        <v>0</v>
      </c>
      <c r="V155" s="83">
        <f>Q155-J155</f>
        <v>5.1300000000000005E-2</v>
      </c>
    </row>
    <row r="156" spans="1:24">
      <c r="A156" s="75">
        <v>133</v>
      </c>
      <c r="B156" s="125" t="s">
        <v>174</v>
      </c>
      <c r="C156" s="126" t="s">
        <v>45</v>
      </c>
      <c r="D156" s="4">
        <v>1701508560.3199999</v>
      </c>
      <c r="E156" s="3">
        <f t="shared" si="57"/>
        <v>3.5044069465271541E-2</v>
      </c>
      <c r="F156" s="4">
        <v>1.8517999999999999</v>
      </c>
      <c r="G156" s="4">
        <v>1.8387</v>
      </c>
      <c r="H156" s="60">
        <v>2004</v>
      </c>
      <c r="I156" s="5">
        <v>-4.5999999999999999E-3</v>
      </c>
      <c r="J156" s="5">
        <v>-5.7000000000000002E-3</v>
      </c>
      <c r="K156" s="4">
        <v>1838255063.71</v>
      </c>
      <c r="L156" s="16">
        <f t="shared" si="64"/>
        <v>3.6750256098015396E-2</v>
      </c>
      <c r="M156" s="4">
        <v>1.9992000000000001</v>
      </c>
      <c r="N156" s="4">
        <v>2.0129000000000001</v>
      </c>
      <c r="O156" s="60">
        <v>2008</v>
      </c>
      <c r="P156" s="5">
        <v>8.7300000000000003E-2</v>
      </c>
      <c r="Q156" s="5">
        <v>8.1100000000000005E-2</v>
      </c>
      <c r="R156" s="81">
        <f t="shared" si="59"/>
        <v>8.0367802183894041E-2</v>
      </c>
      <c r="S156" s="81">
        <f t="shared" si="60"/>
        <v>9.4740849513243131E-2</v>
      </c>
      <c r="T156" s="81">
        <f t="shared" si="61"/>
        <v>1.996007984031936E-3</v>
      </c>
      <c r="U156" s="81">
        <f t="shared" si="62"/>
        <v>9.1900000000000009E-2</v>
      </c>
      <c r="V156" s="83">
        <f t="shared" si="63"/>
        <v>8.6800000000000002E-2</v>
      </c>
    </row>
    <row r="157" spans="1:24">
      <c r="A157" s="75">
        <v>134</v>
      </c>
      <c r="B157" s="125" t="s">
        <v>175</v>
      </c>
      <c r="C157" s="126" t="s">
        <v>45</v>
      </c>
      <c r="D157" s="4">
        <v>1058278565.21</v>
      </c>
      <c r="E157" s="3">
        <f t="shared" si="57"/>
        <v>2.1796180411723796E-2</v>
      </c>
      <c r="F157" s="4">
        <v>1.6268</v>
      </c>
      <c r="G157" s="4">
        <v>1.6379999999999999</v>
      </c>
      <c r="H157" s="60">
        <v>578</v>
      </c>
      <c r="I157" s="5">
        <v>6.9999999999999999E-4</v>
      </c>
      <c r="J157" s="5">
        <v>0.14349999999999999</v>
      </c>
      <c r="K157" s="4">
        <v>1080666764.1600001</v>
      </c>
      <c r="L157" s="16">
        <f t="shared" si="64"/>
        <v>2.1604608154507415E-2</v>
      </c>
      <c r="M157" s="4">
        <v>1.6620999999999999</v>
      </c>
      <c r="N157" s="4">
        <v>1.6737</v>
      </c>
      <c r="O157" s="60">
        <v>589</v>
      </c>
      <c r="P157" s="5">
        <v>2.1700000000000001E-2</v>
      </c>
      <c r="Q157" s="5">
        <v>0.16830000000000001</v>
      </c>
      <c r="R157" s="81">
        <f t="shared" si="59"/>
        <v>2.1155298506454617E-2</v>
      </c>
      <c r="S157" s="81">
        <f t="shared" si="60"/>
        <v>2.1794871794871835E-2</v>
      </c>
      <c r="T157" s="81">
        <f t="shared" si="61"/>
        <v>1.9031141868512111E-2</v>
      </c>
      <c r="U157" s="81">
        <f t="shared" si="62"/>
        <v>2.1000000000000001E-2</v>
      </c>
      <c r="V157" s="83">
        <f t="shared" si="63"/>
        <v>2.4800000000000016E-2</v>
      </c>
    </row>
    <row r="158" spans="1:24">
      <c r="A158" s="84">
        <v>135</v>
      </c>
      <c r="B158" s="147" t="s">
        <v>176</v>
      </c>
      <c r="C158" s="148" t="s">
        <v>87</v>
      </c>
      <c r="D158" s="2">
        <v>9061768672.8799992</v>
      </c>
      <c r="E158" s="3">
        <f t="shared" si="57"/>
        <v>0.18663511795139306</v>
      </c>
      <c r="F158" s="4">
        <v>443.99</v>
      </c>
      <c r="G158" s="4">
        <v>448.27</v>
      </c>
      <c r="H158" s="60">
        <v>31</v>
      </c>
      <c r="I158" s="5">
        <v>1.61E-2</v>
      </c>
      <c r="J158" s="5">
        <v>0.27150000000000002</v>
      </c>
      <c r="K158" s="2">
        <v>9278978862.8400002</v>
      </c>
      <c r="L158" s="16">
        <f t="shared" si="64"/>
        <v>0.18550464310932971</v>
      </c>
      <c r="M158" s="4">
        <v>454.54</v>
      </c>
      <c r="N158" s="4">
        <v>459.06</v>
      </c>
      <c r="O158" s="60">
        <v>31</v>
      </c>
      <c r="P158" s="5">
        <v>2.1600000000000001E-2</v>
      </c>
      <c r="Q158" s="5">
        <v>0.30199999999999999</v>
      </c>
      <c r="R158" s="81">
        <f t="shared" si="59"/>
        <v>2.3969955292509972E-2</v>
      </c>
      <c r="S158" s="81">
        <f t="shared" si="60"/>
        <v>2.4070314765654674E-2</v>
      </c>
      <c r="T158" s="81">
        <f t="shared" si="61"/>
        <v>0</v>
      </c>
      <c r="U158" s="81">
        <f t="shared" si="62"/>
        <v>5.5000000000000014E-3</v>
      </c>
      <c r="V158" s="83">
        <f t="shared" si="63"/>
        <v>3.0499999999999972E-2</v>
      </c>
    </row>
    <row r="159" spans="1:24">
      <c r="A159" s="75">
        <v>136</v>
      </c>
      <c r="B159" s="125" t="s">
        <v>177</v>
      </c>
      <c r="C159" s="126" t="s">
        <v>40</v>
      </c>
      <c r="D159" s="2">
        <v>313904869.04000002</v>
      </c>
      <c r="E159" s="3">
        <f t="shared" si="57"/>
        <v>6.4651476299689495E-3</v>
      </c>
      <c r="F159" s="4">
        <v>218.28</v>
      </c>
      <c r="G159" s="4">
        <v>221.16</v>
      </c>
      <c r="H159" s="60">
        <v>690</v>
      </c>
      <c r="I159" s="5">
        <v>-3.0000000000000001E-3</v>
      </c>
      <c r="J159" s="5">
        <v>6.6100000000000006E-2</v>
      </c>
      <c r="K159" s="2">
        <v>326745777.41000003</v>
      </c>
      <c r="L159" s="16">
        <f t="shared" si="64"/>
        <v>6.5322768509218131E-3</v>
      </c>
      <c r="M159" s="4">
        <v>227.32</v>
      </c>
      <c r="N159" s="4">
        <v>230.4</v>
      </c>
      <c r="O159" s="60">
        <v>689</v>
      </c>
      <c r="P159" s="5">
        <v>4.1599999999999998E-2</v>
      </c>
      <c r="Q159" s="5">
        <v>0.11020000000000001</v>
      </c>
      <c r="R159" s="81">
        <f t="shared" si="59"/>
        <v>4.0907006027879493E-2</v>
      </c>
      <c r="S159" s="81">
        <f t="shared" si="60"/>
        <v>4.1779706999457447E-2</v>
      </c>
      <c r="T159" s="81">
        <f t="shared" si="61"/>
        <v>-1.4492753623188406E-3</v>
      </c>
      <c r="U159" s="81">
        <f t="shared" si="62"/>
        <v>4.4600000000000001E-2</v>
      </c>
      <c r="V159" s="83">
        <f t="shared" si="63"/>
        <v>4.41E-2</v>
      </c>
    </row>
    <row r="160" spans="1:24">
      <c r="A160" s="84"/>
      <c r="B160" s="19"/>
      <c r="C160" s="71" t="s">
        <v>46</v>
      </c>
      <c r="D160" s="72">
        <f>SUM(D134:D159)</f>
        <v>48553395375.67646</v>
      </c>
      <c r="E160" s="100">
        <f>(D160/$D$186)</f>
        <v>1.6802370376961241E-2</v>
      </c>
      <c r="F160" s="30"/>
      <c r="G160" s="36"/>
      <c r="H160" s="65">
        <f>SUM(H134:H159)</f>
        <v>69228</v>
      </c>
      <c r="I160" s="37"/>
      <c r="J160" s="37"/>
      <c r="K160" s="72">
        <f>SUM(K134:K159)</f>
        <v>50020197377.86998</v>
      </c>
      <c r="L160" s="100">
        <f>(K160/$K$186)</f>
        <v>1.9237648729653823E-2</v>
      </c>
      <c r="M160" s="30"/>
      <c r="N160" s="36"/>
      <c r="O160" s="65">
        <f>SUM(O134:O159)</f>
        <v>69267</v>
      </c>
      <c r="P160" s="37"/>
      <c r="Q160" s="37"/>
      <c r="R160" s="81">
        <f t="shared" si="59"/>
        <v>3.0210080898448056E-2</v>
      </c>
      <c r="S160" s="81" t="e">
        <f t="shared" si="60"/>
        <v>#DIV/0!</v>
      </c>
      <c r="T160" s="81">
        <f t="shared" si="61"/>
        <v>5.6335586756803605E-4</v>
      </c>
      <c r="U160" s="81">
        <f t="shared" si="62"/>
        <v>0</v>
      </c>
      <c r="V160" s="83">
        <f t="shared" si="63"/>
        <v>0</v>
      </c>
    </row>
    <row r="161" spans="1:24" ht="8.25" customHeight="1">
      <c r="A161" s="152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</row>
    <row r="162" spans="1:24" ht="15" customHeight="1">
      <c r="A162" s="150" t="s">
        <v>178</v>
      </c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</row>
    <row r="163" spans="1:24">
      <c r="A163" s="75">
        <v>137</v>
      </c>
      <c r="B163" s="125" t="s">
        <v>179</v>
      </c>
      <c r="C163" s="126" t="s">
        <v>21</v>
      </c>
      <c r="D163" s="17">
        <v>1035801537.15</v>
      </c>
      <c r="E163" s="3">
        <f>(D163/$D$166)</f>
        <v>0.20348341366303951</v>
      </c>
      <c r="F163" s="17">
        <v>63.356400000000001</v>
      </c>
      <c r="G163" s="17">
        <v>65.2667</v>
      </c>
      <c r="H163" s="62">
        <v>1509</v>
      </c>
      <c r="I163" s="6">
        <v>0.13270000000000001</v>
      </c>
      <c r="J163" s="6">
        <v>0.87150000000000005</v>
      </c>
      <c r="K163" s="17">
        <v>1018079555.62</v>
      </c>
      <c r="L163" s="16">
        <f>(K163/$K$166)</f>
        <v>0.19576263095075286</v>
      </c>
      <c r="M163" s="17">
        <v>64.033699999999996</v>
      </c>
      <c r="N163" s="17">
        <v>65.964399999999998</v>
      </c>
      <c r="O163" s="62">
        <v>1511</v>
      </c>
      <c r="P163" s="6">
        <v>0.55889999999999995</v>
      </c>
      <c r="Q163" s="6">
        <v>0.85070000000000001</v>
      </c>
      <c r="R163" s="81">
        <f>((K163-D163)/D163)</f>
        <v>-1.7109437372299977E-2</v>
      </c>
      <c r="S163" s="81">
        <f t="shared" ref="S163:T166" si="65">((N163-G163)/G163)</f>
        <v>1.0689984325850664E-2</v>
      </c>
      <c r="T163" s="81">
        <f t="shared" si="65"/>
        <v>1.3253810470510272E-3</v>
      </c>
      <c r="U163" s="81">
        <f t="shared" ref="U163:V166" si="66">P163-I163</f>
        <v>0.42619999999999991</v>
      </c>
      <c r="V163" s="83">
        <f t="shared" si="66"/>
        <v>-2.0800000000000041E-2</v>
      </c>
    </row>
    <row r="164" spans="1:24">
      <c r="A164" s="84">
        <v>138</v>
      </c>
      <c r="B164" s="147" t="s">
        <v>180</v>
      </c>
      <c r="C164" s="148" t="s">
        <v>181</v>
      </c>
      <c r="D164" s="98">
        <v>805652890.09000003</v>
      </c>
      <c r="E164" s="3">
        <f>(D164/$D$166)</f>
        <v>0.15827066713385868</v>
      </c>
      <c r="F164" s="17">
        <v>21.5761</v>
      </c>
      <c r="G164" s="17">
        <v>21.746099999999998</v>
      </c>
      <c r="H164" s="60">
        <v>1500</v>
      </c>
      <c r="I164" s="5">
        <v>-2.1700000000000001E-2</v>
      </c>
      <c r="J164" s="5">
        <v>-1.0500000000000001E-2</v>
      </c>
      <c r="K164" s="98">
        <v>826814824.36000001</v>
      </c>
      <c r="L164" s="16">
        <f>(K164/$K$166)</f>
        <v>0.15898506598261616</v>
      </c>
      <c r="M164" s="17">
        <v>22.543099999999999</v>
      </c>
      <c r="N164" s="17">
        <v>22.733599999999999</v>
      </c>
      <c r="O164" s="60">
        <v>1500</v>
      </c>
      <c r="P164" s="5">
        <v>3.5499999999999997E-2</v>
      </c>
      <c r="Q164" s="5">
        <v>3.4200000000000001E-2</v>
      </c>
      <c r="R164" s="81">
        <f>((K164-D164)/D164)</f>
        <v>2.6266813574808832E-2</v>
      </c>
      <c r="S164" s="81">
        <f t="shared" si="65"/>
        <v>4.5410441412483196E-2</v>
      </c>
      <c r="T164" s="81">
        <f t="shared" si="65"/>
        <v>0</v>
      </c>
      <c r="U164" s="81">
        <f t="shared" si="66"/>
        <v>5.7200000000000001E-2</v>
      </c>
      <c r="V164" s="83">
        <f t="shared" si="66"/>
        <v>4.4700000000000004E-2</v>
      </c>
    </row>
    <row r="165" spans="1:24">
      <c r="A165" s="84">
        <v>139</v>
      </c>
      <c r="B165" s="147" t="s">
        <v>182</v>
      </c>
      <c r="C165" s="148" t="s">
        <v>42</v>
      </c>
      <c r="D165" s="9">
        <v>3248894306.8600001</v>
      </c>
      <c r="E165" s="3">
        <f>(D165/$D$166)</f>
        <v>0.63824591920310181</v>
      </c>
      <c r="F165" s="17">
        <v>2.27</v>
      </c>
      <c r="G165" s="17">
        <v>2.2999999999999998</v>
      </c>
      <c r="H165" s="60">
        <v>10031</v>
      </c>
      <c r="I165" s="5">
        <v>0</v>
      </c>
      <c r="J165" s="5">
        <v>0.10580000000000001</v>
      </c>
      <c r="K165" s="9">
        <v>3355687317.7399998</v>
      </c>
      <c r="L165" s="16">
        <f>(K165/$K$166)</f>
        <v>0.64525230306663106</v>
      </c>
      <c r="M165" s="17">
        <v>2.39</v>
      </c>
      <c r="N165" s="17">
        <v>2.42</v>
      </c>
      <c r="O165" s="60">
        <v>10036</v>
      </c>
      <c r="P165" s="5">
        <v>3.4799999999999998E-2</v>
      </c>
      <c r="Q165" s="5">
        <v>0.14419999999999999</v>
      </c>
      <c r="R165" s="81">
        <f>((K165-D165)/D165)</f>
        <v>3.2870570967638901E-2</v>
      </c>
      <c r="S165" s="81">
        <f t="shared" si="65"/>
        <v>5.2173913043478314E-2</v>
      </c>
      <c r="T165" s="81">
        <f t="shared" si="65"/>
        <v>4.9845479015053339E-4</v>
      </c>
      <c r="U165" s="81">
        <f t="shared" si="66"/>
        <v>3.4799999999999998E-2</v>
      </c>
      <c r="V165" s="83">
        <f t="shared" si="66"/>
        <v>3.839999999999999E-2</v>
      </c>
    </row>
    <row r="166" spans="1:24">
      <c r="A166" s="75"/>
      <c r="B166" s="19"/>
      <c r="C166" s="66" t="s">
        <v>46</v>
      </c>
      <c r="D166" s="72">
        <f>SUM(D163:D165)</f>
        <v>5090348734.1000004</v>
      </c>
      <c r="E166" s="100">
        <f>(D166/$D$186)</f>
        <v>1.7615642349307556E-3</v>
      </c>
      <c r="F166" s="30"/>
      <c r="G166" s="36"/>
      <c r="H166" s="65">
        <f>SUM(H163:H165)</f>
        <v>13040</v>
      </c>
      <c r="I166" s="37"/>
      <c r="J166" s="37"/>
      <c r="K166" s="72">
        <f>SUM(K163:K165)</f>
        <v>5200581697.7199993</v>
      </c>
      <c r="L166" s="100">
        <f>(K166/$K$186)</f>
        <v>2.000131329646992E-3</v>
      </c>
      <c r="M166" s="30"/>
      <c r="N166" s="36"/>
      <c r="O166" s="65">
        <f>SUM(O163:O165)</f>
        <v>13047</v>
      </c>
      <c r="P166" s="37"/>
      <c r="Q166" s="37"/>
      <c r="R166" s="81">
        <f>((K166-D166)/D166)</f>
        <v>2.1655287167567445E-2</v>
      </c>
      <c r="S166" s="81" t="e">
        <f t="shared" si="65"/>
        <v>#DIV/0!</v>
      </c>
      <c r="T166" s="81">
        <f t="shared" si="65"/>
        <v>5.3680981595092029E-4</v>
      </c>
      <c r="U166" s="81">
        <f t="shared" si="66"/>
        <v>0</v>
      </c>
      <c r="V166" s="83">
        <f t="shared" si="66"/>
        <v>0</v>
      </c>
    </row>
    <row r="167" spans="1:24" ht="6" customHeight="1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</row>
    <row r="168" spans="1:24" ht="15" customHeight="1">
      <c r="A168" s="150" t="s">
        <v>183</v>
      </c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</row>
    <row r="169" spans="1:24">
      <c r="A169" s="151" t="s">
        <v>232</v>
      </c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</row>
    <row r="170" spans="1:24">
      <c r="A170" s="75">
        <v>140</v>
      </c>
      <c r="B170" s="125" t="s">
        <v>184</v>
      </c>
      <c r="C170" s="126" t="s">
        <v>185</v>
      </c>
      <c r="D170" s="13">
        <v>4016788434.29</v>
      </c>
      <c r="E170" s="3">
        <f>(D170/$D$185)</f>
        <v>8.0743841150857851E-2</v>
      </c>
      <c r="F170" s="18">
        <v>1.91</v>
      </c>
      <c r="G170" s="18">
        <v>1.94</v>
      </c>
      <c r="H170" s="61">
        <v>14982</v>
      </c>
      <c r="I170" s="12">
        <v>5.0000000000000001E-3</v>
      </c>
      <c r="J170" s="12">
        <v>4.6899999999999997E-2</v>
      </c>
      <c r="K170" s="13">
        <v>4038622344.3499999</v>
      </c>
      <c r="L170" s="3">
        <f>(K170/$K$185)</f>
        <v>8.2003509469563668E-2</v>
      </c>
      <c r="M170" s="18">
        <v>1.92</v>
      </c>
      <c r="N170" s="18">
        <v>1.95</v>
      </c>
      <c r="O170" s="61">
        <v>14983</v>
      </c>
      <c r="P170" s="12">
        <v>4.1999999999999997E-3</v>
      </c>
      <c r="Q170" s="12">
        <v>5.1299999999999998E-2</v>
      </c>
      <c r="R170" s="81">
        <f>((K170-D170)/D170)</f>
        <v>5.4356634453562565E-3</v>
      </c>
      <c r="S170" s="81">
        <f>((N170-G170)/G170)</f>
        <v>5.1546391752577371E-3</v>
      </c>
      <c r="T170" s="81">
        <f>((O170-H170)/H170)</f>
        <v>6.6746762782005068E-5</v>
      </c>
      <c r="U170" s="81">
        <f>P170-I170</f>
        <v>-8.0000000000000036E-4</v>
      </c>
      <c r="V170" s="83">
        <f>Q170-J170</f>
        <v>4.4000000000000011E-3</v>
      </c>
    </row>
    <row r="171" spans="1:24">
      <c r="A171" s="84">
        <v>141</v>
      </c>
      <c r="B171" s="147" t="s">
        <v>186</v>
      </c>
      <c r="C171" s="148" t="s">
        <v>42</v>
      </c>
      <c r="D171" s="13">
        <v>771395701.05999994</v>
      </c>
      <c r="E171" s="3">
        <f>(D171/$D$185)</f>
        <v>1.5506281440947418E-2</v>
      </c>
      <c r="F171" s="18">
        <v>428.96</v>
      </c>
      <c r="G171" s="18">
        <v>433.57</v>
      </c>
      <c r="H171" s="61">
        <v>802</v>
      </c>
      <c r="I171" s="12">
        <v>6.4000000000000003E-3</v>
      </c>
      <c r="J171" s="12">
        <v>0.13539999999999999</v>
      </c>
      <c r="K171" s="13">
        <v>793876412.14999998</v>
      </c>
      <c r="L171" s="3">
        <f>(K171/$K$185)</f>
        <v>1.611951956153589E-2</v>
      </c>
      <c r="M171" s="18">
        <v>442.8</v>
      </c>
      <c r="N171" s="18">
        <v>447.88</v>
      </c>
      <c r="O171" s="61">
        <v>805</v>
      </c>
      <c r="P171" s="12">
        <v>1.8800000000000001E-2</v>
      </c>
      <c r="Q171" s="12">
        <v>0.15670000000000001</v>
      </c>
      <c r="R171" s="81">
        <f>((K171-D171)/D171)</f>
        <v>2.9142904295562648E-2</v>
      </c>
      <c r="S171" s="81">
        <f>((N171-G171)/G171)</f>
        <v>3.3005051087482994E-2</v>
      </c>
      <c r="T171" s="81">
        <f>((O171-H171)/H171)</f>
        <v>3.740648379052369E-3</v>
      </c>
      <c r="U171" s="81">
        <f>P171-I171</f>
        <v>1.2400000000000001E-2</v>
      </c>
      <c r="V171" s="83">
        <f>Q171-J171</f>
        <v>2.1300000000000013E-2</v>
      </c>
    </row>
    <row r="172" spans="1:24" ht="6" customHeight="1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</row>
    <row r="173" spans="1:24" ht="15" customHeight="1">
      <c r="A173" s="151" t="s">
        <v>231</v>
      </c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</row>
    <row r="174" spans="1:24">
      <c r="A174" s="75">
        <v>142</v>
      </c>
      <c r="B174" s="125" t="s">
        <v>187</v>
      </c>
      <c r="C174" s="126" t="s">
        <v>188</v>
      </c>
      <c r="D174" s="2">
        <v>402031684.27999997</v>
      </c>
      <c r="E174" s="3">
        <f t="shared" ref="E174:E184" si="67">(D174/$D$185)</f>
        <v>8.0814767778164057E-3</v>
      </c>
      <c r="F174" s="2">
        <v>1042.51</v>
      </c>
      <c r="G174" s="2">
        <v>1042.51</v>
      </c>
      <c r="H174" s="60">
        <v>20</v>
      </c>
      <c r="I174" s="5">
        <v>-2.8999999999999998E-3</v>
      </c>
      <c r="J174" s="5">
        <v>2.3300000000000001E-2</v>
      </c>
      <c r="K174" s="2">
        <v>402742213.89999998</v>
      </c>
      <c r="L174" s="3">
        <f t="shared" ref="L174:L184" si="68">(K174/$K$185)</f>
        <v>8.1776091289013884E-3</v>
      </c>
      <c r="M174" s="2">
        <v>1044.3499999999999</v>
      </c>
      <c r="N174" s="2">
        <v>1044.3499999999999</v>
      </c>
      <c r="O174" s="60">
        <v>20</v>
      </c>
      <c r="P174" s="5">
        <v>-2.0000000000000001E-4</v>
      </c>
      <c r="Q174" s="5">
        <v>2.53E-2</v>
      </c>
      <c r="R174" s="81">
        <f>((K174-D174)/D174)</f>
        <v>1.7673473205787123E-3</v>
      </c>
      <c r="S174" s="81">
        <f>((N174-G174)/G174)</f>
        <v>1.7649710794140278E-3</v>
      </c>
      <c r="T174" s="81">
        <f>((O174-H174)/H174)</f>
        <v>0</v>
      </c>
      <c r="U174" s="81">
        <f>P174-I174</f>
        <v>2.6999999999999997E-3</v>
      </c>
      <c r="V174" s="83">
        <f>Q174-J174</f>
        <v>1.9999999999999983E-3</v>
      </c>
      <c r="X174" s="70"/>
    </row>
    <row r="175" spans="1:24">
      <c r="A175" s="75">
        <v>143</v>
      </c>
      <c r="B175" s="125" t="s">
        <v>189</v>
      </c>
      <c r="C175" s="126" t="s">
        <v>58</v>
      </c>
      <c r="D175" s="2">
        <v>110898434.33</v>
      </c>
      <c r="E175" s="3">
        <f t="shared" si="67"/>
        <v>2.2292350498173841E-3</v>
      </c>
      <c r="F175" s="17">
        <v>111.14</v>
      </c>
      <c r="G175" s="17">
        <v>111.14</v>
      </c>
      <c r="H175" s="60">
        <v>69</v>
      </c>
      <c r="I175" s="5">
        <v>1.6000000000000001E-3</v>
      </c>
      <c r="J175" s="5">
        <v>9.4200000000000006E-2</v>
      </c>
      <c r="K175" s="2">
        <v>111135454.23999999</v>
      </c>
      <c r="L175" s="3">
        <f t="shared" si="68"/>
        <v>2.2565856614258097E-3</v>
      </c>
      <c r="M175" s="17">
        <v>111.33</v>
      </c>
      <c r="N175" s="17">
        <v>111.33</v>
      </c>
      <c r="O175" s="60">
        <v>69</v>
      </c>
      <c r="P175" s="5">
        <v>1.6999999999999999E-3</v>
      </c>
      <c r="Q175" s="5">
        <v>9.4200000000000006E-2</v>
      </c>
      <c r="R175" s="81">
        <f t="shared" ref="R175:R186" si="69">((K175-D175)/D175)</f>
        <v>2.1372701195645134E-3</v>
      </c>
      <c r="S175" s="81">
        <f t="shared" ref="S175:S185" si="70">((N175-G175)/G175)</f>
        <v>1.7095555155659324E-3</v>
      </c>
      <c r="T175" s="81">
        <f t="shared" ref="T175:T185" si="71">((O175-H175)/H175)</f>
        <v>0</v>
      </c>
      <c r="U175" s="81">
        <f t="shared" ref="U175:U185" si="72">P175-I175</f>
        <v>9.9999999999999829E-5</v>
      </c>
      <c r="V175" s="83">
        <f t="shared" ref="V175:V185" si="73">Q175-J175</f>
        <v>0</v>
      </c>
    </row>
    <row r="176" spans="1:24">
      <c r="A176" s="75">
        <v>144</v>
      </c>
      <c r="B176" s="131" t="s">
        <v>190</v>
      </c>
      <c r="C176" s="126" t="s">
        <v>64</v>
      </c>
      <c r="D176" s="9">
        <v>55843601.009999998</v>
      </c>
      <c r="E176" s="3">
        <f t="shared" si="67"/>
        <v>1.1225452679437253E-3</v>
      </c>
      <c r="F176" s="17">
        <v>100.76</v>
      </c>
      <c r="G176" s="17">
        <v>101.62</v>
      </c>
      <c r="H176" s="60">
        <v>12</v>
      </c>
      <c r="I176" s="5">
        <v>1.1999999999999999E-3</v>
      </c>
      <c r="J176" s="5">
        <v>4.9700000000000001E-2</v>
      </c>
      <c r="K176" s="9">
        <v>55843601.009999998</v>
      </c>
      <c r="L176" s="3">
        <f t="shared" si="68"/>
        <v>1.1338944010559873E-3</v>
      </c>
      <c r="M176" s="17">
        <v>101</v>
      </c>
      <c r="N176" s="17">
        <v>102</v>
      </c>
      <c r="O176" s="60">
        <v>13</v>
      </c>
      <c r="P176" s="5">
        <v>3.2000000000000002E-3</v>
      </c>
      <c r="Q176" s="5">
        <v>5.2900000000000003E-2</v>
      </c>
      <c r="R176" s="81">
        <f t="shared" si="69"/>
        <v>0</v>
      </c>
      <c r="S176" s="81">
        <f t="shared" si="70"/>
        <v>3.739421373745281E-3</v>
      </c>
      <c r="T176" s="81">
        <f t="shared" si="71"/>
        <v>8.3333333333333329E-2</v>
      </c>
      <c r="U176" s="81">
        <f t="shared" si="72"/>
        <v>2E-3</v>
      </c>
      <c r="V176" s="83">
        <f t="shared" si="73"/>
        <v>3.2000000000000015E-3</v>
      </c>
    </row>
    <row r="177" spans="1:22">
      <c r="A177" s="75">
        <v>145</v>
      </c>
      <c r="B177" s="125" t="s">
        <v>191</v>
      </c>
      <c r="C177" s="126" t="s">
        <v>27</v>
      </c>
      <c r="D177" s="2">
        <v>10072835559.530001</v>
      </c>
      <c r="E177" s="3">
        <f t="shared" si="67"/>
        <v>0.20248002792837247</v>
      </c>
      <c r="F177" s="17">
        <v>136.87</v>
      </c>
      <c r="G177" s="17">
        <v>136.87</v>
      </c>
      <c r="H177" s="60">
        <v>684</v>
      </c>
      <c r="I177" s="5">
        <v>2.5999999999999999E-3</v>
      </c>
      <c r="J177" s="5">
        <v>2.3599999999999999E-2</v>
      </c>
      <c r="K177" s="2">
        <v>10143529915.43</v>
      </c>
      <c r="L177" s="3">
        <f t="shared" si="68"/>
        <v>0.20596257350936883</v>
      </c>
      <c r="M177" s="17">
        <v>137.19999999999999</v>
      </c>
      <c r="N177" s="17">
        <v>137.19999999999999</v>
      </c>
      <c r="O177" s="60">
        <v>688</v>
      </c>
      <c r="P177" s="5">
        <v>2.3999999999999998E-3</v>
      </c>
      <c r="Q177" s="5">
        <v>2.6100000000000002E-2</v>
      </c>
      <c r="R177" s="81">
        <f t="shared" si="69"/>
        <v>7.0183172833706243E-3</v>
      </c>
      <c r="S177" s="81">
        <f t="shared" si="70"/>
        <v>2.4110469788849571E-3</v>
      </c>
      <c r="T177" s="81">
        <f t="shared" si="71"/>
        <v>5.8479532163742687E-3</v>
      </c>
      <c r="U177" s="81">
        <f t="shared" si="72"/>
        <v>-2.0000000000000009E-4</v>
      </c>
      <c r="V177" s="83">
        <f t="shared" si="73"/>
        <v>2.5000000000000022E-3</v>
      </c>
    </row>
    <row r="178" spans="1:22">
      <c r="A178" s="75">
        <v>146</v>
      </c>
      <c r="B178" s="125" t="s">
        <v>249</v>
      </c>
      <c r="C178" s="126" t="s">
        <v>56</v>
      </c>
      <c r="D178" s="2">
        <v>259811911.709084</v>
      </c>
      <c r="E178" s="3">
        <f t="shared" si="67"/>
        <v>5.2226329744068413E-3</v>
      </c>
      <c r="F178" s="4">
        <v>1051.3926760167501</v>
      </c>
      <c r="G178" s="4">
        <v>1051.3926760167501</v>
      </c>
      <c r="H178" s="60">
        <v>18</v>
      </c>
      <c r="I178" s="5">
        <v>0.11067007125429104</v>
      </c>
      <c r="J178" s="5">
        <v>0.11551227992593818</v>
      </c>
      <c r="K178" s="2">
        <v>261343585.6345</v>
      </c>
      <c r="L178" s="3">
        <f t="shared" si="68"/>
        <v>5.306535093426195E-3</v>
      </c>
      <c r="M178" s="4">
        <v>1053.5406959403199</v>
      </c>
      <c r="N178" s="4">
        <v>1053.5406959403199</v>
      </c>
      <c r="O178" s="60">
        <v>19</v>
      </c>
      <c r="P178" s="5">
        <v>0.10682094194272536</v>
      </c>
      <c r="Q178" s="5">
        <v>0.1149150565462546</v>
      </c>
      <c r="R178" s="81">
        <f t="shared" si="69"/>
        <v>5.8953183298656262E-3</v>
      </c>
      <c r="S178" s="81">
        <f t="shared" si="70"/>
        <v>2.0430234797789004E-3</v>
      </c>
      <c r="T178" s="81">
        <f t="shared" si="71"/>
        <v>5.5555555555555552E-2</v>
      </c>
      <c r="U178" s="81">
        <f t="shared" si="72"/>
        <v>-3.8491293115656827E-3</v>
      </c>
      <c r="V178" s="83">
        <f t="shared" si="73"/>
        <v>-5.9722337968358408E-4</v>
      </c>
    </row>
    <row r="179" spans="1:22">
      <c r="A179" s="75">
        <v>147</v>
      </c>
      <c r="B179" s="125" t="s">
        <v>192</v>
      </c>
      <c r="C179" s="126" t="s">
        <v>185</v>
      </c>
      <c r="D179" s="2">
        <v>19231509561.709999</v>
      </c>
      <c r="E179" s="3">
        <f t="shared" si="67"/>
        <v>0.38658395346041935</v>
      </c>
      <c r="F179" s="7">
        <v>1217.92</v>
      </c>
      <c r="G179" s="7">
        <v>1217.92</v>
      </c>
      <c r="H179" s="60">
        <v>7827</v>
      </c>
      <c r="I179" s="5">
        <v>2.8999999999999998E-3</v>
      </c>
      <c r="J179" s="5">
        <v>2.7900000000000001E-2</v>
      </c>
      <c r="K179" s="2">
        <v>19296353734.970001</v>
      </c>
      <c r="L179" s="3">
        <f t="shared" si="68"/>
        <v>0.39180903568450365</v>
      </c>
      <c r="M179" s="7">
        <v>1221.25</v>
      </c>
      <c r="N179" s="7">
        <v>1221.25</v>
      </c>
      <c r="O179" s="60">
        <v>7913</v>
      </c>
      <c r="P179" s="5">
        <v>2.7000000000000001E-3</v>
      </c>
      <c r="Q179" s="5">
        <v>3.0700000000000002E-2</v>
      </c>
      <c r="R179" s="81">
        <f t="shared" si="69"/>
        <v>3.3717672058935565E-3</v>
      </c>
      <c r="S179" s="81">
        <f t="shared" si="70"/>
        <v>2.7341697320020421E-3</v>
      </c>
      <c r="T179" s="81">
        <f t="shared" si="71"/>
        <v>1.0987607001405391E-2</v>
      </c>
      <c r="U179" s="81">
        <f t="shared" si="72"/>
        <v>-1.9999999999999966E-4</v>
      </c>
      <c r="V179" s="83">
        <f t="shared" si="73"/>
        <v>2.8000000000000004E-3</v>
      </c>
    </row>
    <row r="180" spans="1:22">
      <c r="A180" s="84">
        <v>148</v>
      </c>
      <c r="B180" s="147" t="s">
        <v>193</v>
      </c>
      <c r="C180" s="148" t="s">
        <v>78</v>
      </c>
      <c r="D180" s="2">
        <v>1089952215.3499999</v>
      </c>
      <c r="E180" s="3">
        <f t="shared" si="67"/>
        <v>2.1909774432469442E-2</v>
      </c>
      <c r="F180" s="14">
        <v>104.28</v>
      </c>
      <c r="G180" s="14">
        <v>104.28</v>
      </c>
      <c r="H180" s="60">
        <v>546</v>
      </c>
      <c r="I180" s="5">
        <v>2.0999999999999999E-3</v>
      </c>
      <c r="J180" s="5">
        <v>1.0999999999999999E-2</v>
      </c>
      <c r="K180" s="2">
        <v>1088691999.5599999</v>
      </c>
      <c r="L180" s="3">
        <f t="shared" si="68"/>
        <v>2.2105697706608755E-2</v>
      </c>
      <c r="M180" s="14">
        <v>104.51</v>
      </c>
      <c r="N180" s="14">
        <v>104.51</v>
      </c>
      <c r="O180" s="60">
        <v>546</v>
      </c>
      <c r="P180" s="5">
        <v>2.0999999999999999E-3</v>
      </c>
      <c r="Q180" s="5">
        <v>2.3199999999999998E-2</v>
      </c>
      <c r="R180" s="81">
        <f t="shared" si="69"/>
        <v>-1.1562119625540537E-3</v>
      </c>
      <c r="S180" s="81">
        <f t="shared" si="70"/>
        <v>2.2056003068661677E-3</v>
      </c>
      <c r="T180" s="81">
        <f t="shared" si="71"/>
        <v>0</v>
      </c>
      <c r="U180" s="81">
        <f t="shared" si="72"/>
        <v>0</v>
      </c>
      <c r="V180" s="83">
        <f t="shared" si="73"/>
        <v>1.2199999999999999E-2</v>
      </c>
    </row>
    <row r="181" spans="1:22" ht="15.75" customHeight="1">
      <c r="A181" s="84">
        <v>149</v>
      </c>
      <c r="B181" s="147" t="s">
        <v>194</v>
      </c>
      <c r="C181" s="148" t="s">
        <v>42</v>
      </c>
      <c r="D181" s="2">
        <v>8109326169.79</v>
      </c>
      <c r="E181" s="3">
        <f t="shared" si="67"/>
        <v>0.16301036382807541</v>
      </c>
      <c r="F181" s="14">
        <v>129.88999999999999</v>
      </c>
      <c r="G181" s="14">
        <v>129.88999999999999</v>
      </c>
      <c r="H181" s="60">
        <v>1141</v>
      </c>
      <c r="I181" s="5">
        <v>8.9999999999999998E-4</v>
      </c>
      <c r="J181" s="5">
        <v>1.2500000000000001E-2</v>
      </c>
      <c r="K181" s="2">
        <v>8088653445.9399996</v>
      </c>
      <c r="L181" s="3">
        <f t="shared" si="68"/>
        <v>0.16423867172876613</v>
      </c>
      <c r="M181" s="14">
        <v>129.99</v>
      </c>
      <c r="N181" s="14">
        <v>129.99</v>
      </c>
      <c r="O181" s="60">
        <v>1142</v>
      </c>
      <c r="P181" s="5">
        <v>8.9999999999999998E-4</v>
      </c>
      <c r="Q181" s="5">
        <v>1.34E-2</v>
      </c>
      <c r="R181" s="81">
        <f t="shared" si="69"/>
        <v>-2.549252973325122E-3</v>
      </c>
      <c r="S181" s="81">
        <f t="shared" si="70"/>
        <v>7.6988220802234777E-4</v>
      </c>
      <c r="T181" s="81">
        <f t="shared" si="71"/>
        <v>8.7642418930762491E-4</v>
      </c>
      <c r="U181" s="81">
        <f t="shared" si="72"/>
        <v>0</v>
      </c>
      <c r="V181" s="83">
        <f t="shared" si="73"/>
        <v>8.9999999999999976E-4</v>
      </c>
    </row>
    <row r="182" spans="1:22">
      <c r="A182" s="75">
        <v>150</v>
      </c>
      <c r="B182" s="125" t="s">
        <v>195</v>
      </c>
      <c r="C182" s="126" t="s">
        <v>45</v>
      </c>
      <c r="D182" s="2">
        <v>5072991517.8900003</v>
      </c>
      <c r="E182" s="3">
        <f t="shared" si="67"/>
        <v>0.10197520431582348</v>
      </c>
      <c r="F182" s="14">
        <v>1.2000999999999999</v>
      </c>
      <c r="G182" s="14">
        <v>1.2000999999999999</v>
      </c>
      <c r="H182" s="60">
        <v>613</v>
      </c>
      <c r="I182" s="5">
        <v>9.5600000000000004E-2</v>
      </c>
      <c r="J182" s="5">
        <v>9.64E-2</v>
      </c>
      <c r="K182" s="2">
        <v>4406263983.96</v>
      </c>
      <c r="L182" s="3">
        <f t="shared" si="68"/>
        <v>8.9468407671135119E-2</v>
      </c>
      <c r="M182" s="14">
        <v>1.2021999999999999</v>
      </c>
      <c r="N182" s="14">
        <v>1.2021999999999999</v>
      </c>
      <c r="O182" s="60">
        <v>614</v>
      </c>
      <c r="P182" s="5">
        <v>9.5399999999999999E-2</v>
      </c>
      <c r="Q182" s="5">
        <v>9.6299999999999997E-2</v>
      </c>
      <c r="R182" s="81">
        <f t="shared" si="69"/>
        <v>-0.13142689704462801</v>
      </c>
      <c r="S182" s="81">
        <f t="shared" si="70"/>
        <v>1.7498541788184242E-3</v>
      </c>
      <c r="T182" s="81">
        <f t="shared" si="71"/>
        <v>1.6313213703099511E-3</v>
      </c>
      <c r="U182" s="81">
        <f t="shared" si="72"/>
        <v>-2.0000000000000573E-4</v>
      </c>
      <c r="V182" s="83">
        <f t="shared" si="73"/>
        <v>-1.0000000000000286E-4</v>
      </c>
    </row>
    <row r="183" spans="1:22">
      <c r="A183" s="75">
        <v>151</v>
      </c>
      <c r="B183" s="125" t="s">
        <v>196</v>
      </c>
      <c r="C183" s="126" t="s">
        <v>197</v>
      </c>
      <c r="D183" s="2">
        <v>411047790.42000002</v>
      </c>
      <c r="E183" s="3">
        <f t="shared" si="67"/>
        <v>8.2627148623898375E-3</v>
      </c>
      <c r="F183" s="18">
        <v>111.9802</v>
      </c>
      <c r="G183" s="18">
        <v>112.4652</v>
      </c>
      <c r="H183" s="61">
        <v>154</v>
      </c>
      <c r="I183" s="5">
        <v>-7.2030000000000002E-3</v>
      </c>
      <c r="J183" s="5">
        <v>0.1298</v>
      </c>
      <c r="K183" s="2">
        <v>419227754.94</v>
      </c>
      <c r="L183" s="3">
        <f t="shared" si="68"/>
        <v>8.5123451119961634E-3</v>
      </c>
      <c r="M183" s="18">
        <v>113.3657</v>
      </c>
      <c r="N183" s="18">
        <v>113.8798</v>
      </c>
      <c r="O183" s="61">
        <v>156</v>
      </c>
      <c r="P183" s="5">
        <v>1.26E-2</v>
      </c>
      <c r="Q183" s="5">
        <v>0.14399999999999999</v>
      </c>
      <c r="R183" s="81">
        <f>((K183-D183)/D183)</f>
        <v>1.9900276100844296E-2</v>
      </c>
      <c r="S183" s="81">
        <f>((N183-G183)/G183)</f>
        <v>1.2578113051859663E-2</v>
      </c>
      <c r="T183" s="81">
        <f>((O183-H183)/H183)</f>
        <v>1.2987012987012988E-2</v>
      </c>
      <c r="U183" s="81">
        <f>P183-I183</f>
        <v>1.9803000000000001E-2</v>
      </c>
      <c r="V183" s="83">
        <f>Q183-J183</f>
        <v>1.419999999999999E-2</v>
      </c>
    </row>
    <row r="184" spans="1:22">
      <c r="A184" s="75">
        <v>152</v>
      </c>
      <c r="B184" s="125" t="s">
        <v>244</v>
      </c>
      <c r="C184" s="126" t="s">
        <v>197</v>
      </c>
      <c r="D184" s="2">
        <v>142871696.43000001</v>
      </c>
      <c r="E184" s="3">
        <f t="shared" si="67"/>
        <v>2.8719485106605044E-3</v>
      </c>
      <c r="F184" s="18">
        <v>101.0399</v>
      </c>
      <c r="G184" s="18">
        <v>101.0399</v>
      </c>
      <c r="H184" s="61">
        <v>59</v>
      </c>
      <c r="I184" s="5">
        <v>1.8860000000000001E-3</v>
      </c>
      <c r="J184" s="5">
        <v>8.9440000000000006E-3</v>
      </c>
      <c r="K184" s="2">
        <v>143099762.88</v>
      </c>
      <c r="L184" s="3">
        <f t="shared" si="68"/>
        <v>2.905615271712425E-3</v>
      </c>
      <c r="M184" s="18">
        <v>101.1906</v>
      </c>
      <c r="N184" s="18">
        <v>101.1906</v>
      </c>
      <c r="O184" s="61">
        <v>60</v>
      </c>
      <c r="P184" s="5">
        <v>1.4909999999999999E-3</v>
      </c>
      <c r="Q184" s="5">
        <v>1.0451E-2</v>
      </c>
      <c r="R184" s="81">
        <f t="shared" si="69"/>
        <v>1.5963025266640496E-3</v>
      </c>
      <c r="S184" s="81">
        <f t="shared" si="70"/>
        <v>1.4914899955364217E-3</v>
      </c>
      <c r="T184" s="81">
        <f t="shared" si="71"/>
        <v>1.6949152542372881E-2</v>
      </c>
      <c r="U184" s="81">
        <f t="shared" si="72"/>
        <v>-3.9500000000000017E-4</v>
      </c>
      <c r="V184" s="83">
        <f t="shared" si="73"/>
        <v>1.5069999999999997E-3</v>
      </c>
    </row>
    <row r="185" spans="1:22">
      <c r="A185" s="85"/>
      <c r="B185" s="19"/>
      <c r="C185" s="66" t="s">
        <v>46</v>
      </c>
      <c r="D185" s="59">
        <f>SUM(D170:D184)</f>
        <v>49747304277.79908</v>
      </c>
      <c r="E185" s="100">
        <f>(D185/$D$186)</f>
        <v>1.7215534058195054E-2</v>
      </c>
      <c r="F185" s="30"/>
      <c r="G185" s="34"/>
      <c r="H185" s="68">
        <f>SUM(H170:H184)</f>
        <v>26927</v>
      </c>
      <c r="I185" s="35"/>
      <c r="J185" s="35"/>
      <c r="K185" s="59">
        <f>SUM(K170:K184)</f>
        <v>49249384208.9645</v>
      </c>
      <c r="L185" s="100">
        <f>(K185/$K$186)</f>
        <v>1.8941195821490061E-2</v>
      </c>
      <c r="M185" s="30"/>
      <c r="N185" s="34"/>
      <c r="O185" s="68">
        <f>SUM(O170:O184)</f>
        <v>27028</v>
      </c>
      <c r="P185" s="35"/>
      <c r="Q185" s="35"/>
      <c r="R185" s="81">
        <f t="shared" si="69"/>
        <v>-1.0008985935279878E-2</v>
      </c>
      <c r="S185" s="81" t="e">
        <f t="shared" si="70"/>
        <v>#DIV/0!</v>
      </c>
      <c r="T185" s="81">
        <f t="shared" si="71"/>
        <v>3.7508820143350541E-3</v>
      </c>
      <c r="U185" s="81">
        <f t="shared" si="72"/>
        <v>0</v>
      </c>
      <c r="V185" s="83">
        <f t="shared" si="73"/>
        <v>0</v>
      </c>
    </row>
    <row r="186" spans="1:22">
      <c r="A186" s="86"/>
      <c r="B186" s="38"/>
      <c r="C186" s="67" t="s">
        <v>198</v>
      </c>
      <c r="D186" s="69">
        <f>SUM(D22,D56,D93,D123,D131,D160,D166,D185)</f>
        <v>2889675342608.2666</v>
      </c>
      <c r="E186" s="39"/>
      <c r="F186" s="39"/>
      <c r="G186" s="40"/>
      <c r="H186" s="69">
        <f>SUM(H22,H56,H93,H123,H131,H160,H166,H185)</f>
        <v>717923</v>
      </c>
      <c r="I186" s="41"/>
      <c r="J186" s="41"/>
      <c r="K186" s="69">
        <f>SUM(K22,K56,K93,K123,K131,K160,K166,K185)</f>
        <v>2600120112431.7485</v>
      </c>
      <c r="L186" s="39"/>
      <c r="M186" s="39"/>
      <c r="N186" s="40"/>
      <c r="O186" s="69">
        <f>SUM(O22,O56,O93,O123,O131,O160,O166,O185)</f>
        <v>719817</v>
      </c>
      <c r="P186" s="42"/>
      <c r="Q186" s="69"/>
      <c r="R186" s="25">
        <f t="shared" si="69"/>
        <v>-0.10020337783522801</v>
      </c>
      <c r="S186" s="25"/>
      <c r="T186" s="25"/>
      <c r="U186" s="25"/>
      <c r="V186" s="25"/>
    </row>
    <row r="187" spans="1:22" ht="6.75" customHeight="1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9"/>
    </row>
    <row r="188" spans="1:22" ht="15.75">
      <c r="A188" s="150" t="s">
        <v>199</v>
      </c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</row>
    <row r="189" spans="1:22">
      <c r="A189" s="75">
        <v>1</v>
      </c>
      <c r="B189" s="125" t="s">
        <v>200</v>
      </c>
      <c r="C189" s="126" t="s">
        <v>201</v>
      </c>
      <c r="D189" s="2">
        <v>92548651821</v>
      </c>
      <c r="E189" s="3">
        <f>(D189/$D$191)</f>
        <v>0.97746501987160239</v>
      </c>
      <c r="F189" s="14">
        <v>114</v>
      </c>
      <c r="G189" s="14">
        <v>114</v>
      </c>
      <c r="H189" s="64">
        <v>0</v>
      </c>
      <c r="I189" s="20">
        <v>0</v>
      </c>
      <c r="J189" s="20">
        <v>0.13800000000000001</v>
      </c>
      <c r="K189" s="2">
        <v>92548651821</v>
      </c>
      <c r="L189" s="3">
        <f>(K189/$K$191)</f>
        <v>0.97740329209977872</v>
      </c>
      <c r="M189" s="14">
        <v>114</v>
      </c>
      <c r="N189" s="14">
        <v>114</v>
      </c>
      <c r="O189" s="64">
        <v>0</v>
      </c>
      <c r="P189" s="20">
        <v>0</v>
      </c>
      <c r="Q189" s="20">
        <v>0.13800000000000001</v>
      </c>
      <c r="R189" s="81">
        <f>((K189-D189)/D189)</f>
        <v>0</v>
      </c>
      <c r="S189" s="81">
        <f>((N189-G189)/G189)</f>
        <v>0</v>
      </c>
      <c r="T189" s="81" t="e">
        <f>((O189-H189)/H189)</f>
        <v>#DIV/0!</v>
      </c>
      <c r="U189" s="81">
        <f>P189-I189</f>
        <v>0</v>
      </c>
      <c r="V189" s="83">
        <f>Q189-J189</f>
        <v>0</v>
      </c>
    </row>
    <row r="190" spans="1:22">
      <c r="A190" s="75">
        <v>2</v>
      </c>
      <c r="B190" s="125" t="s">
        <v>202</v>
      </c>
      <c r="C190" s="126" t="s">
        <v>45</v>
      </c>
      <c r="D190" s="2">
        <v>2133664107.97</v>
      </c>
      <c r="E190" s="3">
        <f>(D190/$D$191)</f>
        <v>2.2534980128397573E-2</v>
      </c>
      <c r="F190" s="21">
        <v>1000000</v>
      </c>
      <c r="G190" s="21">
        <v>1000000</v>
      </c>
      <c r="H190" s="64">
        <v>0</v>
      </c>
      <c r="I190" s="20">
        <v>0.1648</v>
      </c>
      <c r="J190" s="20">
        <v>0.1648</v>
      </c>
      <c r="K190" s="2">
        <v>2139643756.74</v>
      </c>
      <c r="L190" s="3">
        <f>(K190/$K$191)</f>
        <v>2.2596707900221225E-2</v>
      </c>
      <c r="M190" s="21">
        <v>1000000</v>
      </c>
      <c r="N190" s="21">
        <v>1000000</v>
      </c>
      <c r="O190" s="64">
        <v>0</v>
      </c>
      <c r="P190" s="20">
        <v>0.16470000000000001</v>
      </c>
      <c r="Q190" s="20">
        <v>0.16470000000000001</v>
      </c>
      <c r="R190" s="81">
        <f>((K190-D190)/D190)</f>
        <v>2.8025258275957542E-3</v>
      </c>
      <c r="S190" s="81">
        <f>((N190-G190)/G190)</f>
        <v>0</v>
      </c>
      <c r="T190" s="81" t="e">
        <f>((O190-H190)/H190)</f>
        <v>#DIV/0!</v>
      </c>
      <c r="U190" s="81">
        <f>P190-I190</f>
        <v>-9.9999999999988987E-5</v>
      </c>
      <c r="V190" s="83">
        <f>Q190-J190</f>
        <v>-9.9999999999988987E-5</v>
      </c>
    </row>
    <row r="191" spans="1:22">
      <c r="A191" s="38"/>
      <c r="B191" s="38"/>
      <c r="C191" s="67" t="s">
        <v>203</v>
      </c>
      <c r="D191" s="73">
        <f>SUM(D189:D190)</f>
        <v>94682315928.970001</v>
      </c>
      <c r="E191" s="24"/>
      <c r="F191" s="22"/>
      <c r="G191" s="22"/>
      <c r="H191" s="73">
        <f>SUM(H189:H190)</f>
        <v>0</v>
      </c>
      <c r="I191" s="23"/>
      <c r="J191" s="23"/>
      <c r="K191" s="73">
        <f>SUM(K189:K190)</f>
        <v>94688295577.740005</v>
      </c>
      <c r="L191" s="24"/>
      <c r="M191" s="22"/>
      <c r="N191" s="22"/>
      <c r="O191" s="23"/>
      <c r="P191" s="23"/>
      <c r="Q191" s="73"/>
      <c r="R191" s="25">
        <f>((K191-D191)/D191)</f>
        <v>6.3154863834236617E-5</v>
      </c>
      <c r="S191" s="26"/>
      <c r="T191" s="26"/>
      <c r="U191" s="25">
        <f>O191-H191</f>
        <v>0</v>
      </c>
      <c r="V191" s="87">
        <f>P191-I191</f>
        <v>0</v>
      </c>
    </row>
    <row r="192" spans="1:22" ht="8.2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</row>
    <row r="193" spans="1:22" ht="15.75">
      <c r="A193" s="150" t="s">
        <v>204</v>
      </c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</row>
    <row r="194" spans="1:22">
      <c r="A194" s="75">
        <v>1</v>
      </c>
      <c r="B194" s="125" t="s">
        <v>205</v>
      </c>
      <c r="C194" s="126" t="s">
        <v>74</v>
      </c>
      <c r="D194" s="27">
        <v>987059125.58986008</v>
      </c>
      <c r="E194" s="10">
        <f t="shared" ref="E194:E205" si="74">(D194/$D$206)</f>
        <v>7.2549711494820479E-2</v>
      </c>
      <c r="F194" s="21">
        <v>232.60495477550609</v>
      </c>
      <c r="G194" s="21">
        <v>237.09797199717215</v>
      </c>
      <c r="H194" s="63">
        <v>61</v>
      </c>
      <c r="I194" s="28">
        <v>2.418069301866832E-2</v>
      </c>
      <c r="J194" s="28">
        <v>0.33049777038897954</v>
      </c>
      <c r="K194" s="27">
        <v>1030412316.2300001</v>
      </c>
      <c r="L194" s="10">
        <f t="shared" ref="L194:L205" si="75">(K194/$K$206)</f>
        <v>7.4939107863164031E-2</v>
      </c>
      <c r="M194" s="21">
        <v>238.2230829976273</v>
      </c>
      <c r="N194" s="21">
        <v>242.82133055967955</v>
      </c>
      <c r="O194" s="63">
        <v>61</v>
      </c>
      <c r="P194" s="28">
        <v>2.4153089204584921E-2</v>
      </c>
      <c r="Q194" s="28">
        <v>0.36263340172368586</v>
      </c>
      <c r="R194" s="81">
        <f>((K194-D194)/D194)</f>
        <v>4.3921574215964494E-2</v>
      </c>
      <c r="S194" s="81">
        <f>((N194-G194)/G194)</f>
        <v>2.4139213483342921E-2</v>
      </c>
      <c r="T194" s="81">
        <f>((O194-H194)/H194)</f>
        <v>0</v>
      </c>
      <c r="U194" s="81">
        <f>P194-I194</f>
        <v>-2.7603814083398959E-5</v>
      </c>
      <c r="V194" s="83">
        <f>Q194-J194</f>
        <v>3.2135631334706316E-2</v>
      </c>
    </row>
    <row r="195" spans="1:22">
      <c r="A195" s="75">
        <v>2</v>
      </c>
      <c r="B195" s="125" t="s">
        <v>206</v>
      </c>
      <c r="C195" s="126" t="s">
        <v>185</v>
      </c>
      <c r="D195" s="27">
        <v>988615330.36000001</v>
      </c>
      <c r="E195" s="10">
        <f t="shared" si="74"/>
        <v>7.2664093910395675E-2</v>
      </c>
      <c r="F195" s="21">
        <v>28.12</v>
      </c>
      <c r="G195" s="21">
        <v>31.08</v>
      </c>
      <c r="H195" s="63">
        <v>187</v>
      </c>
      <c r="I195" s="28">
        <v>7.1999999999999998E-3</v>
      </c>
      <c r="J195" s="28">
        <v>0.31190000000000001</v>
      </c>
      <c r="K195" s="27">
        <v>1012151049.04</v>
      </c>
      <c r="L195" s="10">
        <f t="shared" si="75"/>
        <v>7.3611015166566235E-2</v>
      </c>
      <c r="M195" s="21">
        <v>28.79</v>
      </c>
      <c r="N195" s="21">
        <v>31.82</v>
      </c>
      <c r="O195" s="63">
        <v>187</v>
      </c>
      <c r="P195" s="28">
        <v>2.3800000000000002E-2</v>
      </c>
      <c r="Q195" s="28">
        <v>0.34310000000000002</v>
      </c>
      <c r="R195" s="81">
        <f t="shared" ref="R195:R206" si="76">((K195-D195)/D195)</f>
        <v>2.3806750671597939E-2</v>
      </c>
      <c r="S195" s="81">
        <f t="shared" ref="S195:S206" si="77">((N195-G195)/G195)</f>
        <v>2.3809523809523874E-2</v>
      </c>
      <c r="T195" s="81">
        <f t="shared" ref="T195:T206" si="78">((O195-H195)/H195)</f>
        <v>0</v>
      </c>
      <c r="U195" s="81">
        <f t="shared" ref="U195:U206" si="79">P195-I195</f>
        <v>1.6600000000000004E-2</v>
      </c>
      <c r="V195" s="83">
        <f t="shared" ref="V195:V206" si="80">Q195-J195</f>
        <v>3.1200000000000006E-2</v>
      </c>
    </row>
    <row r="196" spans="1:22">
      <c r="A196" s="84">
        <v>3</v>
      </c>
      <c r="B196" s="147" t="s">
        <v>207</v>
      </c>
      <c r="C196" s="148" t="s">
        <v>36</v>
      </c>
      <c r="D196" s="27">
        <v>267145534.34999999</v>
      </c>
      <c r="E196" s="10">
        <f t="shared" si="74"/>
        <v>1.9635431091972324E-2</v>
      </c>
      <c r="F196" s="21">
        <v>19.932514999999999</v>
      </c>
      <c r="G196" s="21">
        <v>20.379413</v>
      </c>
      <c r="H196" s="63">
        <v>107</v>
      </c>
      <c r="I196" s="28">
        <v>1.3223389773835859E-2</v>
      </c>
      <c r="J196" s="28">
        <v>-0.15145295988023877</v>
      </c>
      <c r="K196" s="27">
        <v>288774769.47000003</v>
      </c>
      <c r="L196" s="10">
        <f t="shared" si="75"/>
        <v>2.1001809912996265E-2</v>
      </c>
      <c r="M196" s="21">
        <v>21.546336</v>
      </c>
      <c r="N196" s="21">
        <v>21.997496000000002</v>
      </c>
      <c r="O196" s="63">
        <v>107</v>
      </c>
      <c r="P196" s="28">
        <v>8.0964239857599596E-2</v>
      </c>
      <c r="Q196" s="28">
        <v>-8.275099379352624E-2</v>
      </c>
      <c r="R196" s="81">
        <f t="shared" si="76"/>
        <v>8.0964239857599679E-2</v>
      </c>
      <c r="S196" s="81">
        <f t="shared" si="77"/>
        <v>7.939791985176424E-2</v>
      </c>
      <c r="T196" s="81">
        <f t="shared" si="78"/>
        <v>0</v>
      </c>
      <c r="U196" s="81">
        <f t="shared" si="79"/>
        <v>6.7740850083763737E-2</v>
      </c>
      <c r="V196" s="83">
        <f t="shared" si="80"/>
        <v>6.8701966086712529E-2</v>
      </c>
    </row>
    <row r="197" spans="1:22">
      <c r="A197" s="84">
        <v>4</v>
      </c>
      <c r="B197" s="147" t="s">
        <v>208</v>
      </c>
      <c r="C197" s="148" t="s">
        <v>36</v>
      </c>
      <c r="D197" s="27">
        <v>523121793.52999997</v>
      </c>
      <c r="E197" s="10">
        <f t="shared" si="74"/>
        <v>3.844991066221537E-2</v>
      </c>
      <c r="F197" s="21">
        <v>39.255431000000002</v>
      </c>
      <c r="G197" s="21">
        <v>39.797590999999997</v>
      </c>
      <c r="H197" s="63">
        <v>98</v>
      </c>
      <c r="I197" s="28">
        <v>-9.1307665717087483E-3</v>
      </c>
      <c r="J197" s="28">
        <v>4.2557963774251251E-2</v>
      </c>
      <c r="K197" s="27">
        <v>539613549.49000001</v>
      </c>
      <c r="L197" s="10">
        <f t="shared" si="75"/>
        <v>3.9244637658843395E-2</v>
      </c>
      <c r="M197" s="21">
        <v>40.492984</v>
      </c>
      <c r="N197" s="21">
        <v>41.043094000000004</v>
      </c>
      <c r="O197" s="63">
        <v>98</v>
      </c>
      <c r="P197" s="28">
        <v>3.1525652656744674E-2</v>
      </c>
      <c r="Q197" s="28">
        <v>7.542528401472115E-2</v>
      </c>
      <c r="R197" s="81">
        <f t="shared" si="76"/>
        <v>3.152565265674459E-2</v>
      </c>
      <c r="S197" s="81">
        <f t="shared" si="77"/>
        <v>3.1295939495433446E-2</v>
      </c>
      <c r="T197" s="81">
        <f t="shared" si="78"/>
        <v>0</v>
      </c>
      <c r="U197" s="81">
        <f t="shared" si="79"/>
        <v>4.0656419228453422E-2</v>
      </c>
      <c r="V197" s="83">
        <f t="shared" si="80"/>
        <v>3.2867320240469899E-2</v>
      </c>
    </row>
    <row r="198" spans="1:22">
      <c r="A198" s="75">
        <v>5</v>
      </c>
      <c r="B198" s="125" t="s">
        <v>209</v>
      </c>
      <c r="C198" s="126" t="s">
        <v>210</v>
      </c>
      <c r="D198" s="27">
        <v>1425408139.6500001</v>
      </c>
      <c r="E198" s="10">
        <f t="shared" si="74"/>
        <v>0.10476874851055896</v>
      </c>
      <c r="F198" s="21">
        <v>30100</v>
      </c>
      <c r="G198" s="21">
        <v>37200</v>
      </c>
      <c r="H198" s="63">
        <v>220</v>
      </c>
      <c r="I198" s="28">
        <v>0.06</v>
      </c>
      <c r="J198" s="28">
        <v>0.85</v>
      </c>
      <c r="K198" s="27">
        <v>1085516410.55</v>
      </c>
      <c r="L198" s="10">
        <f t="shared" si="75"/>
        <v>7.894667998056358E-2</v>
      </c>
      <c r="M198" s="21">
        <v>29700</v>
      </c>
      <c r="N198" s="21">
        <v>36700</v>
      </c>
      <c r="O198" s="63">
        <v>222</v>
      </c>
      <c r="P198" s="28">
        <v>0</v>
      </c>
      <c r="Q198" s="28">
        <v>0.86</v>
      </c>
      <c r="R198" s="81">
        <f t="shared" si="76"/>
        <v>-0.23845221564643121</v>
      </c>
      <c r="S198" s="81">
        <f t="shared" si="77"/>
        <v>-1.3440860215053764E-2</v>
      </c>
      <c r="T198" s="81">
        <f t="shared" si="78"/>
        <v>9.0909090909090905E-3</v>
      </c>
      <c r="U198" s="81">
        <f t="shared" si="79"/>
        <v>-0.06</v>
      </c>
      <c r="V198" s="83">
        <f t="shared" si="80"/>
        <v>1.0000000000000009E-2</v>
      </c>
    </row>
    <row r="199" spans="1:22">
      <c r="A199" s="84">
        <v>6</v>
      </c>
      <c r="B199" s="147" t="s">
        <v>211</v>
      </c>
      <c r="C199" s="148" t="s">
        <v>212</v>
      </c>
      <c r="D199" s="27">
        <v>1044631206.4</v>
      </c>
      <c r="E199" s="10">
        <f t="shared" si="74"/>
        <v>7.6781309931678129E-2</v>
      </c>
      <c r="F199" s="21">
        <v>889.99</v>
      </c>
      <c r="G199" s="21">
        <v>89.99</v>
      </c>
      <c r="H199" s="63">
        <v>46</v>
      </c>
      <c r="I199" s="28">
        <v>1.0500000000000001E-2</v>
      </c>
      <c r="J199" s="28">
        <v>9.4100000000000003E-2</v>
      </c>
      <c r="K199" s="27">
        <v>1124225376</v>
      </c>
      <c r="L199" s="10">
        <f t="shared" si="75"/>
        <v>8.1761878606820632E-2</v>
      </c>
      <c r="M199" s="21">
        <v>933</v>
      </c>
      <c r="N199" s="21">
        <v>933</v>
      </c>
      <c r="O199" s="63">
        <v>46</v>
      </c>
      <c r="P199" s="28">
        <v>5.5500000000000001E-2</v>
      </c>
      <c r="Q199" s="28">
        <v>0.1532</v>
      </c>
      <c r="R199" s="81">
        <f t="shared" si="76"/>
        <v>7.6193559135856986E-2</v>
      </c>
      <c r="S199" s="81">
        <f t="shared" si="77"/>
        <v>9.3678186465162803</v>
      </c>
      <c r="T199" s="81">
        <f t="shared" si="78"/>
        <v>0</v>
      </c>
      <c r="U199" s="81">
        <f t="shared" si="79"/>
        <v>4.4999999999999998E-2</v>
      </c>
      <c r="V199" s="83">
        <f t="shared" si="80"/>
        <v>5.91E-2</v>
      </c>
    </row>
    <row r="200" spans="1:22">
      <c r="A200" s="84">
        <v>7</v>
      </c>
      <c r="B200" s="147" t="s">
        <v>213</v>
      </c>
      <c r="C200" s="148" t="s">
        <v>212</v>
      </c>
      <c r="D200" s="27">
        <v>943331491.17999995</v>
      </c>
      <c r="E200" s="10">
        <f t="shared" si="74"/>
        <v>6.9335692011549391E-2</v>
      </c>
      <c r="F200" s="21">
        <v>600</v>
      </c>
      <c r="G200" s="21">
        <v>600</v>
      </c>
      <c r="H200" s="63">
        <v>377</v>
      </c>
      <c r="I200" s="28">
        <v>1.9699999999999999E-2</v>
      </c>
      <c r="J200" s="28">
        <v>0.41139999999999999</v>
      </c>
      <c r="K200" s="27">
        <v>970243722.15999997</v>
      </c>
      <c r="L200" s="10">
        <f t="shared" si="75"/>
        <v>7.0563208342199632E-2</v>
      </c>
      <c r="M200" s="21">
        <v>500</v>
      </c>
      <c r="N200" s="21">
        <v>500</v>
      </c>
      <c r="O200" s="63">
        <v>377</v>
      </c>
      <c r="P200" s="28">
        <v>2.0400000000000001E-2</v>
      </c>
      <c r="Q200" s="28">
        <v>0.43990000000000001</v>
      </c>
      <c r="R200" s="81">
        <f t="shared" si="76"/>
        <v>2.8528922474893626E-2</v>
      </c>
      <c r="S200" s="81">
        <f t="shared" si="77"/>
        <v>-0.16666666666666666</v>
      </c>
      <c r="T200" s="81">
        <f t="shared" si="78"/>
        <v>0</v>
      </c>
      <c r="U200" s="81">
        <f t="shared" si="79"/>
        <v>7.000000000000027E-4</v>
      </c>
      <c r="V200" s="83">
        <f t="shared" si="80"/>
        <v>2.8500000000000025E-2</v>
      </c>
    </row>
    <row r="201" spans="1:22">
      <c r="A201" s="75">
        <v>8</v>
      </c>
      <c r="B201" s="125" t="s">
        <v>214</v>
      </c>
      <c r="C201" s="126" t="s">
        <v>215</v>
      </c>
      <c r="D201" s="27">
        <v>363471856.29000002</v>
      </c>
      <c r="E201" s="10">
        <f t="shared" si="74"/>
        <v>2.6715500243785238E-2</v>
      </c>
      <c r="F201" s="21">
        <v>16.05</v>
      </c>
      <c r="G201" s="21">
        <v>16.149999999999999</v>
      </c>
      <c r="H201" s="63">
        <v>56</v>
      </c>
      <c r="I201" s="28">
        <v>-1.5299999999999999E-2</v>
      </c>
      <c r="J201" s="28">
        <v>0.41039999999999999</v>
      </c>
      <c r="K201" s="27">
        <v>368685677.70999998</v>
      </c>
      <c r="L201" s="10">
        <f t="shared" si="75"/>
        <v>2.6813514681773568E-2</v>
      </c>
      <c r="M201" s="21">
        <v>16.27</v>
      </c>
      <c r="N201" s="21">
        <v>16.37</v>
      </c>
      <c r="O201" s="63">
        <v>56</v>
      </c>
      <c r="P201" s="28">
        <v>1.5599999999999999E-2</v>
      </c>
      <c r="Q201" s="28">
        <v>0.43230000000000002</v>
      </c>
      <c r="R201" s="81">
        <f t="shared" si="76"/>
        <v>1.4344498287207283E-2</v>
      </c>
      <c r="S201" s="81">
        <f t="shared" si="77"/>
        <v>1.3622291021671977E-2</v>
      </c>
      <c r="T201" s="81">
        <f t="shared" si="78"/>
        <v>0</v>
      </c>
      <c r="U201" s="81">
        <f t="shared" si="79"/>
        <v>3.0899999999999997E-2</v>
      </c>
      <c r="V201" s="83">
        <f t="shared" si="80"/>
        <v>2.1900000000000031E-2</v>
      </c>
    </row>
    <row r="202" spans="1:22">
      <c r="A202" s="75">
        <v>9</v>
      </c>
      <c r="B202" s="125" t="s">
        <v>216</v>
      </c>
      <c r="C202" s="126" t="s">
        <v>215</v>
      </c>
      <c r="D202" s="29">
        <v>690252906.96000004</v>
      </c>
      <c r="E202" s="10">
        <f t="shared" si="74"/>
        <v>5.0734194092459342E-2</v>
      </c>
      <c r="F202" s="21">
        <v>8.5399999999999991</v>
      </c>
      <c r="G202" s="21">
        <v>8.64</v>
      </c>
      <c r="H202" s="63">
        <v>95</v>
      </c>
      <c r="I202" s="28">
        <v>-4.65E-2</v>
      </c>
      <c r="J202" s="28">
        <v>-7.1300000000000002E-2</v>
      </c>
      <c r="K202" s="29">
        <v>778322262.70000005</v>
      </c>
      <c r="L202" s="10">
        <f t="shared" si="75"/>
        <v>5.6605278370680863E-2</v>
      </c>
      <c r="M202" s="21">
        <v>9.65</v>
      </c>
      <c r="N202" s="21">
        <v>9.75</v>
      </c>
      <c r="O202" s="63">
        <v>95</v>
      </c>
      <c r="P202" s="28">
        <v>0.1</v>
      </c>
      <c r="Q202" s="28">
        <v>2.1499999999999998E-2</v>
      </c>
      <c r="R202" s="81">
        <f t="shared" si="76"/>
        <v>0.12758998166030702</v>
      </c>
      <c r="S202" s="81">
        <f t="shared" si="77"/>
        <v>0.12847222222222215</v>
      </c>
      <c r="T202" s="81">
        <f t="shared" si="78"/>
        <v>0</v>
      </c>
      <c r="U202" s="81">
        <f t="shared" si="79"/>
        <v>0.14650000000000002</v>
      </c>
      <c r="V202" s="83">
        <f t="shared" si="80"/>
        <v>9.2799999999999994E-2</v>
      </c>
    </row>
    <row r="203" spans="1:22" ht="15" customHeight="1">
      <c r="A203" s="75">
        <v>10</v>
      </c>
      <c r="B203" s="125" t="s">
        <v>217</v>
      </c>
      <c r="C203" s="126" t="s">
        <v>215</v>
      </c>
      <c r="D203" s="27">
        <v>439246543.06</v>
      </c>
      <c r="E203" s="10">
        <f t="shared" si="74"/>
        <v>3.2285006184463977E-2</v>
      </c>
      <c r="F203" s="21">
        <v>123.77</v>
      </c>
      <c r="G203" s="21">
        <v>125.77</v>
      </c>
      <c r="H203" s="63">
        <v>203</v>
      </c>
      <c r="I203" s="28">
        <v>0.20810000000000001</v>
      </c>
      <c r="J203" s="28">
        <v>0.2162</v>
      </c>
      <c r="K203" s="27">
        <v>440384354.99000001</v>
      </c>
      <c r="L203" s="10">
        <f t="shared" si="75"/>
        <v>3.2027966048184434E-2</v>
      </c>
      <c r="M203" s="21">
        <v>124.1</v>
      </c>
      <c r="N203" s="21">
        <v>126.1</v>
      </c>
      <c r="O203" s="63">
        <v>255</v>
      </c>
      <c r="P203" s="28">
        <v>0.20810000000000001</v>
      </c>
      <c r="Q203" s="28">
        <v>0.2162</v>
      </c>
      <c r="R203" s="81">
        <f t="shared" si="76"/>
        <v>2.590371963028938E-3</v>
      </c>
      <c r="S203" s="81">
        <f t="shared" si="77"/>
        <v>2.6238371630754416E-3</v>
      </c>
      <c r="T203" s="81">
        <f t="shared" si="78"/>
        <v>0.25615763546798032</v>
      </c>
      <c r="U203" s="81">
        <f t="shared" si="79"/>
        <v>0</v>
      </c>
      <c r="V203" s="83">
        <f t="shared" si="80"/>
        <v>0</v>
      </c>
    </row>
    <row r="204" spans="1:22">
      <c r="A204" s="75">
        <v>11</v>
      </c>
      <c r="B204" s="125" t="s">
        <v>218</v>
      </c>
      <c r="C204" s="126" t="s">
        <v>215</v>
      </c>
      <c r="D204" s="27">
        <v>5436126074.7299995</v>
      </c>
      <c r="E204" s="10">
        <f t="shared" si="74"/>
        <v>0.39956003459817857</v>
      </c>
      <c r="F204" s="21">
        <v>38.07</v>
      </c>
      <c r="G204" s="21">
        <v>38.270000000000003</v>
      </c>
      <c r="H204" s="63">
        <v>259</v>
      </c>
      <c r="I204" s="28">
        <v>-2.63E-2</v>
      </c>
      <c r="J204" s="28">
        <v>0.37040000000000001</v>
      </c>
      <c r="K204" s="27">
        <v>5613891824.1899996</v>
      </c>
      <c r="L204" s="10">
        <f t="shared" si="75"/>
        <v>0.40828320694412573</v>
      </c>
      <c r="M204" s="21">
        <v>39.31</v>
      </c>
      <c r="N204" s="21">
        <v>39.51</v>
      </c>
      <c r="O204" s="63">
        <v>259</v>
      </c>
      <c r="P204" s="28">
        <v>4.6800000000000001E-2</v>
      </c>
      <c r="Q204" s="28">
        <v>0.437</v>
      </c>
      <c r="R204" s="81">
        <f t="shared" si="76"/>
        <v>3.2700814332903283E-2</v>
      </c>
      <c r="S204" s="81">
        <f t="shared" si="77"/>
        <v>3.2401358766657819E-2</v>
      </c>
      <c r="T204" s="81">
        <f t="shared" si="78"/>
        <v>0</v>
      </c>
      <c r="U204" s="81">
        <f t="shared" si="79"/>
        <v>7.3099999999999998E-2</v>
      </c>
      <c r="V204" s="83">
        <f t="shared" si="80"/>
        <v>6.6599999999999993E-2</v>
      </c>
    </row>
    <row r="205" spans="1:22">
      <c r="A205" s="75">
        <v>12</v>
      </c>
      <c r="B205" s="125" t="s">
        <v>219</v>
      </c>
      <c r="C205" s="126" t="s">
        <v>215</v>
      </c>
      <c r="D205" s="29">
        <v>496869815.73000002</v>
      </c>
      <c r="E205" s="10">
        <f t="shared" si="74"/>
        <v>3.6520367267922481E-2</v>
      </c>
      <c r="F205" s="21">
        <v>47.84</v>
      </c>
      <c r="G205" s="21">
        <v>48.04</v>
      </c>
      <c r="H205" s="63">
        <v>55</v>
      </c>
      <c r="I205" s="28">
        <v>0</v>
      </c>
      <c r="J205" s="28">
        <v>0.78490000000000004</v>
      </c>
      <c r="K205" s="29">
        <v>497773124.44</v>
      </c>
      <c r="L205" s="10">
        <f t="shared" si="75"/>
        <v>3.6201696424081692E-2</v>
      </c>
      <c r="M205" s="21">
        <v>47.93</v>
      </c>
      <c r="N205" s="21">
        <v>48.13</v>
      </c>
      <c r="O205" s="63">
        <v>55</v>
      </c>
      <c r="P205" s="28">
        <v>1.4800000000000001E-2</v>
      </c>
      <c r="Q205" s="28">
        <v>0.81130000000000002</v>
      </c>
      <c r="R205" s="81">
        <f t="shared" si="76"/>
        <v>1.8179987622569493E-3</v>
      </c>
      <c r="S205" s="81">
        <f t="shared" si="77"/>
        <v>1.8734388009992383E-3</v>
      </c>
      <c r="T205" s="81">
        <f t="shared" si="78"/>
        <v>0</v>
      </c>
      <c r="U205" s="81">
        <f t="shared" si="79"/>
        <v>1.4800000000000001E-2</v>
      </c>
      <c r="V205" s="83">
        <f t="shared" si="80"/>
        <v>2.6399999999999979E-2</v>
      </c>
    </row>
    <row r="206" spans="1:22">
      <c r="A206" s="43"/>
      <c r="B206" s="43"/>
      <c r="C206" s="74" t="s">
        <v>220</v>
      </c>
      <c r="D206" s="73">
        <f>SUM(D194:D205)</f>
        <v>13605279817.829861</v>
      </c>
      <c r="E206" s="24"/>
      <c r="F206" s="24"/>
      <c r="G206" s="22"/>
      <c r="H206" s="73">
        <f>SUM(H194:H205)</f>
        <v>1764</v>
      </c>
      <c r="I206" s="23"/>
      <c r="J206" s="23"/>
      <c r="K206" s="73">
        <f>SUM(K194:K205)</f>
        <v>13749994436.969999</v>
      </c>
      <c r="L206" s="24"/>
      <c r="M206" s="24"/>
      <c r="N206" s="22"/>
      <c r="O206" s="73">
        <f>SUM(O194:O205)</f>
        <v>1818</v>
      </c>
      <c r="P206" s="23"/>
      <c r="Q206" s="23"/>
      <c r="R206" s="81">
        <f t="shared" si="76"/>
        <v>1.0636651438104831E-2</v>
      </c>
      <c r="S206" s="81" t="e">
        <f t="shared" si="77"/>
        <v>#DIV/0!</v>
      </c>
      <c r="T206" s="81">
        <f t="shared" si="78"/>
        <v>3.0612244897959183E-2</v>
      </c>
      <c r="U206" s="81">
        <f t="shared" si="79"/>
        <v>0</v>
      </c>
      <c r="V206" s="83">
        <f t="shared" si="80"/>
        <v>0</v>
      </c>
    </row>
    <row r="207" spans="1:22">
      <c r="A207" s="88"/>
      <c r="B207" s="88"/>
      <c r="C207" s="89" t="s">
        <v>221</v>
      </c>
      <c r="D207" s="90">
        <f>SUM(D186,D191,D206)</f>
        <v>2997962938355.0669</v>
      </c>
      <c r="E207" s="91"/>
      <c r="F207" s="91"/>
      <c r="G207" s="92"/>
      <c r="H207" s="90">
        <f>SUM(H186,H191,H206)</f>
        <v>719687</v>
      </c>
      <c r="I207" s="93"/>
      <c r="J207" s="93"/>
      <c r="K207" s="90">
        <f>SUM(K186,K191,K206)</f>
        <v>2708558402446.459</v>
      </c>
      <c r="L207" s="91"/>
      <c r="M207" s="91"/>
      <c r="N207" s="92"/>
      <c r="O207" s="90">
        <f>SUM(O186,O191,O206)</f>
        <v>721635</v>
      </c>
      <c r="P207" s="94"/>
      <c r="Q207" s="90"/>
      <c r="R207" s="95"/>
      <c r="S207" s="96"/>
      <c r="T207" s="96"/>
      <c r="U207" s="97"/>
      <c r="V207" s="97"/>
    </row>
    <row r="208" spans="1:22">
      <c r="A208" s="109" t="s">
        <v>250</v>
      </c>
      <c r="B208" s="110" t="s">
        <v>270</v>
      </c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</row>
    <row r="210" spans="2:11">
      <c r="B210" s="113"/>
      <c r="C210" s="113"/>
      <c r="D210" s="112"/>
      <c r="K210" s="112"/>
    </row>
    <row r="211" spans="2:11">
      <c r="B211" s="113"/>
      <c r="D211" s="112"/>
    </row>
  </sheetData>
  <sheetProtection algorithmName="SHA-512" hashValue="uuRJmKDS0jvAdsaVm5Oe4wBdn5mpsCZawC3Qq/L4OIK3k7mu3uJGP4qR4VK9QO2GAfaY0eLKCzLr8wUUJNxaXQ==" saltValue="Vrpl6sT7TOKDo22PfBKG3w==" spinCount="100000" sheet="1" objects="1" scenarios="1"/>
  <protectedRanges>
    <protectedRange password="CADF" sqref="K10 D10" name="Fund Name_1_1_1_3_1_1_2"/>
  </protectedRanges>
  <mergeCells count="31">
    <mergeCell ref="A94:V94"/>
    <mergeCell ref="A1:V1"/>
    <mergeCell ref="U2:V2"/>
    <mergeCell ref="A4:V4"/>
    <mergeCell ref="A5:V5"/>
    <mergeCell ref="A23:V23"/>
    <mergeCell ref="A24:V24"/>
    <mergeCell ref="A57:V57"/>
    <mergeCell ref="A58:V58"/>
    <mergeCell ref="R2:T2"/>
    <mergeCell ref="K2:Q2"/>
    <mergeCell ref="D2:J2"/>
    <mergeCell ref="A168:V168"/>
    <mergeCell ref="A95:V95"/>
    <mergeCell ref="A96:V96"/>
    <mergeCell ref="A109:V109"/>
    <mergeCell ref="A110:V110"/>
    <mergeCell ref="A124:V124"/>
    <mergeCell ref="A125:V125"/>
    <mergeCell ref="A132:V132"/>
    <mergeCell ref="A133:V133"/>
    <mergeCell ref="A161:V161"/>
    <mergeCell ref="A162:V162"/>
    <mergeCell ref="A167:V167"/>
    <mergeCell ref="A192:V192"/>
    <mergeCell ref="A193:V193"/>
    <mergeCell ref="A169:V169"/>
    <mergeCell ref="A172:V172"/>
    <mergeCell ref="A173:V173"/>
    <mergeCell ref="A187:U187"/>
    <mergeCell ref="A188:V188"/>
  </mergeCells>
  <pageMargins left="0.7" right="0.7" top="0.75" bottom="0.75" header="0.3" footer="0.3"/>
  <pageSetup paperSize="9" orientation="portrait" horizontalDpi="300" verticalDpi="300" r:id="rId1"/>
  <ignoredErrors>
    <ignoredError sqref="L80 E80 E63" formula="1"/>
    <ignoredError sqref="S131 S22 T33 S56 S93 S123 T141 S160 S166 S185 S206 T189:T1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K2" sqref="K2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99"/>
      <c r="B1" s="99"/>
      <c r="C1" s="99"/>
    </row>
    <row r="2" spans="1:4" ht="33">
      <c r="A2" s="134" t="s">
        <v>222</v>
      </c>
      <c r="B2" s="135" t="s">
        <v>265</v>
      </c>
      <c r="C2" s="135" t="s">
        <v>275</v>
      </c>
      <c r="D2" s="99"/>
    </row>
    <row r="3" spans="1:4" ht="16.5">
      <c r="A3" s="136" t="s">
        <v>15</v>
      </c>
      <c r="B3" s="137">
        <f>27049856478.8204/1000000000</f>
        <v>27.049856478820399</v>
      </c>
      <c r="C3" s="137">
        <f>28276421739.2/1000000000</f>
        <v>28.2764217392</v>
      </c>
      <c r="D3" s="99"/>
    </row>
    <row r="4" spans="1:4" ht="17.25" customHeight="1">
      <c r="A4" s="138" t="s">
        <v>47</v>
      </c>
      <c r="B4" s="139">
        <f>920625552385.951/1000000000</f>
        <v>920.6255523859511</v>
      </c>
      <c r="C4" s="139">
        <f>923190562024.358/1000000000</f>
        <v>923.19056202435809</v>
      </c>
      <c r="D4" s="99"/>
    </row>
    <row r="5" spans="1:4" ht="19.5" customHeight="1">
      <c r="A5" s="138" t="s">
        <v>223</v>
      </c>
      <c r="B5" s="137">
        <f>279125520198.896/1000000000</f>
        <v>279.12552019889597</v>
      </c>
      <c r="C5" s="137">
        <f>278795170732.321/1000000000</f>
        <v>278.79517073232097</v>
      </c>
      <c r="D5" s="99"/>
    </row>
    <row r="6" spans="1:4" ht="16.5">
      <c r="A6" s="138" t="s">
        <v>128</v>
      </c>
      <c r="B6" s="139">
        <f>1459704501021.91/1000000000</f>
        <v>1459.7045010219099</v>
      </c>
      <c r="C6" s="139">
        <f>1165595130957.31/1000000000</f>
        <v>1165.5951309573099</v>
      </c>
      <c r="D6" s="99"/>
    </row>
    <row r="7" spans="1:4" ht="16.5">
      <c r="A7" s="138" t="s">
        <v>224</v>
      </c>
      <c r="B7" s="137">
        <f>99778864135.11/1000000000</f>
        <v>99.778864135109998</v>
      </c>
      <c r="C7" s="137">
        <f>99792663694.0094/1000000000</f>
        <v>99.792663694009406</v>
      </c>
      <c r="D7" s="99"/>
    </row>
    <row r="8" spans="1:4" ht="16.5">
      <c r="A8" s="138" t="s">
        <v>154</v>
      </c>
      <c r="B8" s="140">
        <f>48553395375.6765/1000000000</f>
        <v>48.553395375676502</v>
      </c>
      <c r="C8" s="140">
        <f>50020197377.87/1000000000</f>
        <v>50.020197377870005</v>
      </c>
      <c r="D8" s="99"/>
    </row>
    <row r="9" spans="1:4" ht="16.5">
      <c r="A9" s="138" t="s">
        <v>178</v>
      </c>
      <c r="B9" s="137">
        <f>5090348734.1/1000000000</f>
        <v>5.0903487341</v>
      </c>
      <c r="C9" s="137">
        <f>5200581697.72/1000000000</f>
        <v>5.2005816977200006</v>
      </c>
      <c r="D9" s="99"/>
    </row>
    <row r="10" spans="1:4" ht="16.5">
      <c r="A10" s="138" t="s">
        <v>225</v>
      </c>
      <c r="B10" s="137">
        <f>49747304277.7991/1000000000</f>
        <v>49.747304277799103</v>
      </c>
      <c r="C10" s="137">
        <f>49249384208.9645/1000000000</f>
        <v>49.2493842089645</v>
      </c>
      <c r="D10" s="99"/>
    </row>
    <row r="11" spans="1:4">
      <c r="A11" s="99"/>
      <c r="B11" s="99"/>
      <c r="C11" s="99"/>
      <c r="D11" s="99"/>
    </row>
    <row r="12" spans="1:4" ht="16.5">
      <c r="A12" s="99"/>
      <c r="B12" s="137">
        <v>28276421739.200001</v>
      </c>
      <c r="C12" s="99"/>
      <c r="D12" s="99"/>
    </row>
    <row r="13" spans="1:4" ht="16.5">
      <c r="A13" s="99"/>
      <c r="B13" s="139">
        <v>923190562024.35803</v>
      </c>
      <c r="C13" s="99"/>
      <c r="D13" s="99"/>
    </row>
    <row r="14" spans="1:4" ht="16.5">
      <c r="A14" s="99"/>
      <c r="B14" s="137">
        <v>278795170732.32098</v>
      </c>
      <c r="C14" s="99"/>
      <c r="D14" s="99"/>
    </row>
    <row r="15" spans="1:4" ht="16.5">
      <c r="A15" s="99"/>
      <c r="B15" s="139">
        <v>1165595130957.3101</v>
      </c>
      <c r="C15" s="99"/>
      <c r="D15" s="99"/>
    </row>
    <row r="16" spans="1:4" ht="16.5">
      <c r="A16" s="99"/>
      <c r="B16" s="137">
        <v>99792663694.009399</v>
      </c>
      <c r="C16" s="141"/>
      <c r="D16" s="99"/>
    </row>
    <row r="17" spans="1:4" ht="16.5">
      <c r="A17" s="99"/>
      <c r="B17" s="140">
        <v>50020197377.870003</v>
      </c>
      <c r="C17" s="116"/>
      <c r="D17" s="99"/>
    </row>
    <row r="18" spans="1:4" ht="16.5">
      <c r="A18" s="142"/>
      <c r="B18" s="137">
        <v>5200581697.7200003</v>
      </c>
      <c r="C18" s="143"/>
      <c r="D18" s="99"/>
    </row>
    <row r="19" spans="1:4" ht="16.5">
      <c r="A19" s="114"/>
      <c r="B19" s="137">
        <v>49249384208.9645</v>
      </c>
      <c r="C19" s="116"/>
      <c r="D19" s="99"/>
    </row>
    <row r="20" spans="1:4" ht="16.5">
      <c r="A20" s="114"/>
      <c r="B20" s="99"/>
      <c r="C20" s="143"/>
      <c r="D20" s="99"/>
    </row>
    <row r="21" spans="1:4" ht="16.5">
      <c r="A21" s="118"/>
      <c r="C21" s="10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bFAVQXZKRvEB5dX5AjVCcUikpUuZcl1FVueqAUM3IOL35VnMxtzO/mRfjvpECPqsd2gLts22PSqDzZqHJMSvtg==" saltValue="ne9yrdIe/wWNNvfn3rBq4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2" sqref="M2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34" t="s">
        <v>222</v>
      </c>
      <c r="B1" s="144">
        <v>45366</v>
      </c>
      <c r="C1" s="99"/>
    </row>
    <row r="2" spans="1:3" ht="16.5">
      <c r="A2" s="138" t="s">
        <v>178</v>
      </c>
      <c r="B2" s="137">
        <v>5200581697.7199993</v>
      </c>
      <c r="C2" s="99"/>
    </row>
    <row r="3" spans="1:3" ht="16.5">
      <c r="A3" s="138" t="s">
        <v>15</v>
      </c>
      <c r="B3" s="137">
        <v>28276421739.200005</v>
      </c>
      <c r="C3" s="99"/>
    </row>
    <row r="4" spans="1:3" ht="16.5">
      <c r="A4" s="138" t="s">
        <v>225</v>
      </c>
      <c r="B4" s="137">
        <v>49249384208.9645</v>
      </c>
      <c r="C4" s="99"/>
    </row>
    <row r="5" spans="1:3" ht="16.5">
      <c r="A5" s="138" t="s">
        <v>154</v>
      </c>
      <c r="B5" s="140">
        <v>50020197377.86998</v>
      </c>
      <c r="C5" s="99"/>
    </row>
    <row r="6" spans="1:3" ht="16.5">
      <c r="A6" s="138" t="s">
        <v>224</v>
      </c>
      <c r="B6" s="137">
        <v>99792663694.00943</v>
      </c>
      <c r="C6" s="99"/>
    </row>
    <row r="7" spans="1:3" ht="16.5">
      <c r="A7" s="138" t="s">
        <v>223</v>
      </c>
      <c r="B7" s="137">
        <v>278795170732.32147</v>
      </c>
      <c r="C7" s="99"/>
    </row>
    <row r="8" spans="1:3" ht="16.5">
      <c r="A8" s="138" t="s">
        <v>47</v>
      </c>
      <c r="B8" s="139">
        <v>923190562024.35754</v>
      </c>
      <c r="C8" s="99"/>
    </row>
    <row r="9" spans="1:3" ht="16.5">
      <c r="A9" s="138" t="s">
        <v>128</v>
      </c>
      <c r="B9" s="139">
        <v>1165595130957.3054</v>
      </c>
      <c r="C9" s="99"/>
    </row>
    <row r="10" spans="1:3">
      <c r="A10" s="99"/>
      <c r="B10" s="99"/>
      <c r="C10" s="99"/>
    </row>
    <row r="11" spans="1:3" ht="16.5">
      <c r="A11" s="138"/>
      <c r="B11" s="99"/>
      <c r="C11" s="99"/>
    </row>
    <row r="12" spans="1:3" ht="16.5">
      <c r="A12" s="137">
        <v>5200581697.7199993</v>
      </c>
      <c r="B12" s="99"/>
      <c r="C12" s="99"/>
    </row>
    <row r="13" spans="1:3" ht="16.5">
      <c r="A13" s="137">
        <v>28276421739.200005</v>
      </c>
      <c r="B13" s="137"/>
      <c r="C13" s="99"/>
    </row>
    <row r="14" spans="1:3" ht="16.5">
      <c r="A14" s="137">
        <v>49249384208.9645</v>
      </c>
      <c r="B14" s="137"/>
      <c r="C14" s="99"/>
    </row>
    <row r="15" spans="1:3" ht="16.5" customHeight="1">
      <c r="A15" s="140">
        <v>50020197377.86998</v>
      </c>
      <c r="B15" s="140"/>
      <c r="C15" s="99"/>
    </row>
    <row r="16" spans="1:3" ht="16.5">
      <c r="A16" s="137">
        <v>99792663694.00943</v>
      </c>
      <c r="B16" s="137"/>
      <c r="C16" s="99"/>
    </row>
    <row r="17" spans="1:17" ht="16.5">
      <c r="A17" s="137">
        <v>278795170732.32147</v>
      </c>
      <c r="B17" s="137"/>
      <c r="C17" s="99"/>
    </row>
    <row r="18" spans="1:17" ht="16.5">
      <c r="A18" s="139">
        <v>923190562024.35754</v>
      </c>
      <c r="B18" s="137"/>
      <c r="C18" s="99"/>
    </row>
    <row r="19" spans="1:17" ht="16.5">
      <c r="A19" s="139">
        <v>1165595130957.3054</v>
      </c>
      <c r="B19" s="145"/>
      <c r="C19" s="99"/>
    </row>
    <row r="20" spans="1:17" ht="16.5">
      <c r="A20" s="143"/>
      <c r="B20" s="143"/>
      <c r="C20" s="99"/>
    </row>
    <row r="21" spans="1:17" ht="16.5">
      <c r="A21" s="114"/>
      <c r="B21" s="143"/>
      <c r="C21" s="99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62" t="s">
        <v>276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07"/>
    </row>
    <row r="33" spans="1:17" ht="1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07"/>
    </row>
  </sheetData>
  <sheetProtection algorithmName="SHA-512" hashValue="nQ2/l6sPD/lUh24qW+JfWhGzYLOmB+ZLD4wgoFu41YAt9FlAP4/hq1d1dx8iupKkOvJguAu/UFucPORtoqGgDw==" saltValue="vHWo74Oa4cvbZ2WiwGe1GQ==" spinCount="100000" sheet="1" objects="1" scenarios="1"/>
  <sortState xmlns:xlrd2="http://schemas.microsoft.com/office/spreadsheetml/2017/richdata2" ref="A12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zoomScale="110" zoomScaleNormal="110" workbookViewId="0">
      <selection activeCell="H2" sqref="H2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32" t="s">
        <v>233</v>
      </c>
      <c r="B2" s="133">
        <v>45317</v>
      </c>
      <c r="C2" s="133">
        <v>45324</v>
      </c>
      <c r="D2" s="133">
        <v>45331</v>
      </c>
      <c r="E2" s="133">
        <v>45338</v>
      </c>
      <c r="F2" s="133">
        <v>45345</v>
      </c>
      <c r="G2" s="133">
        <v>45352</v>
      </c>
      <c r="H2" s="133">
        <v>45359</v>
      </c>
      <c r="I2" s="133">
        <v>45366</v>
      </c>
      <c r="J2" s="99"/>
      <c r="K2" s="101"/>
      <c r="L2" s="101"/>
      <c r="M2" s="101"/>
    </row>
    <row r="3" spans="1:13">
      <c r="A3" s="132" t="s">
        <v>234</v>
      </c>
      <c r="B3" s="129">
        <f>2278172196680.68/1000000000</f>
        <v>2278.1721966806804</v>
      </c>
      <c r="C3" s="129">
        <f>2700558814021.03/1000000000</f>
        <v>2700.5588140210298</v>
      </c>
      <c r="D3" s="129">
        <f>2722532361445.49/1000000000</f>
        <v>2722.5323614454901</v>
      </c>
      <c r="E3" s="129">
        <f>2804014031742.22/1000000000</f>
        <v>2804.0140317422201</v>
      </c>
      <c r="F3" s="129">
        <f>2818098609361.04/1000000000</f>
        <v>2818.09860936104</v>
      </c>
      <c r="G3" s="129">
        <f>2842126915961.48/1000000000</f>
        <v>2842.1269159614799</v>
      </c>
      <c r="H3" s="129">
        <f>2889675342608.27/1000000000</f>
        <v>2889.6753426082701</v>
      </c>
      <c r="I3" s="129">
        <f>2600120112431.75/1000000000</f>
        <v>2600.1201124317499</v>
      </c>
      <c r="J3" s="99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/4DagSD320yErpBcQQOfjZ+laQwWfXPtxFTIHHIETJ6piK3GyJTio4fAprglc/XibVyluMpA3y1UZ4sKHKjZlQ==" saltValue="XotWteYBFFLrteFtrCnCY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45310</v>
      </c>
      <c r="C1" s="45">
        <v>45317</v>
      </c>
      <c r="D1" s="45">
        <v>45324</v>
      </c>
      <c r="E1" s="45">
        <v>45331</v>
      </c>
      <c r="F1" s="45">
        <v>45338</v>
      </c>
      <c r="G1" s="45">
        <v>45345</v>
      </c>
      <c r="H1" s="45">
        <v>45352</v>
      </c>
      <c r="I1" s="45">
        <v>45359</v>
      </c>
      <c r="J1" s="45">
        <v>45366</v>
      </c>
    </row>
    <row r="2" spans="1:11" ht="16.5">
      <c r="A2" s="46" t="s">
        <v>15</v>
      </c>
      <c r="B2" s="47">
        <v>30206984491.494904</v>
      </c>
      <c r="C2" s="47">
        <v>31149538694.629303</v>
      </c>
      <c r="D2" s="47">
        <v>31133318704.695301</v>
      </c>
      <c r="E2" s="47">
        <v>29773154676.329697</v>
      </c>
      <c r="F2" s="47">
        <v>29579029239.597099</v>
      </c>
      <c r="G2" s="47">
        <v>28192321561.754601</v>
      </c>
      <c r="H2" s="47">
        <v>27345380292.449997</v>
      </c>
      <c r="I2" s="47">
        <v>27049856478.8204</v>
      </c>
      <c r="J2" s="47">
        <v>28276421739.200005</v>
      </c>
    </row>
    <row r="3" spans="1:11" ht="16.5">
      <c r="A3" s="46" t="s">
        <v>47</v>
      </c>
      <c r="B3" s="48">
        <v>930010368618.9447</v>
      </c>
      <c r="C3" s="48">
        <v>949716593900.38049</v>
      </c>
      <c r="D3" s="48">
        <v>962897181294.703</v>
      </c>
      <c r="E3" s="48">
        <v>965954238325.48999</v>
      </c>
      <c r="F3" s="48">
        <v>966685157443.69678</v>
      </c>
      <c r="G3" s="48">
        <v>949382861578.85535</v>
      </c>
      <c r="H3" s="48">
        <v>959419740927.82495</v>
      </c>
      <c r="I3" s="48">
        <v>920625552385.95117</v>
      </c>
      <c r="J3" s="48">
        <v>923190562024.35754</v>
      </c>
    </row>
    <row r="4" spans="1:11" ht="16.5">
      <c r="A4" s="46" t="s">
        <v>223</v>
      </c>
      <c r="B4" s="47">
        <v>288027196204.47491</v>
      </c>
      <c r="C4" s="47">
        <v>287140620370.69159</v>
      </c>
      <c r="D4" s="47">
        <v>285837472467.20758</v>
      </c>
      <c r="E4" s="47">
        <v>284109657368.59705</v>
      </c>
      <c r="F4" s="47">
        <v>283536298257.91882</v>
      </c>
      <c r="G4" s="47">
        <v>281780566180.14624</v>
      </c>
      <c r="H4" s="47">
        <v>282274672291.84991</v>
      </c>
      <c r="I4" s="47">
        <v>279125520198.89612</v>
      </c>
      <c r="J4" s="47">
        <v>278795170732.32147</v>
      </c>
    </row>
    <row r="5" spans="1:11" ht="16.5">
      <c r="A5" s="46" t="s">
        <v>128</v>
      </c>
      <c r="B5" s="48">
        <v>765722989499.45947</v>
      </c>
      <c r="C5" s="48">
        <v>804116651844.98926</v>
      </c>
      <c r="D5" s="48">
        <v>1213277971788.4419</v>
      </c>
      <c r="E5" s="48">
        <v>1237172786827.9678</v>
      </c>
      <c r="F5" s="48">
        <v>1318494922122.7168</v>
      </c>
      <c r="G5" s="48">
        <v>1354299215906.8804</v>
      </c>
      <c r="H5" s="48">
        <v>1370513862524.3679</v>
      </c>
      <c r="I5" s="48">
        <v>1459704501021.9133</v>
      </c>
      <c r="J5" s="48">
        <v>1165595130957.3054</v>
      </c>
    </row>
    <row r="6" spans="1:11" ht="16.5">
      <c r="A6" s="46" t="s">
        <v>224</v>
      </c>
      <c r="B6" s="47">
        <v>99595668997.222809</v>
      </c>
      <c r="C6" s="47">
        <v>100204717801.01483</v>
      </c>
      <c r="D6" s="47">
        <v>100225758223.61491</v>
      </c>
      <c r="E6" s="47">
        <v>99671501901.347351</v>
      </c>
      <c r="F6" s="47">
        <v>99704526748.85936</v>
      </c>
      <c r="G6" s="47">
        <v>99722351454.056747</v>
      </c>
      <c r="H6" s="47">
        <v>99747815398.121429</v>
      </c>
      <c r="I6" s="47">
        <v>99778864135.110001</v>
      </c>
      <c r="J6" s="47">
        <v>99792663694.00943</v>
      </c>
    </row>
    <row r="7" spans="1:11" ht="16.5">
      <c r="A7" s="46" t="s">
        <v>154</v>
      </c>
      <c r="B7" s="49">
        <v>49666823038.976089</v>
      </c>
      <c r="C7" s="49">
        <v>50649516378.670189</v>
      </c>
      <c r="D7" s="49">
        <v>51726288214.56089</v>
      </c>
      <c r="E7" s="49">
        <v>50580214127.421928</v>
      </c>
      <c r="F7" s="49">
        <v>50622521144.020866</v>
      </c>
      <c r="G7" s="49">
        <v>49943289569.649658</v>
      </c>
      <c r="H7" s="49">
        <v>48445217858.992096</v>
      </c>
      <c r="I7" s="49">
        <v>48553395375.67646</v>
      </c>
      <c r="J7" s="49">
        <v>50020197377.86998</v>
      </c>
    </row>
    <row r="8" spans="1:11" ht="16.5">
      <c r="A8" s="46" t="s">
        <v>178</v>
      </c>
      <c r="B8" s="47">
        <v>5180809308.1199999</v>
      </c>
      <c r="C8" s="47">
        <v>5351667060.3500004</v>
      </c>
      <c r="D8" s="47">
        <v>5492189675.5599995</v>
      </c>
      <c r="E8" s="47">
        <v>5371622450.7000008</v>
      </c>
      <c r="F8" s="47">
        <v>5382185314.8400002</v>
      </c>
      <c r="G8" s="47">
        <v>5257385484.9699993</v>
      </c>
      <c r="H8" s="47">
        <v>5112400375.6199999</v>
      </c>
      <c r="I8" s="47">
        <v>5090348734.1000004</v>
      </c>
      <c r="J8" s="47">
        <v>5200581697.7199993</v>
      </c>
    </row>
    <row r="9" spans="1:11" ht="16.5">
      <c r="A9" s="46" t="s">
        <v>225</v>
      </c>
      <c r="B9" s="47">
        <v>47060563752.939224</v>
      </c>
      <c r="C9" s="47">
        <v>49842890629.950577</v>
      </c>
      <c r="D9" s="47">
        <v>49968633652.242981</v>
      </c>
      <c r="E9" s="47">
        <v>49899185767.63131</v>
      </c>
      <c r="F9" s="47">
        <v>50009391470.574211</v>
      </c>
      <c r="G9" s="47">
        <v>49520617624.730827</v>
      </c>
      <c r="H9" s="47">
        <v>49267826292.249893</v>
      </c>
      <c r="I9" s="47">
        <v>49747304277.79908</v>
      </c>
      <c r="J9" s="47">
        <v>49249384208.9645</v>
      </c>
    </row>
    <row r="10" spans="1:11" ht="15.75">
      <c r="A10" s="50" t="s">
        <v>226</v>
      </c>
      <c r="B10" s="51">
        <f t="shared" ref="B10:J10" si="0">SUM(B2:B9)</f>
        <v>2215471403911.6323</v>
      </c>
      <c r="C10" s="51">
        <f t="shared" si="0"/>
        <v>2278172196680.6768</v>
      </c>
      <c r="D10" s="51">
        <f t="shared" si="0"/>
        <v>2700558814021.0269</v>
      </c>
      <c r="E10" s="51">
        <f t="shared" si="0"/>
        <v>2722532361445.4854</v>
      </c>
      <c r="F10" s="51">
        <f t="shared" si="0"/>
        <v>2804014031742.2241</v>
      </c>
      <c r="G10" s="51">
        <f t="shared" si="0"/>
        <v>2818098609361.0439</v>
      </c>
      <c r="H10" s="51">
        <f t="shared" si="0"/>
        <v>2842126915961.4766</v>
      </c>
      <c r="I10" s="51">
        <f t="shared" si="0"/>
        <v>2889675342608.2666</v>
      </c>
      <c r="J10" s="51">
        <f t="shared" si="0"/>
        <v>2600120112431.7485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2246821800296.1543</v>
      </c>
      <c r="D12" s="57">
        <f t="shared" ref="D12:J12" si="1">(C10+D10)/2</f>
        <v>2489365505350.8516</v>
      </c>
      <c r="E12" s="57">
        <f t="shared" si="1"/>
        <v>2711545587733.2559</v>
      </c>
      <c r="F12" s="57">
        <f t="shared" si="1"/>
        <v>2763273196593.8545</v>
      </c>
      <c r="G12" s="57">
        <f>(F10+G10)/2</f>
        <v>2811056320551.6338</v>
      </c>
      <c r="H12" s="57">
        <f t="shared" si="1"/>
        <v>2830112762661.2603</v>
      </c>
      <c r="I12" s="57">
        <f t="shared" si="1"/>
        <v>2865901129284.8716</v>
      </c>
      <c r="J12" s="57">
        <f t="shared" si="1"/>
        <v>2744897727520.0078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>
      <c r="B15" s="101"/>
      <c r="C15" s="129"/>
      <c r="D15" s="129"/>
      <c r="E15" s="129"/>
      <c r="F15" s="129"/>
      <c r="G15" s="129"/>
      <c r="H15" s="129"/>
      <c r="I15" s="129"/>
      <c r="J15" s="129"/>
      <c r="K15" s="101"/>
    </row>
    <row r="16" spans="1:11">
      <c r="B16" s="101"/>
      <c r="C16" s="129">
        <f>2278172196680.68/1000000000</f>
        <v>2278.1721966806804</v>
      </c>
      <c r="D16" s="129">
        <f>2700558814021.03/1000000000</f>
        <v>2700.5588140210298</v>
      </c>
      <c r="E16" s="129">
        <f>2722532361445.49/1000000000</f>
        <v>2722.5323614454901</v>
      </c>
      <c r="F16" s="129">
        <f>2804014031742.22/1000000000</f>
        <v>2804.0140317422201</v>
      </c>
      <c r="G16" s="129">
        <f>2818098609361.04/1000000000</f>
        <v>2818.09860936104</v>
      </c>
      <c r="H16" s="129">
        <f>2842126915961.48/1000000000</f>
        <v>2842.1269159614799</v>
      </c>
      <c r="I16" s="129">
        <f>2889675342608.27/1000000000</f>
        <v>2889.6753426082701</v>
      </c>
      <c r="J16" s="129">
        <f>2600120112431.75/1000000000</f>
        <v>2600.1201124317499</v>
      </c>
      <c r="K16" s="101"/>
    </row>
    <row r="17" spans="2:11">
      <c r="B17" s="101"/>
      <c r="C17" s="99"/>
      <c r="D17" s="99"/>
      <c r="E17" s="99"/>
      <c r="F17" s="99"/>
      <c r="G17" s="99"/>
      <c r="H17" s="99"/>
      <c r="I17" s="99"/>
      <c r="J17" s="99"/>
      <c r="K17" s="101"/>
    </row>
    <row r="18" spans="2:11">
      <c r="B18" s="101"/>
      <c r="C18" s="130">
        <v>2278172196680.6802</v>
      </c>
      <c r="D18" s="130">
        <v>2700558814021.0298</v>
      </c>
      <c r="E18" s="130">
        <v>2722532361445.4902</v>
      </c>
      <c r="F18" s="130">
        <v>2804014031742.2202</v>
      </c>
      <c r="G18" s="130">
        <v>2818098609361.04</v>
      </c>
      <c r="H18" s="130">
        <v>2842126915961.48</v>
      </c>
      <c r="I18" s="130">
        <v>2889675342608.27</v>
      </c>
      <c r="J18" s="130">
        <v>2600120112431.75</v>
      </c>
      <c r="K18" s="101"/>
    </row>
    <row r="19" spans="2:11">
      <c r="B19" s="101"/>
      <c r="C19" s="99"/>
      <c r="D19" s="99"/>
      <c r="E19" s="99"/>
      <c r="F19" s="99"/>
      <c r="G19" s="99"/>
      <c r="H19" s="99"/>
      <c r="I19" s="99"/>
      <c r="J19" s="99"/>
      <c r="K19" s="101"/>
    </row>
    <row r="20" spans="2:11">
      <c r="B20" s="101"/>
      <c r="C20" s="99"/>
      <c r="D20" s="99"/>
      <c r="E20" s="99"/>
      <c r="F20" s="99"/>
      <c r="G20" s="99"/>
      <c r="H20" s="99"/>
      <c r="I20" s="99"/>
      <c r="J20" s="99"/>
      <c r="K20" s="101"/>
    </row>
    <row r="21" spans="2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2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qAIWp4LyFZmPr9a6/e6UvtWoQPBc9585TPWadv60bDgYgqSXUylZ05CtSbrihqhh1PaD5xxp7QQh6nRBiKxNAw==" saltValue="OTQdDiZVp9GwDhA+0umWS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2024-03-27T13:53:58Z</dcterms:modified>
</cp:coreProperties>
</file>