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5" i="1" l="1"/>
  <c r="M125" i="1"/>
  <c r="K125" i="1"/>
  <c r="N107" i="1"/>
  <c r="M107" i="1"/>
  <c r="K107" i="1"/>
  <c r="N127" i="1" l="1"/>
  <c r="M127" i="1"/>
  <c r="N113" i="1" l="1"/>
  <c r="M113" i="1"/>
  <c r="K113" i="1"/>
  <c r="N128" i="1"/>
  <c r="M128" i="1"/>
  <c r="K128" i="1"/>
  <c r="N132" i="1"/>
  <c r="M132" i="1"/>
  <c r="K132" i="1"/>
  <c r="N120" i="1"/>
  <c r="M120" i="1"/>
  <c r="K120" i="1"/>
  <c r="N103" i="1" l="1"/>
  <c r="M103" i="1"/>
  <c r="K103" i="1"/>
  <c r="N106" i="1" l="1"/>
  <c r="M106" i="1"/>
  <c r="K106" i="1"/>
  <c r="N116" i="1"/>
  <c r="M116" i="1"/>
  <c r="K116" i="1"/>
  <c r="N109" i="1" l="1"/>
  <c r="M109" i="1"/>
  <c r="K109" i="1"/>
  <c r="N114" i="1"/>
  <c r="M114" i="1"/>
  <c r="K114" i="1"/>
  <c r="R12" i="1" l="1"/>
  <c r="N115" i="1" l="1"/>
  <c r="M115" i="1"/>
  <c r="K115" i="1"/>
  <c r="N104" i="1"/>
  <c r="M104" i="1"/>
  <c r="K104" i="1"/>
  <c r="N108" i="1"/>
  <c r="M108" i="1"/>
  <c r="K108" i="1"/>
  <c r="M124" i="1" l="1"/>
  <c r="N121" i="1"/>
  <c r="M121" i="1"/>
  <c r="K121" i="1"/>
  <c r="N126" i="1"/>
  <c r="M126" i="1"/>
  <c r="K126" i="1"/>
  <c r="O201" i="1" l="1"/>
  <c r="K201" i="1"/>
  <c r="L200" i="1" s="1"/>
  <c r="H201" i="1"/>
  <c r="D201" i="1"/>
  <c r="E200" i="1" s="1"/>
  <c r="V200" i="1"/>
  <c r="U200" i="1"/>
  <c r="T200" i="1"/>
  <c r="S200" i="1"/>
  <c r="R200" i="1"/>
  <c r="N130" i="1"/>
  <c r="M130" i="1"/>
  <c r="K130" i="1"/>
  <c r="N117" i="1"/>
  <c r="M117" i="1"/>
  <c r="K117" i="1"/>
  <c r="N105" i="1" l="1"/>
  <c r="M105" i="1"/>
  <c r="K105" i="1"/>
  <c r="G132" i="1" l="1"/>
  <c r="F132" i="1"/>
  <c r="G130" i="1"/>
  <c r="F130" i="1"/>
  <c r="G128" i="1"/>
  <c r="F128" i="1"/>
  <c r="G127" i="1"/>
  <c r="F127" i="1"/>
  <c r="G126" i="1"/>
  <c r="F126" i="1"/>
  <c r="G125" i="1"/>
  <c r="F125" i="1"/>
  <c r="G124" i="1"/>
  <c r="F124" i="1"/>
  <c r="G121" i="1"/>
  <c r="F121" i="1"/>
  <c r="G120" i="1"/>
  <c r="F120" i="1"/>
  <c r="D132" i="1"/>
  <c r="D130" i="1"/>
  <c r="D128" i="1"/>
  <c r="D126" i="1"/>
  <c r="D125" i="1"/>
  <c r="D121" i="1"/>
  <c r="D120" i="1"/>
  <c r="G117" i="1"/>
  <c r="F117" i="1"/>
  <c r="G116" i="1"/>
  <c r="F116" i="1"/>
  <c r="G115" i="1"/>
  <c r="F115" i="1"/>
  <c r="G114" i="1"/>
  <c r="F114" i="1"/>
  <c r="G113" i="1"/>
  <c r="F113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D117" i="1"/>
  <c r="D116" i="1"/>
  <c r="D115" i="1"/>
  <c r="D114" i="1"/>
  <c r="D113" i="1"/>
  <c r="D109" i="1"/>
  <c r="D108" i="1"/>
  <c r="D107" i="1"/>
  <c r="D106" i="1"/>
  <c r="D105" i="1"/>
  <c r="D104" i="1"/>
  <c r="D103" i="1"/>
  <c r="D23" i="1"/>
  <c r="R189" i="1" l="1"/>
  <c r="S189" i="1"/>
  <c r="T189" i="1"/>
  <c r="U189" i="1"/>
  <c r="V189" i="1"/>
  <c r="R94" i="1" l="1"/>
  <c r="V117" i="1" l="1"/>
  <c r="U117" i="1"/>
  <c r="T117" i="1"/>
  <c r="S117" i="1"/>
  <c r="R117" i="1"/>
  <c r="V116" i="1"/>
  <c r="U116" i="1"/>
  <c r="T116" i="1"/>
  <c r="S116" i="1"/>
  <c r="R116" i="1"/>
  <c r="N124" i="1" l="1"/>
  <c r="R146" i="1" l="1"/>
  <c r="R105" i="1"/>
  <c r="S85" i="1" l="1"/>
  <c r="R212" i="1" l="1"/>
  <c r="R213" i="1"/>
  <c r="V124" i="1" l="1"/>
  <c r="U124" i="1"/>
  <c r="T124" i="1"/>
  <c r="R124" i="1"/>
  <c r="S131" i="1"/>
  <c r="V131" i="1"/>
  <c r="U131" i="1"/>
  <c r="T131" i="1"/>
  <c r="R131" i="1"/>
  <c r="V51" i="1"/>
  <c r="U51" i="1"/>
  <c r="T51" i="1"/>
  <c r="S51" i="1"/>
  <c r="R51" i="1"/>
  <c r="S124" i="1" l="1"/>
  <c r="R216" i="1" l="1"/>
  <c r="R163" i="1"/>
  <c r="R103" i="1" l="1"/>
  <c r="R159" i="1"/>
  <c r="S159" i="1"/>
  <c r="T159" i="1"/>
  <c r="U159" i="1"/>
  <c r="V159" i="1"/>
  <c r="R82" i="1" l="1"/>
  <c r="V194" i="1"/>
  <c r="U194" i="1"/>
  <c r="T194" i="1"/>
  <c r="S194" i="1"/>
  <c r="R194" i="1"/>
  <c r="V193" i="1"/>
  <c r="U193" i="1"/>
  <c r="T193" i="1"/>
  <c r="S193" i="1"/>
  <c r="R193" i="1"/>
  <c r="R52" i="1" l="1"/>
  <c r="V52" i="1"/>
  <c r="U52" i="1"/>
  <c r="T52" i="1"/>
  <c r="S52" i="1"/>
  <c r="K61" i="1"/>
  <c r="E47" i="1" l="1"/>
  <c r="E48" i="1"/>
  <c r="L40" i="1"/>
  <c r="L51" i="1"/>
  <c r="E51" i="1"/>
  <c r="C14" i="2"/>
  <c r="L38" i="1"/>
  <c r="L58" i="1"/>
  <c r="E52" i="1"/>
  <c r="L52" i="1"/>
  <c r="U166" i="1" l="1"/>
  <c r="V166" i="1"/>
  <c r="R166" i="1"/>
  <c r="S166" i="1"/>
  <c r="T166" i="1"/>
  <c r="R54" i="1"/>
  <c r="V54" i="1"/>
  <c r="U54" i="1"/>
  <c r="T54" i="1"/>
  <c r="S54" i="1"/>
  <c r="V177" i="1" l="1"/>
  <c r="R107" i="1" l="1"/>
  <c r="S107" i="1"/>
  <c r="T107" i="1"/>
  <c r="U107" i="1"/>
  <c r="V107" i="1"/>
  <c r="R32" i="1"/>
  <c r="R70" i="1"/>
  <c r="S70" i="1"/>
  <c r="T70" i="1"/>
  <c r="U70" i="1"/>
  <c r="V70" i="1"/>
  <c r="V32" i="1"/>
  <c r="U32" i="1"/>
  <c r="T32" i="1"/>
  <c r="S32" i="1"/>
  <c r="T104" i="1" l="1"/>
  <c r="U104" i="1"/>
  <c r="V104" i="1"/>
  <c r="S104" i="1"/>
  <c r="R104" i="1"/>
  <c r="R89" i="1" l="1"/>
  <c r="O133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6" i="1"/>
  <c r="S106" i="1"/>
  <c r="T106" i="1"/>
  <c r="U106" i="1"/>
  <c r="V106" i="1"/>
  <c r="R158" i="1" l="1"/>
  <c r="S59" i="1" l="1"/>
  <c r="D141" i="1" l="1"/>
  <c r="I4" i="6"/>
  <c r="I3" i="6" s="1"/>
  <c r="H4" i="6"/>
  <c r="G4" i="6"/>
  <c r="G3" i="6" s="1"/>
  <c r="F4" i="6"/>
  <c r="E4" i="6"/>
  <c r="D4" i="6"/>
  <c r="C4" i="6"/>
  <c r="C3" i="6" s="1"/>
  <c r="B4" i="6"/>
  <c r="H3" i="6"/>
  <c r="F3" i="6"/>
  <c r="E3" i="6"/>
  <c r="D3" i="6"/>
  <c r="B3" i="6"/>
  <c r="R109" i="1" l="1"/>
  <c r="S109" i="1"/>
  <c r="T109" i="1"/>
  <c r="U109" i="1"/>
  <c r="V109" i="1"/>
  <c r="R110" i="1"/>
  <c r="S110" i="1"/>
  <c r="T110" i="1"/>
  <c r="U110" i="1"/>
  <c r="V110" i="1"/>
  <c r="R97" i="1" l="1"/>
  <c r="S97" i="1"/>
  <c r="T97" i="1"/>
  <c r="U97" i="1"/>
  <c r="V97" i="1"/>
  <c r="R59" i="1"/>
  <c r="V59" i="1"/>
  <c r="U59" i="1"/>
  <c r="T59" i="1"/>
  <c r="R188" i="1"/>
  <c r="R147" i="1" l="1"/>
  <c r="R126" i="1" l="1"/>
  <c r="S126" i="1"/>
  <c r="T126" i="1"/>
  <c r="U126" i="1"/>
  <c r="V126" i="1"/>
  <c r="R83" i="1"/>
  <c r="S83" i="1"/>
  <c r="T83" i="1"/>
  <c r="U83" i="1"/>
  <c r="V83" i="1"/>
  <c r="V206" i="1" l="1"/>
  <c r="T164" i="1"/>
  <c r="S164" i="1"/>
  <c r="R129" i="1" l="1"/>
  <c r="V160" i="1" l="1"/>
  <c r="T151" i="1" l="1"/>
  <c r="R145" i="1"/>
  <c r="S145" i="1"/>
  <c r="T145" i="1"/>
  <c r="U145" i="1"/>
  <c r="V145" i="1"/>
  <c r="R167" i="1"/>
  <c r="S167" i="1"/>
  <c r="T167" i="1"/>
  <c r="U167" i="1"/>
  <c r="V167" i="1"/>
  <c r="R125" i="1" l="1"/>
  <c r="S125" i="1"/>
  <c r="S190" i="1" l="1"/>
  <c r="V125" i="1"/>
  <c r="U125" i="1"/>
  <c r="T125" i="1"/>
  <c r="R72" i="1" l="1"/>
  <c r="V80" i="1" l="1"/>
  <c r="U80" i="1"/>
  <c r="T80" i="1"/>
  <c r="S80" i="1"/>
  <c r="R80" i="1"/>
  <c r="V86" i="1" l="1"/>
  <c r="U86" i="1"/>
  <c r="T86" i="1"/>
  <c r="S86" i="1"/>
  <c r="R86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1" i="1"/>
  <c r="U191" i="1"/>
  <c r="T191" i="1"/>
  <c r="S191" i="1"/>
  <c r="R191" i="1"/>
  <c r="T34" i="1" l="1"/>
  <c r="S22" i="1" l="1"/>
  <c r="T22" i="1"/>
  <c r="V108" i="1" l="1"/>
  <c r="R108" i="1"/>
  <c r="S108" i="1"/>
  <c r="T108" i="1"/>
  <c r="U108" i="1"/>
  <c r="R13" i="1" l="1"/>
  <c r="R50" i="1" l="1"/>
  <c r="V50" i="1"/>
  <c r="U50" i="1"/>
  <c r="T50" i="1"/>
  <c r="S50" i="1"/>
  <c r="V137" i="1" l="1"/>
  <c r="U137" i="1"/>
  <c r="T137" i="1"/>
  <c r="S137" i="1"/>
  <c r="R137" i="1"/>
  <c r="R77" i="1" l="1"/>
  <c r="S183" i="1" l="1"/>
  <c r="D178" i="1" l="1"/>
  <c r="B19" i="2" s="1"/>
  <c r="B9" i="2" s="1"/>
  <c r="D133" i="1"/>
  <c r="E117" i="1" s="1"/>
  <c r="E124" i="1" l="1"/>
  <c r="E116" i="1"/>
  <c r="E107" i="1"/>
  <c r="E106" i="1"/>
  <c r="E104" i="1"/>
  <c r="B16" i="2"/>
  <c r="B6" i="2" s="1"/>
  <c r="E121" i="1"/>
  <c r="E126" i="1"/>
  <c r="E109" i="1"/>
  <c r="E125" i="1"/>
  <c r="R96" i="1"/>
  <c r="S96" i="1"/>
  <c r="T96" i="1"/>
  <c r="U96" i="1"/>
  <c r="V96" i="1"/>
  <c r="D222" i="1"/>
  <c r="D61" i="1"/>
  <c r="B20" i="2" l="1"/>
  <c r="B10" i="2" s="1"/>
  <c r="E194" i="1"/>
  <c r="E193" i="1"/>
  <c r="B14" i="2"/>
  <c r="B4" i="2" s="1"/>
  <c r="E137" i="1"/>
  <c r="B17" i="2"/>
  <c r="B7" i="2" s="1"/>
  <c r="E187" i="1"/>
  <c r="E188" i="1"/>
  <c r="E190" i="1"/>
  <c r="E191" i="1"/>
  <c r="E192" i="1"/>
  <c r="E195" i="1"/>
  <c r="E196" i="1"/>
  <c r="E197" i="1"/>
  <c r="R176" i="1"/>
  <c r="R88" i="1" l="1"/>
  <c r="S88" i="1"/>
  <c r="T88" i="1"/>
  <c r="V88" i="1"/>
  <c r="U88" i="1"/>
  <c r="B13" i="2" l="1"/>
  <c r="B3" i="2" l="1"/>
  <c r="E10" i="1"/>
  <c r="R122" i="1"/>
  <c r="R20" i="1" l="1"/>
  <c r="R211" i="1" l="1"/>
  <c r="S211" i="1"/>
  <c r="T211" i="1"/>
  <c r="U211" i="1"/>
  <c r="V211" i="1"/>
  <c r="S212" i="1"/>
  <c r="T212" i="1"/>
  <c r="U212" i="1"/>
  <c r="V212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R219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S222" i="1"/>
  <c r="U222" i="1"/>
  <c r="V222" i="1"/>
  <c r="V210" i="1"/>
  <c r="U210" i="1"/>
  <c r="T210" i="1"/>
  <c r="S210" i="1"/>
  <c r="R210" i="1"/>
  <c r="U206" i="1"/>
  <c r="T206" i="1"/>
  <c r="S206" i="1"/>
  <c r="R206" i="1"/>
  <c r="V205" i="1"/>
  <c r="U205" i="1"/>
  <c r="T205" i="1"/>
  <c r="S205" i="1"/>
  <c r="R205" i="1"/>
  <c r="R187" i="1"/>
  <c r="S187" i="1"/>
  <c r="T187" i="1"/>
  <c r="U187" i="1"/>
  <c r="V187" i="1"/>
  <c r="S188" i="1"/>
  <c r="T188" i="1"/>
  <c r="U188" i="1"/>
  <c r="V188" i="1"/>
  <c r="R190" i="1"/>
  <c r="T190" i="1"/>
  <c r="U190" i="1"/>
  <c r="V190" i="1"/>
  <c r="R192" i="1"/>
  <c r="S192" i="1"/>
  <c r="T192" i="1"/>
  <c r="U192" i="1"/>
  <c r="V192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S201" i="1"/>
  <c r="U201" i="1"/>
  <c r="V201" i="1"/>
  <c r="V186" i="1"/>
  <c r="U186" i="1"/>
  <c r="T186" i="1"/>
  <c r="S186" i="1"/>
  <c r="R186" i="1"/>
  <c r="V183" i="1"/>
  <c r="U183" i="1"/>
  <c r="T183" i="1"/>
  <c r="R183" i="1"/>
  <c r="V182" i="1"/>
  <c r="U182" i="1"/>
  <c r="T182" i="1"/>
  <c r="S182" i="1"/>
  <c r="R182" i="1"/>
  <c r="S176" i="1"/>
  <c r="T176" i="1"/>
  <c r="U176" i="1"/>
  <c r="V176" i="1"/>
  <c r="R177" i="1"/>
  <c r="S177" i="1"/>
  <c r="T177" i="1"/>
  <c r="U177" i="1"/>
  <c r="S178" i="1"/>
  <c r="U178" i="1"/>
  <c r="V178" i="1"/>
  <c r="V175" i="1"/>
  <c r="U175" i="1"/>
  <c r="T175" i="1"/>
  <c r="S175" i="1"/>
  <c r="R175" i="1"/>
  <c r="S146" i="1"/>
  <c r="T146" i="1"/>
  <c r="U146" i="1"/>
  <c r="V146" i="1"/>
  <c r="S147" i="1"/>
  <c r="T147" i="1"/>
  <c r="U147" i="1"/>
  <c r="V147" i="1"/>
  <c r="R148" i="1"/>
  <c r="S148" i="1"/>
  <c r="T148" i="1"/>
  <c r="U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S158" i="1"/>
  <c r="T158" i="1"/>
  <c r="U158" i="1"/>
  <c r="V158" i="1"/>
  <c r="R160" i="1"/>
  <c r="S160" i="1"/>
  <c r="T160" i="1"/>
  <c r="U160" i="1"/>
  <c r="R161" i="1"/>
  <c r="S161" i="1"/>
  <c r="T161" i="1"/>
  <c r="U161" i="1"/>
  <c r="V161" i="1"/>
  <c r="R162" i="1"/>
  <c r="S162" i="1"/>
  <c r="T162" i="1"/>
  <c r="U162" i="1"/>
  <c r="V162" i="1"/>
  <c r="S163" i="1"/>
  <c r="T163" i="1"/>
  <c r="U163" i="1"/>
  <c r="V163" i="1"/>
  <c r="R164" i="1"/>
  <c r="U164" i="1"/>
  <c r="V164" i="1"/>
  <c r="R165" i="1"/>
  <c r="S165" i="1"/>
  <c r="T165" i="1"/>
  <c r="U165" i="1"/>
  <c r="V165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S172" i="1"/>
  <c r="U172" i="1"/>
  <c r="V172" i="1"/>
  <c r="V144" i="1"/>
  <c r="U144" i="1"/>
  <c r="T144" i="1"/>
  <c r="S144" i="1"/>
  <c r="R144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S141" i="1"/>
  <c r="U141" i="1"/>
  <c r="V141" i="1"/>
  <c r="V136" i="1"/>
  <c r="U136" i="1"/>
  <c r="T136" i="1"/>
  <c r="S136" i="1"/>
  <c r="R136" i="1"/>
  <c r="R121" i="1"/>
  <c r="S121" i="1"/>
  <c r="T121" i="1"/>
  <c r="U121" i="1"/>
  <c r="V121" i="1"/>
  <c r="S122" i="1"/>
  <c r="T122" i="1"/>
  <c r="U122" i="1"/>
  <c r="V122" i="1"/>
  <c r="R123" i="1"/>
  <c r="S123" i="1"/>
  <c r="T123" i="1"/>
  <c r="U123" i="1"/>
  <c r="V123" i="1"/>
  <c r="R127" i="1"/>
  <c r="S127" i="1"/>
  <c r="T127" i="1"/>
  <c r="U127" i="1"/>
  <c r="V127" i="1"/>
  <c r="R128" i="1"/>
  <c r="S128" i="1"/>
  <c r="T128" i="1"/>
  <c r="U128" i="1"/>
  <c r="V128" i="1"/>
  <c r="S129" i="1"/>
  <c r="T129" i="1"/>
  <c r="U129" i="1"/>
  <c r="V129" i="1"/>
  <c r="R130" i="1"/>
  <c r="S130" i="1"/>
  <c r="T130" i="1"/>
  <c r="U130" i="1"/>
  <c r="V130" i="1"/>
  <c r="R132" i="1"/>
  <c r="S132" i="1"/>
  <c r="T132" i="1"/>
  <c r="U132" i="1"/>
  <c r="V132" i="1"/>
  <c r="S133" i="1"/>
  <c r="U133" i="1"/>
  <c r="V133" i="1"/>
  <c r="V120" i="1"/>
  <c r="U120" i="1"/>
  <c r="T120" i="1"/>
  <c r="S120" i="1"/>
  <c r="R120" i="1"/>
  <c r="S105" i="1"/>
  <c r="T105" i="1"/>
  <c r="U105" i="1"/>
  <c r="V105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V103" i="1"/>
  <c r="U103" i="1"/>
  <c r="T103" i="1"/>
  <c r="S103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R69" i="1"/>
  <c r="S69" i="1"/>
  <c r="T69" i="1"/>
  <c r="U69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S82" i="1"/>
  <c r="T82" i="1"/>
  <c r="U82" i="1"/>
  <c r="V82" i="1"/>
  <c r="R84" i="1"/>
  <c r="S84" i="1"/>
  <c r="T84" i="1"/>
  <c r="U84" i="1"/>
  <c r="V84" i="1"/>
  <c r="R85" i="1"/>
  <c r="T85" i="1"/>
  <c r="U85" i="1"/>
  <c r="V85" i="1"/>
  <c r="R87" i="1"/>
  <c r="S87" i="1"/>
  <c r="T87" i="1"/>
  <c r="U87" i="1"/>
  <c r="V87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S94" i="1"/>
  <c r="T94" i="1"/>
  <c r="U94" i="1"/>
  <c r="V94" i="1"/>
  <c r="R95" i="1"/>
  <c r="S95" i="1"/>
  <c r="T95" i="1"/>
  <c r="U95" i="1"/>
  <c r="V95" i="1"/>
  <c r="R98" i="1"/>
  <c r="S98" i="1"/>
  <c r="T98" i="1"/>
  <c r="U98" i="1"/>
  <c r="V98" i="1"/>
  <c r="S99" i="1"/>
  <c r="U99" i="1"/>
  <c r="V99" i="1"/>
  <c r="V64" i="1"/>
  <c r="U64" i="1"/>
  <c r="T64" i="1"/>
  <c r="S64" i="1"/>
  <c r="R64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3" i="1"/>
  <c r="S53" i="1"/>
  <c r="T53" i="1"/>
  <c r="U53" i="1"/>
  <c r="V53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60" i="1"/>
  <c r="S60" i="1"/>
  <c r="T60" i="1"/>
  <c r="U60" i="1"/>
  <c r="V60" i="1"/>
  <c r="S61" i="1"/>
  <c r="U61" i="1"/>
  <c r="V61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9" i="1" l="1"/>
  <c r="V148" i="1"/>
  <c r="O222" i="1" l="1"/>
  <c r="K222" i="1"/>
  <c r="L214" i="1" s="1"/>
  <c r="H222" i="1"/>
  <c r="K207" i="1"/>
  <c r="H207" i="1"/>
  <c r="D207" i="1"/>
  <c r="L189" i="1"/>
  <c r="H178" i="1"/>
  <c r="O178" i="1"/>
  <c r="K178" i="1"/>
  <c r="O172" i="1"/>
  <c r="K172" i="1"/>
  <c r="L161" i="1" s="1"/>
  <c r="H172" i="1"/>
  <c r="D172" i="1"/>
  <c r="E159" i="1" s="1"/>
  <c r="O141" i="1"/>
  <c r="K141" i="1"/>
  <c r="H141" i="1"/>
  <c r="T141" i="1" s="1"/>
  <c r="H133" i="1"/>
  <c r="K133" i="1"/>
  <c r="L117" i="1" s="1"/>
  <c r="O99" i="1"/>
  <c r="K99" i="1"/>
  <c r="L78" i="1" s="1"/>
  <c r="H99" i="1"/>
  <c r="D99" i="1"/>
  <c r="O61" i="1"/>
  <c r="H61" i="1"/>
  <c r="O23" i="1"/>
  <c r="H23" i="1"/>
  <c r="L124" i="1" l="1"/>
  <c r="L116" i="1"/>
  <c r="B5" i="3"/>
  <c r="L190" i="1"/>
  <c r="L81" i="1"/>
  <c r="L95" i="1"/>
  <c r="L131" i="1"/>
  <c r="B4" i="3"/>
  <c r="L154" i="1"/>
  <c r="L159" i="1"/>
  <c r="L160" i="1"/>
  <c r="L166" i="1"/>
  <c r="L145" i="1"/>
  <c r="L194" i="1"/>
  <c r="L193" i="1"/>
  <c r="E70" i="1"/>
  <c r="B15" i="2"/>
  <c r="B5" i="2" s="1"/>
  <c r="L70" i="1"/>
  <c r="C15" i="2"/>
  <c r="C5" i="2" s="1"/>
  <c r="B18" i="2"/>
  <c r="B8" i="2" s="1"/>
  <c r="E166" i="1"/>
  <c r="E54" i="1"/>
  <c r="L54" i="1"/>
  <c r="L104" i="1"/>
  <c r="L107" i="1"/>
  <c r="E32" i="1"/>
  <c r="L32" i="1"/>
  <c r="L164" i="1"/>
  <c r="L165" i="1"/>
  <c r="L167" i="1"/>
  <c r="E60" i="1"/>
  <c r="E59" i="1"/>
  <c r="C18" i="2"/>
  <c r="C8" i="2" s="1"/>
  <c r="C16" i="2"/>
  <c r="C6" i="2" s="1"/>
  <c r="L106" i="1"/>
  <c r="L137" i="1"/>
  <c r="C17" i="2"/>
  <c r="C7" i="2" s="1"/>
  <c r="B6" i="3"/>
  <c r="C19" i="2"/>
  <c r="C9" i="2" s="1"/>
  <c r="B2" i="3"/>
  <c r="C20" i="2"/>
  <c r="C10" i="2" s="1"/>
  <c r="B7" i="3"/>
  <c r="B8" i="3"/>
  <c r="C4" i="2"/>
  <c r="E97" i="1"/>
  <c r="B9" i="3"/>
  <c r="L83" i="1"/>
  <c r="L97" i="1"/>
  <c r="L59" i="1"/>
  <c r="L187" i="1"/>
  <c r="L188" i="1"/>
  <c r="L191" i="1"/>
  <c r="L192" i="1"/>
  <c r="L195" i="1"/>
  <c r="L196" i="1"/>
  <c r="L197" i="1"/>
  <c r="L125" i="1"/>
  <c r="L126" i="1"/>
  <c r="E80" i="1"/>
  <c r="E83" i="1"/>
  <c r="E165" i="1"/>
  <c r="E167" i="1"/>
  <c r="L90" i="1"/>
  <c r="L98" i="1"/>
  <c r="L80" i="1"/>
  <c r="E145" i="1"/>
  <c r="L109" i="1"/>
  <c r="L122" i="1"/>
  <c r="L186" i="1"/>
  <c r="E86" i="1"/>
  <c r="L86" i="1"/>
  <c r="L57" i="1"/>
  <c r="L37" i="1"/>
  <c r="L220" i="1"/>
  <c r="L221" i="1"/>
  <c r="E50" i="1"/>
  <c r="L49" i="1"/>
  <c r="L53" i="1"/>
  <c r="L50" i="1"/>
  <c r="L55" i="1"/>
  <c r="L103" i="1"/>
  <c r="L120" i="1"/>
  <c r="L168" i="1"/>
  <c r="L91" i="1"/>
  <c r="L67" i="1"/>
  <c r="L108" i="1"/>
  <c r="L26" i="1"/>
  <c r="T201" i="1"/>
  <c r="L96" i="1"/>
  <c r="E88" i="1"/>
  <c r="E96" i="1"/>
  <c r="T222" i="1"/>
  <c r="L88" i="1"/>
  <c r="T61" i="1"/>
  <c r="T178" i="1"/>
  <c r="R178" i="1"/>
  <c r="T99" i="1"/>
  <c r="T172" i="1"/>
  <c r="T23" i="1"/>
  <c r="R141" i="1"/>
  <c r="R222" i="1"/>
  <c r="T133" i="1"/>
  <c r="O202" i="1"/>
  <c r="O223" i="1" s="1"/>
  <c r="R172" i="1"/>
  <c r="R133" i="1"/>
  <c r="R99" i="1"/>
  <c r="L66" i="1"/>
  <c r="L68" i="1"/>
  <c r="L71" i="1"/>
  <c r="L73" i="1"/>
  <c r="L75" i="1"/>
  <c r="L77" i="1"/>
  <c r="L79" i="1"/>
  <c r="L82" i="1"/>
  <c r="L85" i="1"/>
  <c r="L89" i="1"/>
  <c r="L93" i="1"/>
  <c r="L65" i="1"/>
  <c r="L69" i="1"/>
  <c r="L72" i="1"/>
  <c r="L74" i="1"/>
  <c r="L76" i="1"/>
  <c r="L84" i="1"/>
  <c r="L87" i="1"/>
  <c r="L92" i="1"/>
  <c r="L94" i="1"/>
  <c r="E28" i="1"/>
  <c r="E30" i="1"/>
  <c r="E33" i="1"/>
  <c r="E35" i="1"/>
  <c r="E37" i="1"/>
  <c r="E39" i="1"/>
  <c r="E41" i="1"/>
  <c r="E43" i="1"/>
  <c r="E45" i="1"/>
  <c r="E49" i="1"/>
  <c r="E55" i="1"/>
  <c r="E57" i="1"/>
  <c r="E27" i="1"/>
  <c r="E29" i="1"/>
  <c r="E31" i="1"/>
  <c r="E34" i="1"/>
  <c r="E36" i="1"/>
  <c r="E38" i="1"/>
  <c r="E40" i="1"/>
  <c r="E42" i="1"/>
  <c r="E44" i="1"/>
  <c r="E46" i="1"/>
  <c r="E53" i="1"/>
  <c r="E56" i="1"/>
  <c r="E58" i="1"/>
  <c r="E26" i="1"/>
  <c r="R201" i="1"/>
  <c r="H202" i="1"/>
  <c r="H223" i="1" s="1"/>
  <c r="J10" i="4"/>
  <c r="I12" i="4"/>
  <c r="H12" i="4"/>
  <c r="G12" i="4"/>
  <c r="F12" i="4"/>
  <c r="E12" i="4"/>
  <c r="C12" i="4"/>
  <c r="E218" i="1"/>
  <c r="L219" i="1"/>
  <c r="L218" i="1"/>
  <c r="L216" i="1"/>
  <c r="L215" i="1"/>
  <c r="L212" i="1"/>
  <c r="L211" i="1"/>
  <c r="L210" i="1"/>
  <c r="L205" i="1"/>
  <c r="E205" i="1"/>
  <c r="L183" i="1"/>
  <c r="L175" i="1"/>
  <c r="E177" i="1"/>
  <c r="E171" i="1"/>
  <c r="E168" i="1"/>
  <c r="L158" i="1"/>
  <c r="L156" i="1"/>
  <c r="L153" i="1"/>
  <c r="L150" i="1"/>
  <c r="L148" i="1"/>
  <c r="L144" i="1"/>
  <c r="L139" i="1"/>
  <c r="E140" i="1"/>
  <c r="L140" i="1"/>
  <c r="E95" i="1"/>
  <c r="E94" i="1"/>
  <c r="E92" i="1"/>
  <c r="E90" i="1"/>
  <c r="E87" i="1"/>
  <c r="E84" i="1"/>
  <c r="E81" i="1"/>
  <c r="E78" i="1"/>
  <c r="E76" i="1"/>
  <c r="E74" i="1"/>
  <c r="E72" i="1"/>
  <c r="E69" i="1"/>
  <c r="E67" i="1"/>
  <c r="E65" i="1"/>
  <c r="L56" i="1"/>
  <c r="R61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6" i="1"/>
  <c r="L146" i="1"/>
  <c r="L149" i="1"/>
  <c r="L152" i="1"/>
  <c r="L157" i="1"/>
  <c r="L162" i="1"/>
  <c r="E19" i="1"/>
  <c r="L64" i="1"/>
  <c r="E68" i="1"/>
  <c r="E136" i="1"/>
  <c r="E144" i="1"/>
  <c r="E146" i="1"/>
  <c r="E147" i="1"/>
  <c r="E152" i="1"/>
  <c r="E153" i="1"/>
  <c r="E154" i="1"/>
  <c r="E155" i="1"/>
  <c r="E161" i="1"/>
  <c r="E164" i="1"/>
  <c r="E170" i="1"/>
  <c r="E12" i="1"/>
  <c r="E14" i="1"/>
  <c r="E17" i="1"/>
  <c r="E21" i="1"/>
  <c r="L30" i="1"/>
  <c r="L39" i="1"/>
  <c r="L45" i="1"/>
  <c r="K202" i="1"/>
  <c r="L138" i="1"/>
  <c r="E148" i="1"/>
  <c r="E149" i="1"/>
  <c r="E150" i="1"/>
  <c r="E151" i="1"/>
  <c r="E156" i="1"/>
  <c r="E157" i="1"/>
  <c r="E158" i="1"/>
  <c r="E160" i="1"/>
  <c r="E162" i="1"/>
  <c r="E163" i="1"/>
  <c r="E169" i="1"/>
  <c r="L182" i="1"/>
  <c r="L113" i="1"/>
  <c r="L112" i="1"/>
  <c r="L35" i="1"/>
  <c r="L46" i="1"/>
  <c r="E139" i="1"/>
  <c r="L170" i="1"/>
  <c r="L177" i="1"/>
  <c r="E213" i="1"/>
  <c r="E217" i="1"/>
  <c r="E221" i="1"/>
  <c r="D12" i="4"/>
  <c r="E105" i="1"/>
  <c r="L41" i="1"/>
  <c r="L31" i="1"/>
  <c r="L43" i="1"/>
  <c r="L147" i="1"/>
  <c r="L151" i="1"/>
  <c r="L155" i="1"/>
  <c r="E176" i="1"/>
  <c r="E186" i="1"/>
  <c r="E206" i="1"/>
  <c r="L213" i="1"/>
  <c r="L217" i="1"/>
  <c r="L29" i="1"/>
  <c r="E7" i="1"/>
  <c r="E18" i="1"/>
  <c r="E22" i="1"/>
  <c r="L28" i="1"/>
  <c r="L48" i="1"/>
  <c r="E64" i="1"/>
  <c r="E73" i="1"/>
  <c r="E77" i="1"/>
  <c r="E82" i="1"/>
  <c r="E89" i="1"/>
  <c r="E93" i="1"/>
  <c r="E98" i="1"/>
  <c r="E138" i="1"/>
  <c r="L163" i="1"/>
  <c r="L169" i="1"/>
  <c r="L176" i="1"/>
  <c r="L206" i="1"/>
  <c r="R207" i="1"/>
  <c r="E212" i="1"/>
  <c r="E216" i="1"/>
  <c r="E220" i="1"/>
  <c r="E175" i="1"/>
  <c r="E183" i="1"/>
  <c r="E211" i="1"/>
  <c r="E215" i="1"/>
  <c r="E219" i="1"/>
  <c r="L47" i="1"/>
  <c r="L60" i="1"/>
  <c r="L27" i="1"/>
  <c r="L36" i="1"/>
  <c r="E182" i="1"/>
  <c r="E13" i="1"/>
  <c r="E16" i="1"/>
  <c r="L33" i="1"/>
  <c r="L44" i="1"/>
  <c r="E66" i="1"/>
  <c r="E71" i="1"/>
  <c r="E75" i="1"/>
  <c r="E79" i="1"/>
  <c r="E85" i="1"/>
  <c r="E91" i="1"/>
  <c r="L171" i="1"/>
  <c r="E210" i="1"/>
  <c r="E214" i="1"/>
  <c r="L123" i="1" l="1"/>
  <c r="L105" i="1"/>
  <c r="L110" i="1"/>
  <c r="L128" i="1"/>
  <c r="L111" i="1"/>
  <c r="K223" i="1"/>
  <c r="L23" i="1"/>
  <c r="L172" i="1"/>
  <c r="L61" i="1"/>
  <c r="L141" i="1"/>
  <c r="L99" i="1"/>
  <c r="L133" i="1"/>
  <c r="L201" i="1"/>
  <c r="L178" i="1"/>
  <c r="L115" i="1"/>
  <c r="L114" i="1"/>
  <c r="L132" i="1"/>
  <c r="L127" i="1"/>
  <c r="L129" i="1"/>
  <c r="L130" i="1"/>
  <c r="L121" i="1"/>
  <c r="E130" i="1"/>
  <c r="E127" i="1"/>
  <c r="E114" i="1"/>
  <c r="E111" i="1"/>
  <c r="E112" i="1"/>
  <c r="E122" i="1"/>
  <c r="E113" i="1"/>
  <c r="D202" i="1"/>
  <c r="E132" i="1"/>
  <c r="E103" i="1"/>
  <c r="E115" i="1"/>
  <c r="E110" i="1"/>
  <c r="E129" i="1"/>
  <c r="E128" i="1"/>
  <c r="E123" i="1"/>
  <c r="E120" i="1"/>
  <c r="E133" i="1" l="1"/>
  <c r="R202" i="1"/>
  <c r="E61" i="1"/>
  <c r="E172" i="1"/>
  <c r="D223" i="1"/>
  <c r="E99" i="1"/>
  <c r="E23" i="1"/>
  <c r="E201" i="1"/>
  <c r="E141" i="1"/>
  <c r="E178" i="1"/>
</calcChain>
</file>

<file path=xl/sharedStrings.xml><?xml version="1.0" encoding="utf-8"?>
<sst xmlns="http://schemas.openxmlformats.org/spreadsheetml/2006/main" count="463" uniqueCount="292">
  <si>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</si>
  <si>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</si>
  <si>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</si>
  <si>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</si>
  <si>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</si>
  <si>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</si>
  <si>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</si>
  <si>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</si>
  <si>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</si>
  <si>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</si>
  <si>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</si>
  <si>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</si>
  <si>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</si>
  <si>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</si>
  <si>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</si>
  <si>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</si>
  <si>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</si>
  <si>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</si>
  <si>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</si>
  <si>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</si>
  <si>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</si>
  <si>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</si>
  <si>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</si>
  <si>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</si>
  <si>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</si>
  <si>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</si>
  <si>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</si>
  <si>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</si>
  <si>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</si>
  <si>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</si>
  <si>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</si>
  <si>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</si>
  <si>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</si>
  <si>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</si>
  <si>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</si>
  <si>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</si>
  <si>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</si>
  <si>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</si>
  <si>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</si>
  <si>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</si>
  <si>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</si>
  <si>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</si>
  <si>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</si>
  <si>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</si>
  <si>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</si>
  <si>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</si>
  <si>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</si>
  <si>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</si>
  <si>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</si>
  <si>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</si>
  <si>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</si>
  <si>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</si>
  <si>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</si>
  <si>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</si>
  <si>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</si>
  <si>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</si>
  <si>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</si>
  <si>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</si>
  <si>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</si>
  <si>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</si>
  <si>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</si>
  <si>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</si>
  <si>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</si>
  <si>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</si>
  <si>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</si>
  <si>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</si>
  <si>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</si>
  <si>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</si>
  <si>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</si>
  <si>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</si>
  <si>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</si>
  <si>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</si>
  <si>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</si>
  <si>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</si>
  <si>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</si>
  <si>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</si>
  <si>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</si>
  <si>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</si>
  <si>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</si>
  <si>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</si>
  <si>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</si>
  <si>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</si>
  <si>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</si>
  <si>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</si>
  <si>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</si>
  <si>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</si>
  <si>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</si>
  <si>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</si>
  <si>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</si>
  <si>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</si>
  <si>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</si>
  <si>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</si>
  <si>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</si>
  <si>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</si>
  <si>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</si>
  <si>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</si>
  <si>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</si>
  <si>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</si>
  <si>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</si>
  <si>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</si>
  <si>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</si>
  <si>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</si>
  <si>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</si>
  <si>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</si>
  <si>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</si>
  <si>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</si>
  <si>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</si>
  <si>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</si>
  <si>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</si>
  <si>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</si>
  <si>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</si>
  <si>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</si>
  <si>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</si>
  <si>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</si>
  <si>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</si>
  <si>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</si>
  <si>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</si>
  <si>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</si>
  <si>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</si>
  <si>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</si>
  <si>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</si>
  <si>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</si>
  <si>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</si>
  <si>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</si>
  <si>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</si>
  <si>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</si>
  <si>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</si>
  <si>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</si>
  <si>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</si>
  <si>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</si>
  <si>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</si>
  <si>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</si>
  <si>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</si>
  <si>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</si>
  <si>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</si>
  <si>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</si>
  <si>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</si>
  <si>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</si>
  <si>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</si>
  <si>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</si>
  <si>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</si>
  <si>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</si>
  <si>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</si>
  <si>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</si>
  <si>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</si>
  <si>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</si>
  <si>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</si>
  <si>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</si>
  <si>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</si>
  <si>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</si>
  <si>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</si>
  <si>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</si>
  <si>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</si>
  <si>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</si>
  <si>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</si>
  <si>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</si>
  <si>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</si>
  <si>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</si>
  <si>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</si>
  <si>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</si>
  <si>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</si>
  <si>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</si>
  <si>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</si>
  <si>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</si>
  <si>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</si>
  <si>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</si>
  <si>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</si>
  <si>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</si>
  <si>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</si>
  <si>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</si>
  <si>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</si>
  <si>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</si>
  <si>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</si>
  <si>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</si>
  <si>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</si>
  <si>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</si>
  <si>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</si>
  <si>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</si>
  <si>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</si>
  <si>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</si>
  <si>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</si>
  <si>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</si>
  <si>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</si>
  <si>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</si>
  <si>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</si>
  <si>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</si>
  <si>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</si>
  <si>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</si>
  <si>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</si>
  <si>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</si>
  <si>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</si>
  <si>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</si>
  <si>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</si>
  <si>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</si>
  <si>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</si>
  <si>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</si>
  <si>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</si>
  <si>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</si>
  <si>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</si>
  <si>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</si>
  <si>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</si>
  <si>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</si>
  <si>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</si>
  <si>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</si>
  <si>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</si>
  <si>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</si>
  <si>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</si>
  <si>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</si>
  <si>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</si>
  <si>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</si>
  <si>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</si>
  <si>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</si>
  <si>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</si>
  <si>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</si>
  <si>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</si>
  <si>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</si>
  <si>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</si>
  <si>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</si>
  <si>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</si>
  <si>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</si>
  <si>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</si>
  <si>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</si>
  <si>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</si>
  <si>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</si>
  <si>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</si>
  <si>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</si>
  <si>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</si>
  <si>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</si>
  <si>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</si>
  <si>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</si>
  <si>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</si>
  <si>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</si>
  <si>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</si>
  <si>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</si>
  <si>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</si>
  <si>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</si>
  <si>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</si>
  <si>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</si>
  <si>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</si>
  <si>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</si>
  <si>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</si>
  <si>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</si>
  <si>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</si>
  <si>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</si>
  <si>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</si>
  <si>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</si>
  <si>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</si>
  <si>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</si>
  <si>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</si>
  <si>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</si>
  <si>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</si>
  <si>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</si>
  <si>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</si>
  <si>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</si>
  <si>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</si>
  <si>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</si>
  <si>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</si>
  <si>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</si>
  <si>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</si>
  <si>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</si>
  <si>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</si>
  <si>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</si>
  <si>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</si>
  <si>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</si>
  <si>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</si>
  <si>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</si>
  <si>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</si>
  <si>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</si>
  <si>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</si>
  <si>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</si>
  <si>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</si>
  <si>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</si>
  <si>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</si>
  <si>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</si>
  <si>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</si>
  <si>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</si>
  <si>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</si>
  <si>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RMB Nigeria Asset Management Ltd.</t>
  </si>
  <si>
    <t>RMBN Money Market Fund</t>
  </si>
  <si>
    <t>RMBN Dollar Fixed Income Fund</t>
  </si>
  <si>
    <t>Emerging Africa Halal Fund</t>
  </si>
  <si>
    <t>NAV, Unit Price and Yield as at Week Ended August 16, 2024</t>
  </si>
  <si>
    <t>United Capital Nigerian Eurobond Fund</t>
  </si>
  <si>
    <t>Week Ended August 16, 2024</t>
  </si>
  <si>
    <t>dayo</t>
  </si>
  <si>
    <t>WEEKLY VALUATION REPORT OF COLLECTIVE INVESTMENT SCHEMES AS AT WEEK ENDED FRIDAY, AUGUST 23, 2024</t>
  </si>
  <si>
    <t>NAV, Unit Price and Yield as at Week Ended August 23, 2024</t>
  </si>
  <si>
    <t>BALANCED</t>
  </si>
  <si>
    <t>Lotus Waqf (Endowment) Fund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</si>
  <si>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23rd August, 2024 = N1,565.429</t>
    </r>
  </si>
  <si>
    <t>Week Ended August 23, 2024</t>
  </si>
  <si>
    <t>The chart above shows that the Dollar Fund category (Eurobonds and Fixed Income) has the highest share of the Aggregate Net Asset Value (NAV) at 48.50%, followed by Money Market Fund with 38.01%, Bond/Fixed Income Fund at 6.53%, Real Estate Investment Trust at 2.94%.  Next is Balanced Fund at 1.50%, Shari'ah Compliant Fund at 1.54%, Equity Fund at 0.83% and Ethical Fund at 0.16%.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</si>
</sst>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5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39" fillId="0" borderId="0" xfId="0" applyFont="1"/>
    <xf numFmtId="16" fontId="49" fillId="3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0" fontId="51" fillId="0" borderId="5" xfId="0" applyFont="1" applyBorder="1" applyAlignment="1">
      <alignment horizontal="right"/>
    </xf>
    <xf numFmtId="16" fontId="52" fillId="3" borderId="5" xfId="0" applyNumberFormat="1" applyFont="1" applyFill="1" applyBorder="1"/>
    <xf numFmtId="0" fontId="52" fillId="0" borderId="5" xfId="0" applyFont="1" applyBorder="1" applyAlignment="1">
      <alignment horizontal="right"/>
    </xf>
    <xf numFmtId="4" fontId="53" fillId="3" borderId="5" xfId="0" applyNumberFormat="1" applyFont="1" applyFill="1" applyBorder="1"/>
    <xf numFmtId="164" fontId="53" fillId="3" borderId="5" xfId="1" applyFont="1" applyFill="1" applyBorder="1" applyAlignment="1">
      <alignment horizontal="right" vertical="top" wrapText="1"/>
    </xf>
    <xf numFmtId="4" fontId="53" fillId="3" borderId="5" xfId="0" applyNumberFormat="1" applyFont="1" applyFill="1" applyBorder="1" applyAlignment="1">
      <alignment horizontal="right"/>
    </xf>
    <xf numFmtId="0" fontId="52" fillId="0" borderId="0" xfId="0" applyFont="1" applyAlignment="1">
      <alignment horizontal="right"/>
    </xf>
    <xf numFmtId="4" fontId="53" fillId="3" borderId="0" xfId="0" applyNumberFormat="1" applyFont="1" applyFill="1"/>
    <xf numFmtId="16" fontId="52" fillId="3" borderId="5" xfId="0" applyNumberFormat="1" applyFont="1" applyFill="1" applyBorder="1" applyAlignment="1">
      <alignment horizontal="center" wrapText="1"/>
    </xf>
    <xf numFmtId="0" fontId="52" fillId="0" borderId="5" xfId="0" applyFont="1" applyBorder="1" applyAlignment="1">
      <alignment horizontal="right" wrapText="1"/>
    </xf>
    <xf numFmtId="0" fontId="54" fillId="0" borderId="5" xfId="0" applyFont="1" applyBorder="1" applyAlignment="1">
      <alignment horizontal="right" wrapText="1"/>
    </xf>
    <xf numFmtId="164" fontId="55" fillId="0" borderId="5" xfId="1" applyFont="1" applyBorder="1"/>
    <xf numFmtId="4" fontId="55" fillId="3" borderId="5" xfId="0" applyNumberFormat="1" applyFont="1" applyFill="1" applyBorder="1"/>
    <xf numFmtId="0" fontId="54" fillId="0" borderId="5" xfId="0" applyFont="1" applyBorder="1" applyAlignment="1">
      <alignment horizontal="right"/>
    </xf>
    <xf numFmtId="4" fontId="55" fillId="3" borderId="5" xfId="0" applyNumberFormat="1" applyFont="1" applyFill="1" applyBorder="1" applyAlignment="1">
      <alignment horizontal="right"/>
    </xf>
    <xf numFmtId="164" fontId="55" fillId="3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23" fillId="13" borderId="0" xfId="0" applyFont="1" applyFill="1" applyAlignment="1">
      <alignment horizontal="center" wrapText="1"/>
    </xf>
    <xf numFmtId="164" fontId="12" fillId="3" borderId="0" xfId="1" applyFont="1" applyFill="1" applyBorder="1" applyAlignment="1">
      <alignment horizontal="right" vertical="top" wrapText="1"/>
    </xf>
  </cellXfs>
  <cellStyles count="61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" xfId="60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August 16,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27.391940327104201</c:v>
                </c:pt>
                <c:pt idx="1">
                  <c:v>1238.3912475964694</c:v>
                </c:pt>
                <c:pt idx="2">
                  <c:v>217.81903895914166</c:v>
                </c:pt>
                <c:pt idx="3">
                  <c:v>1593.0375569956129</c:v>
                </c:pt>
                <c:pt idx="4">
                  <c:v>97.679677536488839</c:v>
                </c:pt>
                <c:pt idx="5" formatCode="_-* #,##0.00_-;\-* #,##0.00_-;_-* &quot;-&quot;??_-;_-@_-">
                  <c:v>49.479509081395513</c:v>
                </c:pt>
                <c:pt idx="6">
                  <c:v>5.3226240449300004</c:v>
                </c:pt>
                <c:pt idx="7">
                  <c:v>50.711700679821405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August 23,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27.464171302260002</c:v>
                </c:pt>
                <c:pt idx="1">
                  <c:v>1261.9333830539299</c:v>
                </c:pt>
                <c:pt idx="2">
                  <c:v>216.79604916953281</c:v>
                </c:pt>
                <c:pt idx="3">
                  <c:v>1610.2141655640437</c:v>
                </c:pt>
                <c:pt idx="4">
                  <c:v>97.725390745223066</c:v>
                </c:pt>
                <c:pt idx="5" formatCode="_-* #,##0.00_-;\-* #,##0.00_-;_-* &quot;-&quot;??_-;_-@_-">
                  <c:v>49.723971071591237</c:v>
                </c:pt>
                <c:pt idx="6">
                  <c:v>5.2649549563800004</c:v>
                </c:pt>
                <c:pt idx="7">
                  <c:v>51.033367484494462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23RD AUGUST,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23-Aug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5264954956.3800001</c:v>
                </c:pt>
                <c:pt idx="1">
                  <c:v>27464171302.260002</c:v>
                </c:pt>
                <c:pt idx="2" formatCode="_-* #,##0.00_-;\-* #,##0.00_-;_-* &quot;-&quot;??_-;_-@_-">
                  <c:v>49723971071.59124</c:v>
                </c:pt>
                <c:pt idx="3">
                  <c:v>51033367484.494461</c:v>
                </c:pt>
                <c:pt idx="4">
                  <c:v>97725390745.223068</c:v>
                </c:pt>
                <c:pt idx="5">
                  <c:v>216796049169.53281</c:v>
                </c:pt>
                <c:pt idx="6">
                  <c:v>1261933383053.9299</c:v>
                </c:pt>
                <c:pt idx="7">
                  <c:v>1610214165564.0437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45478</c:v>
                </c:pt>
                <c:pt idx="1">
                  <c:v>45485</c:v>
                </c:pt>
                <c:pt idx="2">
                  <c:v>45492</c:v>
                </c:pt>
                <c:pt idx="3">
                  <c:v>45499</c:v>
                </c:pt>
                <c:pt idx="4">
                  <c:v>45506</c:v>
                </c:pt>
                <c:pt idx="5">
                  <c:v>45513</c:v>
                </c:pt>
                <c:pt idx="6">
                  <c:v>45520</c:v>
                </c:pt>
                <c:pt idx="7">
                  <c:v>45527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3047.0187418823903</c:v>
                </c:pt>
                <c:pt idx="1">
                  <c:v>3097.1617711497356</c:v>
                </c:pt>
                <c:pt idx="2">
                  <c:v>3161.8406486109188</c:v>
                </c:pt>
                <c:pt idx="3">
                  <c:v>3212.3863205334346</c:v>
                </c:pt>
                <c:pt idx="4">
                  <c:v>3251.4108261292827</c:v>
                </c:pt>
                <c:pt idx="5">
                  <c:v>3244.6913921078954</c:v>
                </c:pt>
                <c:pt idx="6">
                  <c:v>3279.8332952209639</c:v>
                </c:pt>
                <c:pt idx="7">
                  <c:v>3320.1554533474555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45478</c:v>
                </c:pt>
                <c:pt idx="1">
                  <c:v>45485</c:v>
                </c:pt>
                <c:pt idx="2">
                  <c:v>45492</c:v>
                </c:pt>
                <c:pt idx="3">
                  <c:v>45499</c:v>
                </c:pt>
                <c:pt idx="4">
                  <c:v>45506</c:v>
                </c:pt>
                <c:pt idx="5">
                  <c:v>45513</c:v>
                </c:pt>
                <c:pt idx="6">
                  <c:v>45520</c:v>
                </c:pt>
                <c:pt idx="7">
                  <c:v>45527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12.187736015745237</c:v>
                </c:pt>
                <c:pt idx="1">
                  <c:v>12.34693280092509</c:v>
                </c:pt>
                <c:pt idx="2">
                  <c:v>12.398936333326033</c:v>
                </c:pt>
                <c:pt idx="3">
                  <c:v>12.157713481032657</c:v>
                </c:pt>
                <c:pt idx="4">
                  <c:v>12.159294190102655</c:v>
                </c:pt>
                <c:pt idx="5">
                  <c:v>12.203531382445654</c:v>
                </c:pt>
                <c:pt idx="6">
                  <c:v>12.119077784973646</c:v>
                </c:pt>
                <c:pt idx="7">
                  <c:v>12.021932386157646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567690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0"/>
  <sheetViews>
    <sheetView tabSelected="1" zoomScale="120" zoomScaleNormal="12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68" t="s">
        <v>285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1"/>
    </row>
    <row r="2" spans="1:25" ht="15" customHeight="1">
      <c r="A2" s="1"/>
      <c r="B2" s="1"/>
      <c r="C2" s="1"/>
      <c r="D2" s="175" t="s">
        <v>281</v>
      </c>
      <c r="E2" s="176"/>
      <c r="F2" s="176"/>
      <c r="G2" s="176"/>
      <c r="H2" s="176"/>
      <c r="I2" s="176"/>
      <c r="J2" s="177"/>
      <c r="K2" s="175" t="s">
        <v>286</v>
      </c>
      <c r="L2" s="176"/>
      <c r="M2" s="176"/>
      <c r="N2" s="176"/>
      <c r="O2" s="176"/>
      <c r="P2" s="176"/>
      <c r="Q2" s="177"/>
      <c r="R2" s="175" t="s">
        <v>0</v>
      </c>
      <c r="S2" s="176"/>
      <c r="T2" s="177"/>
      <c r="U2" s="172" t="s">
        <v>1</v>
      </c>
      <c r="V2" s="172"/>
    </row>
    <row r="3" spans="1:25" ht="25.5">
      <c r="A3" s="78" t="s">
        <v>2</v>
      </c>
      <c r="B3" s="78" t="s">
        <v>3</v>
      </c>
      <c r="C3" s="72" t="s">
        <v>4</v>
      </c>
      <c r="D3" s="73" t="s">
        <v>5</v>
      </c>
      <c r="E3" s="74" t="s">
        <v>6</v>
      </c>
      <c r="F3" s="74" t="s">
        <v>7</v>
      </c>
      <c r="G3" s="74" t="s">
        <v>8</v>
      </c>
      <c r="H3" s="74" t="s">
        <v>227</v>
      </c>
      <c r="I3" s="74" t="s">
        <v>9</v>
      </c>
      <c r="J3" s="74" t="s">
        <v>10</v>
      </c>
      <c r="K3" s="75" t="s">
        <v>5</v>
      </c>
      <c r="L3" s="74" t="s">
        <v>6</v>
      </c>
      <c r="M3" s="74" t="s">
        <v>7</v>
      </c>
      <c r="N3" s="74" t="s">
        <v>8</v>
      </c>
      <c r="O3" s="74" t="s">
        <v>227</v>
      </c>
      <c r="P3" s="74" t="s">
        <v>9</v>
      </c>
      <c r="Q3" s="74" t="s">
        <v>10</v>
      </c>
      <c r="R3" s="73" t="s">
        <v>11</v>
      </c>
      <c r="S3" s="74" t="s">
        <v>12</v>
      </c>
      <c r="T3" s="74" t="s">
        <v>233</v>
      </c>
      <c r="U3" s="74" t="s">
        <v>13</v>
      </c>
      <c r="V3" s="74" t="s">
        <v>14</v>
      </c>
    </row>
    <row r="4" spans="1:25" ht="7.5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</row>
    <row r="5" spans="1:25" ht="15" customHeight="1">
      <c r="A5" s="174" t="s">
        <v>15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</row>
    <row r="6" spans="1:25">
      <c r="A6" s="159">
        <v>1</v>
      </c>
      <c r="B6" s="131" t="s">
        <v>16</v>
      </c>
      <c r="C6" s="132" t="s">
        <v>17</v>
      </c>
      <c r="D6" s="2">
        <v>1072886053.5</v>
      </c>
      <c r="E6" s="3">
        <f t="shared" ref="E6:E22" si="0">(D6/$D$23)</f>
        <v>3.9167946508644517E-2</v>
      </c>
      <c r="F6" s="8">
        <v>335.91140000000001</v>
      </c>
      <c r="G6" s="8">
        <v>335.91140000000001</v>
      </c>
      <c r="H6" s="58">
        <v>1743</v>
      </c>
      <c r="I6" s="5">
        <v>-0.01</v>
      </c>
      <c r="J6" s="5">
        <v>0.11990000000000001</v>
      </c>
      <c r="K6" s="2">
        <v>1061665391.47</v>
      </c>
      <c r="L6" s="3">
        <f>(K6/$K$23)</f>
        <v>3.8656378151218293E-2</v>
      </c>
      <c r="M6" s="8">
        <v>333.34930000000003</v>
      </c>
      <c r="N6" s="8">
        <v>333.34930000000003</v>
      </c>
      <c r="O6" s="58">
        <v>1743</v>
      </c>
      <c r="P6" s="5">
        <v>-7.6E-3</v>
      </c>
      <c r="Q6" s="5">
        <v>0.1116</v>
      </c>
      <c r="R6" s="76">
        <f>((K6-D6)/D6)</f>
        <v>-1.0458391171546691E-2</v>
      </c>
      <c r="S6" s="76">
        <f>((N6-G6)/G6)</f>
        <v>-7.6273088677549696E-3</v>
      </c>
      <c r="T6" s="76">
        <f>((O6-H6)/H6)</f>
        <v>0</v>
      </c>
      <c r="U6" s="77">
        <f>P6-I6</f>
        <v>2.4000000000000002E-3</v>
      </c>
      <c r="V6" s="79">
        <f>Q6-J6</f>
        <v>-8.3000000000000018E-3</v>
      </c>
    </row>
    <row r="7" spans="1:25">
      <c r="A7" s="162">
        <v>2</v>
      </c>
      <c r="B7" s="131" t="s">
        <v>18</v>
      </c>
      <c r="C7" s="132" t="s">
        <v>19</v>
      </c>
      <c r="D7" s="4">
        <v>597346849.12</v>
      </c>
      <c r="E7" s="3">
        <f t="shared" si="0"/>
        <v>2.1807394510454887E-2</v>
      </c>
      <c r="F7" s="4">
        <v>220.71350000000001</v>
      </c>
      <c r="G7" s="4">
        <v>223.0454</v>
      </c>
      <c r="H7" s="58">
        <v>445</v>
      </c>
      <c r="I7" s="5">
        <v>1.9100000000000001E-4</v>
      </c>
      <c r="J7" s="5">
        <v>0.1409</v>
      </c>
      <c r="K7" s="4">
        <v>590843553.75999999</v>
      </c>
      <c r="L7" s="3">
        <f t="shared" ref="L7:L22" si="1">(K7/$K$23)</f>
        <v>2.1513248925569439E-2</v>
      </c>
      <c r="M7" s="4">
        <v>218.28540000000001</v>
      </c>
      <c r="N7" s="4">
        <v>220.62129999999999</v>
      </c>
      <c r="O7" s="58">
        <v>446</v>
      </c>
      <c r="P7" s="5">
        <v>2.7490000000000001E-3</v>
      </c>
      <c r="Q7" s="5">
        <v>0.12839999999999999</v>
      </c>
      <c r="R7" s="76">
        <f t="shared" ref="R7:R23" si="2">((K7-D7)/D7)</f>
        <v>-1.0886966876247101E-2</v>
      </c>
      <c r="S7" s="76">
        <f t="shared" ref="S7:S23" si="3">((N7-G7)/G7)</f>
        <v>-1.0868190960226079E-2</v>
      </c>
      <c r="T7" s="76">
        <f t="shared" ref="T7:T23" si="4">((O7-H7)/H7)</f>
        <v>2.2471910112359553E-3</v>
      </c>
      <c r="U7" s="77">
        <f t="shared" ref="U7:U23" si="5">P7-I7</f>
        <v>2.5579999999999999E-3</v>
      </c>
      <c r="V7" s="79">
        <f t="shared" ref="V7:V23" si="6">Q7-J7</f>
        <v>-1.2500000000000011E-2</v>
      </c>
    </row>
    <row r="8" spans="1:25">
      <c r="A8" s="154">
        <v>3</v>
      </c>
      <c r="B8" s="131" t="s">
        <v>20</v>
      </c>
      <c r="C8" s="132" t="s">
        <v>21</v>
      </c>
      <c r="D8" s="4">
        <v>3636375899.4200001</v>
      </c>
      <c r="E8" s="3">
        <f t="shared" si="0"/>
        <v>0.13275349814565063</v>
      </c>
      <c r="F8" s="4">
        <v>33.606099999999998</v>
      </c>
      <c r="G8" s="4">
        <v>34.619399999999999</v>
      </c>
      <c r="H8" s="60">
        <v>6586</v>
      </c>
      <c r="I8" s="6">
        <v>-2.1743000000000001</v>
      </c>
      <c r="J8" s="6">
        <v>0.15989999999999999</v>
      </c>
      <c r="K8" s="4">
        <v>3660755678</v>
      </c>
      <c r="L8" s="3">
        <f t="shared" si="1"/>
        <v>0.13329204940178768</v>
      </c>
      <c r="M8" s="4">
        <v>33.037599999999998</v>
      </c>
      <c r="N8" s="4">
        <v>34.033700000000003</v>
      </c>
      <c r="O8" s="60">
        <v>6584</v>
      </c>
      <c r="P8" s="6">
        <v>-0.88460000000000005</v>
      </c>
      <c r="Q8" s="6">
        <v>0.1263</v>
      </c>
      <c r="R8" s="76">
        <f t="shared" si="2"/>
        <v>6.7044164999246871E-3</v>
      </c>
      <c r="S8" s="76">
        <f t="shared" si="3"/>
        <v>-1.6918259704096422E-2</v>
      </c>
      <c r="T8" s="76">
        <f t="shared" si="4"/>
        <v>-3.0367446097783179E-4</v>
      </c>
      <c r="U8" s="77">
        <f t="shared" si="5"/>
        <v>1.2897000000000001</v>
      </c>
      <c r="V8" s="79">
        <f t="shared" si="6"/>
        <v>-3.3599999999999991E-2</v>
      </c>
      <c r="X8" s="98"/>
      <c r="Y8" s="98"/>
    </row>
    <row r="9" spans="1:25">
      <c r="A9" s="157">
        <v>4</v>
      </c>
      <c r="B9" s="131" t="s">
        <v>22</v>
      </c>
      <c r="C9" s="132" t="s">
        <v>23</v>
      </c>
      <c r="D9" s="4">
        <v>551596455.71000004</v>
      </c>
      <c r="E9" s="3">
        <f t="shared" si="0"/>
        <v>2.0137180832136881E-2</v>
      </c>
      <c r="F9" s="4">
        <v>197.20529999999999</v>
      </c>
      <c r="G9" s="4">
        <v>197.20529999999999</v>
      </c>
      <c r="H9" s="58">
        <v>1798</v>
      </c>
      <c r="I9" s="5">
        <v>-1.6299999999999999E-2</v>
      </c>
      <c r="J9" s="5">
        <v>0.1464</v>
      </c>
      <c r="K9" s="4">
        <v>544330793.26999998</v>
      </c>
      <c r="L9" s="3">
        <f t="shared" si="1"/>
        <v>1.9819669316772995E-2</v>
      </c>
      <c r="M9" s="4">
        <v>195.88630000000001</v>
      </c>
      <c r="N9" s="4">
        <v>195.88630000000001</v>
      </c>
      <c r="O9" s="58">
        <v>1780</v>
      </c>
      <c r="P9" s="5">
        <v>-6.7000000000000002E-3</v>
      </c>
      <c r="Q9" s="5">
        <v>0.1399</v>
      </c>
      <c r="R9" s="76">
        <f t="shared" si="2"/>
        <v>-1.3172061503999138E-2</v>
      </c>
      <c r="S9" s="76">
        <f t="shared" si="3"/>
        <v>-6.6884612127563938E-3</v>
      </c>
      <c r="T9" s="76">
        <f t="shared" si="4"/>
        <v>-1.0011123470522803E-2</v>
      </c>
      <c r="U9" s="77">
        <f t="shared" si="5"/>
        <v>9.5999999999999974E-3</v>
      </c>
      <c r="V9" s="79">
        <f t="shared" si="6"/>
        <v>-6.5000000000000058E-3</v>
      </c>
    </row>
    <row r="10" spans="1:25">
      <c r="A10" s="158">
        <v>5</v>
      </c>
      <c r="B10" s="131" t="s">
        <v>264</v>
      </c>
      <c r="C10" s="132" t="s">
        <v>99</v>
      </c>
      <c r="D10" s="4">
        <v>589016041.24000001</v>
      </c>
      <c r="E10" s="3">
        <f t="shared" si="0"/>
        <v>2.1503260966773182E-2</v>
      </c>
      <c r="F10" s="4">
        <v>0.91600000000000004</v>
      </c>
      <c r="G10" s="4">
        <v>0.9244</v>
      </c>
      <c r="H10" s="58">
        <v>515</v>
      </c>
      <c r="I10" s="5">
        <v>-5.1900000000000002E-2</v>
      </c>
      <c r="J10" s="5">
        <v>-4.8099999999999997E-2</v>
      </c>
      <c r="K10" s="4">
        <v>587649581.94000006</v>
      </c>
      <c r="L10" s="3">
        <f t="shared" si="1"/>
        <v>2.1396952978211394E-2</v>
      </c>
      <c r="M10" s="4">
        <v>0.91600000000000004</v>
      </c>
      <c r="N10" s="4">
        <v>0.9244</v>
      </c>
      <c r="O10" s="58">
        <v>532</v>
      </c>
      <c r="P10" s="5">
        <v>-5.0000000000000001E-4</v>
      </c>
      <c r="Q10" s="5">
        <v>-4.4699999999999997E-2</v>
      </c>
      <c r="R10" s="76">
        <f>((K10-D10)/D10)</f>
        <v>-2.3199016738547126E-3</v>
      </c>
      <c r="S10" s="76">
        <f>((N10-G10)/G10)</f>
        <v>0</v>
      </c>
      <c r="T10" s="76">
        <f>((O10-H10)/H10)</f>
        <v>3.3009708737864081E-2</v>
      </c>
      <c r="U10" s="77">
        <f>P10-I10</f>
        <v>5.1400000000000001E-2</v>
      </c>
      <c r="V10" s="79">
        <f>Q10-J10</f>
        <v>3.4000000000000002E-3</v>
      </c>
    </row>
    <row r="11" spans="1:25">
      <c r="A11" s="157">
        <v>6</v>
      </c>
      <c r="B11" s="131" t="s">
        <v>24</v>
      </c>
      <c r="C11" s="132" t="s">
        <v>25</v>
      </c>
      <c r="D11" s="7">
        <v>88109689.189999998</v>
      </c>
      <c r="E11" s="3">
        <f t="shared" si="0"/>
        <v>3.2166282540713573E-3</v>
      </c>
      <c r="F11" s="4">
        <v>158.0951</v>
      </c>
      <c r="G11" s="4">
        <v>158.69059999999999</v>
      </c>
      <c r="H11" s="60">
        <v>94</v>
      </c>
      <c r="I11" s="6">
        <v>3.3370000000000001E-3</v>
      </c>
      <c r="J11" s="6">
        <v>0.19303999999999999</v>
      </c>
      <c r="K11" s="7">
        <v>87882202.790000007</v>
      </c>
      <c r="L11" s="3">
        <f t="shared" si="1"/>
        <v>3.1998854734338281E-3</v>
      </c>
      <c r="M11" s="4">
        <v>157.68819999999999</v>
      </c>
      <c r="N11" s="4">
        <v>158.27780000000001</v>
      </c>
      <c r="O11" s="60">
        <v>95</v>
      </c>
      <c r="P11" s="6">
        <v>-2.7750000000000001E-3</v>
      </c>
      <c r="Q11" s="6">
        <v>0.192</v>
      </c>
      <c r="R11" s="76">
        <f t="shared" si="2"/>
        <v>-2.581854528046725E-3</v>
      </c>
      <c r="S11" s="76">
        <f t="shared" si="3"/>
        <v>-2.6012882930682465E-3</v>
      </c>
      <c r="T11" s="76">
        <f t="shared" si="4"/>
        <v>1.0638297872340425E-2</v>
      </c>
      <c r="U11" s="77">
        <f t="shared" si="5"/>
        <v>-6.1120000000000002E-3</v>
      </c>
      <c r="V11" s="79">
        <f t="shared" si="6"/>
        <v>-1.0399999999999854E-3</v>
      </c>
    </row>
    <row r="12" spans="1:25">
      <c r="A12" s="158">
        <v>7</v>
      </c>
      <c r="B12" s="131" t="s">
        <v>26</v>
      </c>
      <c r="C12" s="132" t="s">
        <v>27</v>
      </c>
      <c r="D12" s="4">
        <v>1077185949.51</v>
      </c>
      <c r="E12" s="3">
        <f t="shared" si="0"/>
        <v>3.9324923194437936E-2</v>
      </c>
      <c r="F12" s="4">
        <v>301.14999999999998</v>
      </c>
      <c r="G12" s="4">
        <v>305.27</v>
      </c>
      <c r="H12" s="60">
        <v>1617</v>
      </c>
      <c r="I12" s="6">
        <v>1.6999999999999999E-3</v>
      </c>
      <c r="J12" s="6">
        <v>0.21099999999999999</v>
      </c>
      <c r="K12" s="4">
        <v>1091238140.3099999</v>
      </c>
      <c r="L12" s="3">
        <f t="shared" si="1"/>
        <v>3.9733153726003848E-2</v>
      </c>
      <c r="M12" s="4">
        <v>305.51</v>
      </c>
      <c r="N12" s="4">
        <v>309.7</v>
      </c>
      <c r="O12" s="60">
        <v>1618</v>
      </c>
      <c r="P12" s="6">
        <v>1.4500000000000001E-2</v>
      </c>
      <c r="Q12" s="6">
        <v>0.22850000000000001</v>
      </c>
      <c r="R12" s="76">
        <f t="shared" si="2"/>
        <v>1.3045278585737346E-2</v>
      </c>
      <c r="S12" s="76">
        <f t="shared" si="3"/>
        <v>1.4511743702296352E-2</v>
      </c>
      <c r="T12" s="76">
        <f t="shared" si="4"/>
        <v>6.1842918985776133E-4</v>
      </c>
      <c r="U12" s="77">
        <f t="shared" si="5"/>
        <v>1.2800000000000001E-2</v>
      </c>
      <c r="V12" s="79">
        <f t="shared" si="6"/>
        <v>1.7500000000000016E-2</v>
      </c>
    </row>
    <row r="13" spans="1:25">
      <c r="A13" s="162">
        <v>8</v>
      </c>
      <c r="B13" s="131" t="s">
        <v>28</v>
      </c>
      <c r="C13" s="132" t="s">
        <v>29</v>
      </c>
      <c r="D13" s="2">
        <v>353164390.72000003</v>
      </c>
      <c r="E13" s="3">
        <f t="shared" si="0"/>
        <v>1.2893003799754391E-2</v>
      </c>
      <c r="F13" s="4">
        <v>177.51</v>
      </c>
      <c r="G13" s="4">
        <v>192.9</v>
      </c>
      <c r="H13" s="58">
        <v>2465</v>
      </c>
      <c r="I13" s="5">
        <v>8.0999999999999996E-3</v>
      </c>
      <c r="J13" s="5">
        <v>5.79E-2</v>
      </c>
      <c r="K13" s="2">
        <v>355999334.95999998</v>
      </c>
      <c r="L13" s="3">
        <f t="shared" si="1"/>
        <v>1.2962318470927433E-2</v>
      </c>
      <c r="M13" s="4">
        <v>178.09399999999999</v>
      </c>
      <c r="N13" s="4">
        <v>184.82</v>
      </c>
      <c r="O13" s="58">
        <v>2465</v>
      </c>
      <c r="P13" s="5">
        <v>8.0560000000000007E-3</v>
      </c>
      <c r="Q13" s="5">
        <v>6.6451999999999997E-2</v>
      </c>
      <c r="R13" s="76">
        <f t="shared" si="2"/>
        <v>8.0272652467037204E-3</v>
      </c>
      <c r="S13" s="76">
        <f t="shared" si="3"/>
        <v>-4.1886988076723752E-2</v>
      </c>
      <c r="T13" s="76">
        <f t="shared" si="4"/>
        <v>0</v>
      </c>
      <c r="U13" s="77">
        <f t="shared" si="5"/>
        <v>-4.3999999999998901E-5</v>
      </c>
      <c r="V13" s="79">
        <f t="shared" si="6"/>
        <v>8.5519999999999971E-3</v>
      </c>
    </row>
    <row r="14" spans="1:25">
      <c r="A14" s="162">
        <v>9</v>
      </c>
      <c r="B14" s="131" t="s">
        <v>30</v>
      </c>
      <c r="C14" s="132" t="s">
        <v>31</v>
      </c>
      <c r="D14" s="7">
        <v>55718448.124200001</v>
      </c>
      <c r="E14" s="3">
        <f t="shared" si="0"/>
        <v>2.0341183376873396E-3</v>
      </c>
      <c r="F14" s="4">
        <v>198.4657412</v>
      </c>
      <c r="G14" s="4">
        <v>195.72931460000001</v>
      </c>
      <c r="H14" s="58">
        <v>15</v>
      </c>
      <c r="I14" s="5">
        <v>5.4000000000000003E-3</v>
      </c>
      <c r="J14" s="5">
        <v>8.3199999999999996E-2</v>
      </c>
      <c r="K14" s="7">
        <v>56427036.549999997</v>
      </c>
      <c r="L14" s="3">
        <f t="shared" si="1"/>
        <v>2.0545690575909225E-3</v>
      </c>
      <c r="M14" s="4">
        <v>199.03</v>
      </c>
      <c r="N14" s="4">
        <v>204.23</v>
      </c>
      <c r="O14" s="58">
        <v>15</v>
      </c>
      <c r="P14" s="5">
        <v>2.41E-2</v>
      </c>
      <c r="Q14" s="5">
        <v>0.1016</v>
      </c>
      <c r="R14" s="76">
        <f t="shared" si="2"/>
        <v>1.2717303687649494E-2</v>
      </c>
      <c r="S14" s="76">
        <f t="shared" si="3"/>
        <v>4.3430823928302768E-2</v>
      </c>
      <c r="T14" s="76">
        <f t="shared" si="4"/>
        <v>0</v>
      </c>
      <c r="U14" s="77">
        <f t="shared" si="5"/>
        <v>1.8700000000000001E-2</v>
      </c>
      <c r="V14" s="79">
        <f t="shared" si="6"/>
        <v>1.84E-2</v>
      </c>
    </row>
    <row r="15" spans="1:25" ht="14.25" customHeight="1">
      <c r="A15" s="157">
        <v>10</v>
      </c>
      <c r="B15" s="131" t="s">
        <v>236</v>
      </c>
      <c r="C15" s="132" t="s">
        <v>32</v>
      </c>
      <c r="D15" s="2">
        <v>554520651.46000004</v>
      </c>
      <c r="E15" s="3">
        <f t="shared" si="0"/>
        <v>2.0243934706272133E-2</v>
      </c>
      <c r="F15" s="4">
        <v>1.8892610000000001</v>
      </c>
      <c r="G15" s="4">
        <v>1.906881</v>
      </c>
      <c r="H15" s="58">
        <v>454</v>
      </c>
      <c r="I15" s="5">
        <v>9.6585698497424488E-3</v>
      </c>
      <c r="J15" s="5">
        <v>0.11480557030742911</v>
      </c>
      <c r="K15" s="2">
        <v>567621393.32000005</v>
      </c>
      <c r="L15" s="3">
        <f t="shared" si="1"/>
        <v>2.0667705101056189E-2</v>
      </c>
      <c r="M15" s="4">
        <v>1.9335549999999999</v>
      </c>
      <c r="N15" s="4">
        <v>1.952366</v>
      </c>
      <c r="O15" s="58">
        <v>445</v>
      </c>
      <c r="P15" s="5">
        <v>2.344514601211789E-2</v>
      </c>
      <c r="Q15" s="5">
        <v>0.14094234967840902</v>
      </c>
      <c r="R15" s="76">
        <f t="shared" si="2"/>
        <v>2.362534528787523E-2</v>
      </c>
      <c r="S15" s="76">
        <f t="shared" si="3"/>
        <v>2.3853087843446967E-2</v>
      </c>
      <c r="T15" s="76">
        <f t="shared" si="4"/>
        <v>-1.9823788546255508E-2</v>
      </c>
      <c r="U15" s="77">
        <f t="shared" si="5"/>
        <v>1.3786576162375441E-2</v>
      </c>
      <c r="V15" s="79">
        <f t="shared" si="6"/>
        <v>2.6136779370979912E-2</v>
      </c>
    </row>
    <row r="16" spans="1:25">
      <c r="A16" s="158">
        <v>11</v>
      </c>
      <c r="B16" s="131" t="s">
        <v>33</v>
      </c>
      <c r="C16" s="132" t="s">
        <v>34</v>
      </c>
      <c r="D16" s="2">
        <v>1617009698.3599999</v>
      </c>
      <c r="E16" s="3">
        <f t="shared" si="0"/>
        <v>5.9032316770929003E-2</v>
      </c>
      <c r="F16" s="4">
        <v>3.29</v>
      </c>
      <c r="G16" s="4">
        <v>3.36</v>
      </c>
      <c r="H16" s="58">
        <v>3665</v>
      </c>
      <c r="I16" s="5">
        <v>-7.7999999999999996E-3</v>
      </c>
      <c r="J16" s="5">
        <v>0.18770000000000001</v>
      </c>
      <c r="K16" s="2">
        <v>1589115650.99</v>
      </c>
      <c r="L16" s="3">
        <f t="shared" si="1"/>
        <v>5.7861409088255766E-2</v>
      </c>
      <c r="M16" s="4">
        <v>3.28</v>
      </c>
      <c r="N16" s="4">
        <v>3.34</v>
      </c>
      <c r="O16" s="58">
        <v>3664</v>
      </c>
      <c r="P16" s="5">
        <v>-1.4E-2</v>
      </c>
      <c r="Q16" s="5">
        <v>0.18179999999999999</v>
      </c>
      <c r="R16" s="76">
        <f t="shared" si="2"/>
        <v>-1.7250389653377173E-2</v>
      </c>
      <c r="S16" s="76">
        <f t="shared" si="3"/>
        <v>-5.9523809523809581E-3</v>
      </c>
      <c r="T16" s="76">
        <f t="shared" si="4"/>
        <v>-2.7285129604365623E-4</v>
      </c>
      <c r="U16" s="77">
        <f t="shared" si="5"/>
        <v>-6.2000000000000006E-3</v>
      </c>
      <c r="V16" s="79">
        <f t="shared" si="6"/>
        <v>-5.9000000000000163E-3</v>
      </c>
    </row>
    <row r="17" spans="1:22">
      <c r="A17" s="157">
        <v>12</v>
      </c>
      <c r="B17" s="131" t="s">
        <v>35</v>
      </c>
      <c r="C17" s="132" t="s">
        <v>36</v>
      </c>
      <c r="D17" s="4">
        <v>589305352.64999998</v>
      </c>
      <c r="E17" s="3">
        <f t="shared" si="0"/>
        <v>2.1513822884130809E-2</v>
      </c>
      <c r="F17" s="4">
        <v>19.933918999999999</v>
      </c>
      <c r="G17" s="4">
        <v>20.138936000000001</v>
      </c>
      <c r="H17" s="58">
        <v>336</v>
      </c>
      <c r="I17" s="5">
        <v>5.7579970039338679E-3</v>
      </c>
      <c r="J17" s="5">
        <v>0.14058751262605984</v>
      </c>
      <c r="K17" s="4">
        <v>585155485.65999997</v>
      </c>
      <c r="L17" s="3">
        <f t="shared" si="1"/>
        <v>2.1306140251602934E-2</v>
      </c>
      <c r="M17" s="4">
        <v>20.149999999999999</v>
      </c>
      <c r="N17" s="4">
        <v>20.25</v>
      </c>
      <c r="O17" s="58">
        <v>330</v>
      </c>
      <c r="P17" s="5">
        <v>5.7579970039338679E-3</v>
      </c>
      <c r="Q17" s="5">
        <v>0.14940000000000001</v>
      </c>
      <c r="R17" s="76">
        <f t="shared" si="2"/>
        <v>-7.0419638500461698E-3</v>
      </c>
      <c r="S17" s="76">
        <f t="shared" si="3"/>
        <v>5.5148891679281829E-3</v>
      </c>
      <c r="T17" s="76">
        <f t="shared" si="4"/>
        <v>-1.7857142857142856E-2</v>
      </c>
      <c r="U17" s="77">
        <f t="shared" si="5"/>
        <v>0</v>
      </c>
      <c r="V17" s="79">
        <f t="shared" si="6"/>
        <v>8.8124873739401643E-3</v>
      </c>
    </row>
    <row r="18" spans="1:22">
      <c r="A18" s="158">
        <v>13</v>
      </c>
      <c r="B18" s="131" t="s">
        <v>37</v>
      </c>
      <c r="C18" s="132" t="s">
        <v>38</v>
      </c>
      <c r="D18" s="4">
        <v>241076178.34999999</v>
      </c>
      <c r="E18" s="3">
        <f t="shared" si="0"/>
        <v>8.8009894688422709E-3</v>
      </c>
      <c r="F18" s="4">
        <v>2.6402610000000002</v>
      </c>
      <c r="G18" s="4">
        <v>2.6981269999999999</v>
      </c>
      <c r="H18" s="58">
        <v>21</v>
      </c>
      <c r="I18" s="5">
        <v>7.4999999999999997E-3</v>
      </c>
      <c r="J18" s="5">
        <v>0.2296</v>
      </c>
      <c r="K18" s="4">
        <v>234239660.53999999</v>
      </c>
      <c r="L18" s="3">
        <f t="shared" si="1"/>
        <v>8.5289178385194765E-3</v>
      </c>
      <c r="M18" s="4">
        <v>2.565388</v>
      </c>
      <c r="N18" s="4">
        <v>2.6242239999999999</v>
      </c>
      <c r="O18" s="58">
        <v>21</v>
      </c>
      <c r="P18" s="5">
        <v>4.0000000000000002E-4</v>
      </c>
      <c r="Q18" s="5">
        <v>0.19539999999999999</v>
      </c>
      <c r="R18" s="76">
        <f t="shared" si="2"/>
        <v>-2.8358329955250026E-2</v>
      </c>
      <c r="S18" s="76">
        <f t="shared" si="3"/>
        <v>-2.739048236054124E-2</v>
      </c>
      <c r="T18" s="76">
        <f t="shared" si="4"/>
        <v>0</v>
      </c>
      <c r="U18" s="77">
        <f t="shared" si="5"/>
        <v>-7.0999999999999995E-3</v>
      </c>
      <c r="V18" s="79">
        <f t="shared" si="6"/>
        <v>-3.4200000000000008E-2</v>
      </c>
    </row>
    <row r="19" spans="1:22">
      <c r="A19" s="162">
        <v>14</v>
      </c>
      <c r="B19" s="131" t="s">
        <v>39</v>
      </c>
      <c r="C19" s="132" t="s">
        <v>40</v>
      </c>
      <c r="D19" s="2">
        <v>1489963380.71</v>
      </c>
      <c r="E19" s="3">
        <f t="shared" si="0"/>
        <v>5.4394225561147556E-2</v>
      </c>
      <c r="F19" s="4">
        <v>26.33</v>
      </c>
      <c r="G19" s="4">
        <v>26.84</v>
      </c>
      <c r="H19" s="58">
        <v>8834</v>
      </c>
      <c r="I19" s="5">
        <v>-7.4999999999999997E-3</v>
      </c>
      <c r="J19" s="5">
        <v>4.5600000000000002E-2</v>
      </c>
      <c r="K19" s="2">
        <v>1471405330.1400001</v>
      </c>
      <c r="L19" s="3">
        <f t="shared" si="1"/>
        <v>5.3575449772224497E-2</v>
      </c>
      <c r="M19" s="4">
        <v>26.25</v>
      </c>
      <c r="N19" s="4">
        <v>26.77</v>
      </c>
      <c r="O19" s="58">
        <v>8834</v>
      </c>
      <c r="P19" s="5">
        <v>-3.5999999999999999E-3</v>
      </c>
      <c r="Q19" s="5">
        <v>4.2599999999999999E-2</v>
      </c>
      <c r="R19" s="76">
        <f t="shared" si="2"/>
        <v>-1.2455373608683333E-2</v>
      </c>
      <c r="S19" s="76">
        <f t="shared" si="3"/>
        <v>-2.6080476900149138E-3</v>
      </c>
      <c r="T19" s="76">
        <f t="shared" si="4"/>
        <v>0</v>
      </c>
      <c r="U19" s="77">
        <f t="shared" si="5"/>
        <v>3.8999999999999998E-3</v>
      </c>
      <c r="V19" s="79">
        <f t="shared" si="6"/>
        <v>-3.0000000000000027E-3</v>
      </c>
    </row>
    <row r="20" spans="1:22" ht="12.75" customHeight="1">
      <c r="A20" s="163">
        <v>15</v>
      </c>
      <c r="B20" s="131" t="s">
        <v>41</v>
      </c>
      <c r="C20" s="132" t="s">
        <v>42</v>
      </c>
      <c r="D20" s="4">
        <v>661554394.26999998</v>
      </c>
      <c r="E20" s="3">
        <f t="shared" si="0"/>
        <v>2.4151425067737712E-2</v>
      </c>
      <c r="F20" s="4">
        <v>6507.17</v>
      </c>
      <c r="G20" s="4">
        <v>6592.62</v>
      </c>
      <c r="H20" s="58">
        <v>20</v>
      </c>
      <c r="I20" s="5">
        <v>1.09E-2</v>
      </c>
      <c r="J20" s="5">
        <v>0.2102</v>
      </c>
      <c r="K20" s="4">
        <v>668168000.88999999</v>
      </c>
      <c r="L20" s="3">
        <f t="shared" si="1"/>
        <v>2.4328715166257977E-2</v>
      </c>
      <c r="M20" s="4">
        <v>6571.14</v>
      </c>
      <c r="N20" s="4">
        <v>6659.27</v>
      </c>
      <c r="O20" s="58">
        <v>20</v>
      </c>
      <c r="P20" s="5">
        <v>1.01E-2</v>
      </c>
      <c r="Q20" s="5">
        <v>0.22239999999999999</v>
      </c>
      <c r="R20" s="76">
        <f t="shared" si="2"/>
        <v>9.997071559471488E-3</v>
      </c>
      <c r="S20" s="76">
        <f t="shared" si="3"/>
        <v>1.010978943121256E-2</v>
      </c>
      <c r="T20" s="76">
        <f t="shared" si="4"/>
        <v>0</v>
      </c>
      <c r="U20" s="77">
        <f t="shared" si="5"/>
        <v>-8.0000000000000036E-4</v>
      </c>
      <c r="V20" s="79">
        <f t="shared" si="6"/>
        <v>1.2199999999999989E-2</v>
      </c>
    </row>
    <row r="21" spans="1:22">
      <c r="A21" s="163">
        <v>16</v>
      </c>
      <c r="B21" s="131" t="s">
        <v>43</v>
      </c>
      <c r="C21" s="132" t="s">
        <v>42</v>
      </c>
      <c r="D21" s="4">
        <v>11025493403.950001</v>
      </c>
      <c r="E21" s="3">
        <f t="shared" si="0"/>
        <v>0.40250866759666254</v>
      </c>
      <c r="F21" s="4">
        <v>21588.21</v>
      </c>
      <c r="G21" s="4">
        <v>21899.759999999998</v>
      </c>
      <c r="H21" s="58">
        <v>17398</v>
      </c>
      <c r="I21" s="5">
        <v>2.0199999999999999E-2</v>
      </c>
      <c r="J21" s="5">
        <v>0.19259999999999999</v>
      </c>
      <c r="K21" s="4">
        <v>11126766027.49</v>
      </c>
      <c r="L21" s="3">
        <f t="shared" si="1"/>
        <v>0.40513751188896741</v>
      </c>
      <c r="M21" s="4">
        <v>21588.21</v>
      </c>
      <c r="N21" s="4">
        <v>21899.759999999998</v>
      </c>
      <c r="O21" s="58">
        <v>17398</v>
      </c>
      <c r="P21" s="5">
        <v>2.0199999999999999E-2</v>
      </c>
      <c r="Q21" s="5">
        <v>0.19259999999999999</v>
      </c>
      <c r="R21" s="76">
        <f t="shared" si="2"/>
        <v>9.1853144190097661E-3</v>
      </c>
      <c r="S21" s="76">
        <f t="shared" si="3"/>
        <v>0</v>
      </c>
      <c r="T21" s="76">
        <f t="shared" si="4"/>
        <v>0</v>
      </c>
      <c r="U21" s="77">
        <f t="shared" si="5"/>
        <v>0</v>
      </c>
      <c r="V21" s="79">
        <f t="shared" si="6"/>
        <v>0</v>
      </c>
    </row>
    <row r="22" spans="1:22">
      <c r="A22" s="154">
        <v>17</v>
      </c>
      <c r="B22" s="132" t="s">
        <v>44</v>
      </c>
      <c r="C22" s="132" t="s">
        <v>45</v>
      </c>
      <c r="D22" s="4">
        <v>3191617490.8200002</v>
      </c>
      <c r="E22" s="3">
        <f t="shared" si="0"/>
        <v>0.11651666339466682</v>
      </c>
      <c r="F22" s="4">
        <v>1.2968999999999999</v>
      </c>
      <c r="G22" s="8">
        <v>1.3095000000000001</v>
      </c>
      <c r="H22" s="58">
        <v>3839</v>
      </c>
      <c r="I22" s="5">
        <v>-6.3E-3</v>
      </c>
      <c r="J22" s="5">
        <v>0.1744</v>
      </c>
      <c r="K22" s="4">
        <v>3184908040.1799998</v>
      </c>
      <c r="L22" s="3">
        <f t="shared" si="1"/>
        <v>0.11596592539159981</v>
      </c>
      <c r="M22" s="4">
        <v>1.2946</v>
      </c>
      <c r="N22" s="8">
        <v>1.3071999999999999</v>
      </c>
      <c r="O22" s="58">
        <v>3966</v>
      </c>
      <c r="P22" s="5">
        <v>-1.8E-3</v>
      </c>
      <c r="Q22" s="5">
        <v>0.17269999999999999</v>
      </c>
      <c r="R22" s="76">
        <f t="shared" si="2"/>
        <v>-2.102210136176604E-3</v>
      </c>
      <c r="S22" s="76">
        <f t="shared" si="3"/>
        <v>-1.7563955708287061E-3</v>
      </c>
      <c r="T22" s="76">
        <f t="shared" si="4"/>
        <v>3.3081531648866895E-2</v>
      </c>
      <c r="U22" s="77">
        <f t="shared" si="5"/>
        <v>4.5000000000000005E-3</v>
      </c>
      <c r="V22" s="79">
        <f t="shared" si="6"/>
        <v>-1.7000000000000071E-3</v>
      </c>
    </row>
    <row r="23" spans="1:22">
      <c r="A23" s="71"/>
      <c r="B23" s="129"/>
      <c r="C23" s="68" t="s">
        <v>46</v>
      </c>
      <c r="D23" s="56">
        <f>SUM(D6:D22)</f>
        <v>27391940327.104202</v>
      </c>
      <c r="E23" s="96">
        <f>(D23/$D$202)</f>
        <v>8.3516257875108843E-3</v>
      </c>
      <c r="F23" s="30"/>
      <c r="G23" s="31"/>
      <c r="H23" s="63">
        <f>SUM(H6:H22)</f>
        <v>49845</v>
      </c>
      <c r="I23" s="28"/>
      <c r="J23" s="58">
        <v>0</v>
      </c>
      <c r="K23" s="56">
        <f>SUM(K6:K22)</f>
        <v>27464171302.260002</v>
      </c>
      <c r="L23" s="96">
        <f>(K23/$K$202)</f>
        <v>8.2719534335568556E-3</v>
      </c>
      <c r="M23" s="30"/>
      <c r="N23" s="31"/>
      <c r="O23" s="63">
        <f>SUM(O6:O22)</f>
        <v>49956</v>
      </c>
      <c r="P23" s="28"/>
      <c r="Q23" s="63"/>
      <c r="R23" s="76">
        <f t="shared" si="2"/>
        <v>2.6369426295926777E-3</v>
      </c>
      <c r="S23" s="76" t="e">
        <f t="shared" si="3"/>
        <v>#DIV/0!</v>
      </c>
      <c r="T23" s="76">
        <f t="shared" si="4"/>
        <v>2.2269034005416794E-3</v>
      </c>
      <c r="U23" s="77">
        <f t="shared" si="5"/>
        <v>0</v>
      </c>
      <c r="V23" s="79">
        <f t="shared" si="6"/>
        <v>0</v>
      </c>
    </row>
    <row r="24" spans="1:22" ht="9" customHeigh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</row>
    <row r="25" spans="1:22" ht="15" customHeight="1">
      <c r="A25" s="174" t="s">
        <v>47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</row>
    <row r="26" spans="1:22">
      <c r="A26" s="159">
        <v>18</v>
      </c>
      <c r="B26" s="131" t="s">
        <v>48</v>
      </c>
      <c r="C26" s="132" t="s">
        <v>17</v>
      </c>
      <c r="D26" s="9">
        <v>1123531567.8699999</v>
      </c>
      <c r="E26" s="3">
        <f>(D26/$K$61)</f>
        <v>8.9032557737002567E-4</v>
      </c>
      <c r="F26" s="8">
        <v>100</v>
      </c>
      <c r="G26" s="8">
        <v>100</v>
      </c>
      <c r="H26" s="58">
        <v>825</v>
      </c>
      <c r="I26" s="5">
        <v>0.18529999999999999</v>
      </c>
      <c r="J26" s="5">
        <v>0.18529999999999999</v>
      </c>
      <c r="K26" s="9">
        <v>1134809475.6700001</v>
      </c>
      <c r="L26" s="3">
        <f t="shared" ref="L26:L60" si="7">(K26/$K$61)</f>
        <v>8.9926258462527968E-4</v>
      </c>
      <c r="M26" s="8">
        <v>100</v>
      </c>
      <c r="N26" s="8">
        <v>100</v>
      </c>
      <c r="O26" s="58">
        <v>825</v>
      </c>
      <c r="P26" s="5">
        <v>0.16039999999999999</v>
      </c>
      <c r="Q26" s="5">
        <v>0.16039999999999999</v>
      </c>
      <c r="R26" s="76">
        <f>((K26-D26)/D26)</f>
        <v>1.003790914516175E-2</v>
      </c>
      <c r="S26" s="76">
        <f>((N26-G26)/G26)</f>
        <v>0</v>
      </c>
      <c r="T26" s="76">
        <f>((O26-H26)/H26)</f>
        <v>0</v>
      </c>
      <c r="U26" s="77">
        <f>P26-I26</f>
        <v>-2.4900000000000005E-2</v>
      </c>
      <c r="V26" s="79">
        <f>Q26-J26</f>
        <v>-2.4900000000000005E-2</v>
      </c>
    </row>
    <row r="27" spans="1:22">
      <c r="A27" s="157">
        <v>19</v>
      </c>
      <c r="B27" s="131" t="s">
        <v>49</v>
      </c>
      <c r="C27" s="132" t="s">
        <v>50</v>
      </c>
      <c r="D27" s="9">
        <v>7101519472.8000002</v>
      </c>
      <c r="E27" s="3">
        <f t="shared" ref="E27:E60" si="8">(D27/$K$61)</f>
        <v>5.6274915682268702E-3</v>
      </c>
      <c r="F27" s="8">
        <v>100</v>
      </c>
      <c r="G27" s="8">
        <v>100</v>
      </c>
      <c r="H27" s="58">
        <v>1590</v>
      </c>
      <c r="I27" s="5">
        <v>0.21202799999999999</v>
      </c>
      <c r="J27" s="5">
        <v>0.21202799999999999</v>
      </c>
      <c r="K27" s="9">
        <v>7392735334.5600004</v>
      </c>
      <c r="L27" s="3">
        <f t="shared" si="7"/>
        <v>5.8582611680097416E-3</v>
      </c>
      <c r="M27" s="8">
        <v>100</v>
      </c>
      <c r="N27" s="8">
        <v>100</v>
      </c>
      <c r="O27" s="58">
        <v>1606</v>
      </c>
      <c r="P27" s="5">
        <v>0.21313599999999999</v>
      </c>
      <c r="Q27" s="5">
        <v>0.21313599999999999</v>
      </c>
      <c r="R27" s="76">
        <f t="shared" ref="R27:R61" si="9">((K27-D27)/D27)</f>
        <v>4.1007542523174845E-2</v>
      </c>
      <c r="S27" s="76">
        <f t="shared" ref="S27:S61" si="10">((N27-G27)/G27)</f>
        <v>0</v>
      </c>
      <c r="T27" s="76">
        <f t="shared" ref="T27:T61" si="11">((O27-H27)/H27)</f>
        <v>1.0062893081761006E-2</v>
      </c>
      <c r="U27" s="77">
        <f t="shared" ref="U27:U61" si="12">P27-I27</f>
        <v>1.1079999999999979E-3</v>
      </c>
      <c r="V27" s="79">
        <f t="shared" ref="V27:V61" si="13">Q27-J27</f>
        <v>1.1079999999999979E-3</v>
      </c>
    </row>
    <row r="28" spans="1:22">
      <c r="A28" s="162">
        <v>20</v>
      </c>
      <c r="B28" s="131" t="s">
        <v>51</v>
      </c>
      <c r="C28" s="132" t="s">
        <v>19</v>
      </c>
      <c r="D28" s="9">
        <v>544568490.70000005</v>
      </c>
      <c r="E28" s="3">
        <f t="shared" si="8"/>
        <v>4.3153505407878364E-4</v>
      </c>
      <c r="F28" s="8">
        <v>100</v>
      </c>
      <c r="G28" s="8">
        <v>100</v>
      </c>
      <c r="H28" s="58">
        <v>1675</v>
      </c>
      <c r="I28" s="5">
        <v>0.20710000000000001</v>
      </c>
      <c r="J28" s="5">
        <v>0.20710000000000001</v>
      </c>
      <c r="K28" s="9">
        <v>550981668.09000003</v>
      </c>
      <c r="L28" s="3">
        <f t="shared" si="7"/>
        <v>4.3661707938702916E-4</v>
      </c>
      <c r="M28" s="8">
        <v>100</v>
      </c>
      <c r="N28" s="8">
        <v>100</v>
      </c>
      <c r="O28" s="58">
        <v>1680</v>
      </c>
      <c r="P28" s="5">
        <v>0.20130000000000001</v>
      </c>
      <c r="Q28" s="5">
        <v>0.20130000000000001</v>
      </c>
      <c r="R28" s="76">
        <f t="shared" si="9"/>
        <v>1.1776622223875549E-2</v>
      </c>
      <c r="S28" s="76">
        <f t="shared" si="10"/>
        <v>0</v>
      </c>
      <c r="T28" s="76">
        <f t="shared" si="11"/>
        <v>2.9850746268656717E-3</v>
      </c>
      <c r="U28" s="77">
        <f t="shared" si="12"/>
        <v>-5.7999999999999996E-3</v>
      </c>
      <c r="V28" s="79">
        <f t="shared" si="13"/>
        <v>-5.7999999999999996E-3</v>
      </c>
    </row>
    <row r="29" spans="1:22">
      <c r="A29" s="154">
        <v>21</v>
      </c>
      <c r="B29" s="131" t="s">
        <v>52</v>
      </c>
      <c r="C29" s="132" t="s">
        <v>21</v>
      </c>
      <c r="D29" s="9">
        <v>100377503009.38</v>
      </c>
      <c r="E29" s="3">
        <f t="shared" si="8"/>
        <v>7.9542632247720069E-2</v>
      </c>
      <c r="F29" s="8">
        <v>1</v>
      </c>
      <c r="G29" s="8">
        <v>1</v>
      </c>
      <c r="H29" s="58">
        <v>60187</v>
      </c>
      <c r="I29" s="5">
        <v>0.1983</v>
      </c>
      <c r="J29" s="5">
        <v>0.1983</v>
      </c>
      <c r="K29" s="9">
        <v>100665365746.88</v>
      </c>
      <c r="L29" s="3">
        <f t="shared" si="7"/>
        <v>7.9770744714959305E-2</v>
      </c>
      <c r="M29" s="8">
        <v>1</v>
      </c>
      <c r="N29" s="8">
        <v>1</v>
      </c>
      <c r="O29" s="58">
        <v>60337</v>
      </c>
      <c r="P29" s="5">
        <v>0.20080000000000001</v>
      </c>
      <c r="Q29" s="5">
        <v>0.20080000000000001</v>
      </c>
      <c r="R29" s="76">
        <f t="shared" si="9"/>
        <v>2.8678013386435803E-3</v>
      </c>
      <c r="S29" s="76">
        <f t="shared" si="10"/>
        <v>0</v>
      </c>
      <c r="T29" s="76">
        <f t="shared" si="11"/>
        <v>2.4922325419110439E-3</v>
      </c>
      <c r="U29" s="77">
        <f t="shared" si="12"/>
        <v>2.5000000000000022E-3</v>
      </c>
      <c r="V29" s="79">
        <f t="shared" si="13"/>
        <v>2.5000000000000022E-3</v>
      </c>
    </row>
    <row r="30" spans="1:22">
      <c r="A30" s="157">
        <v>22</v>
      </c>
      <c r="B30" s="131" t="s">
        <v>53</v>
      </c>
      <c r="C30" s="132" t="s">
        <v>23</v>
      </c>
      <c r="D30" s="9">
        <v>64013337802.25</v>
      </c>
      <c r="E30" s="3">
        <f t="shared" si="8"/>
        <v>5.0726400190266085E-2</v>
      </c>
      <c r="F30" s="8">
        <v>1</v>
      </c>
      <c r="G30" s="8">
        <v>1</v>
      </c>
      <c r="H30" s="58">
        <v>28855</v>
      </c>
      <c r="I30" s="5">
        <v>0.21060000000000001</v>
      </c>
      <c r="J30" s="5">
        <v>0.21060000000000001</v>
      </c>
      <c r="K30" s="9">
        <v>65147543376.089996</v>
      </c>
      <c r="L30" s="3">
        <f t="shared" si="7"/>
        <v>5.1625184222031037E-2</v>
      </c>
      <c r="M30" s="8">
        <v>1</v>
      </c>
      <c r="N30" s="8">
        <v>1</v>
      </c>
      <c r="O30" s="58">
        <v>28943</v>
      </c>
      <c r="P30" s="5">
        <v>0.2114</v>
      </c>
      <c r="Q30" s="5">
        <v>0.2114</v>
      </c>
      <c r="R30" s="76">
        <f t="shared" si="9"/>
        <v>1.7718269547883664E-2</v>
      </c>
      <c r="S30" s="76">
        <f t="shared" si="10"/>
        <v>0</v>
      </c>
      <c r="T30" s="76">
        <f t="shared" si="11"/>
        <v>3.0497314156991855E-3</v>
      </c>
      <c r="U30" s="77">
        <f t="shared" si="12"/>
        <v>7.9999999999999516E-4</v>
      </c>
      <c r="V30" s="79">
        <f t="shared" si="13"/>
        <v>7.9999999999999516E-4</v>
      </c>
    </row>
    <row r="31" spans="1:22" ht="15" customHeight="1">
      <c r="A31" s="162">
        <v>23</v>
      </c>
      <c r="B31" s="131" t="s">
        <v>54</v>
      </c>
      <c r="C31" s="132" t="s">
        <v>40</v>
      </c>
      <c r="D31" s="9">
        <v>9209949195</v>
      </c>
      <c r="E31" s="3">
        <f t="shared" si="8"/>
        <v>7.2982847737267636E-3</v>
      </c>
      <c r="F31" s="8">
        <v>100</v>
      </c>
      <c r="G31" s="8">
        <v>100</v>
      </c>
      <c r="H31" s="58">
        <v>2891</v>
      </c>
      <c r="I31" s="5">
        <v>0.21099999999999999</v>
      </c>
      <c r="J31" s="5">
        <v>0.21099999999999999</v>
      </c>
      <c r="K31" s="9">
        <v>8825198445.3600006</v>
      </c>
      <c r="L31" s="3">
        <f t="shared" si="7"/>
        <v>6.9933948684380333E-3</v>
      </c>
      <c r="M31" s="8">
        <v>100</v>
      </c>
      <c r="N31" s="8">
        <v>100</v>
      </c>
      <c r="O31" s="58">
        <v>2891</v>
      </c>
      <c r="P31" s="5">
        <v>0.215</v>
      </c>
      <c r="Q31" s="5">
        <v>0.215</v>
      </c>
      <c r="R31" s="76">
        <f t="shared" si="9"/>
        <v>-4.1775556139753429E-2</v>
      </c>
      <c r="S31" s="76">
        <f t="shared" si="10"/>
        <v>0</v>
      </c>
      <c r="T31" s="76">
        <f t="shared" si="11"/>
        <v>0</v>
      </c>
      <c r="U31" s="77">
        <f t="shared" si="12"/>
        <v>4.0000000000000036E-3</v>
      </c>
      <c r="V31" s="79">
        <f t="shared" si="13"/>
        <v>4.0000000000000036E-3</v>
      </c>
    </row>
    <row r="32" spans="1:22" ht="15" customHeight="1">
      <c r="A32" s="163">
        <v>24</v>
      </c>
      <c r="B32" s="131" t="s">
        <v>268</v>
      </c>
      <c r="C32" s="132" t="s">
        <v>267</v>
      </c>
      <c r="D32" s="9">
        <v>406421180.63</v>
      </c>
      <c r="E32" s="3">
        <f t="shared" si="8"/>
        <v>3.2206231017238346E-4</v>
      </c>
      <c r="F32" s="8">
        <v>1</v>
      </c>
      <c r="G32" s="8">
        <v>1</v>
      </c>
      <c r="H32" s="58">
        <v>183</v>
      </c>
      <c r="I32" s="5">
        <v>0.20680000000000001</v>
      </c>
      <c r="J32" s="5">
        <v>0.20680000000000001</v>
      </c>
      <c r="K32" s="9">
        <v>419995411.94999999</v>
      </c>
      <c r="L32" s="3">
        <f t="shared" si="7"/>
        <v>3.328190042279364E-4</v>
      </c>
      <c r="M32" s="8">
        <v>1</v>
      </c>
      <c r="N32" s="8">
        <v>1</v>
      </c>
      <c r="O32" s="58">
        <v>186</v>
      </c>
      <c r="P32" s="5">
        <v>0.20100000000000001</v>
      </c>
      <c r="Q32" s="5">
        <v>0.20100000000000001</v>
      </c>
      <c r="R32" s="76">
        <f t="shared" si="9"/>
        <v>3.339941904346215E-2</v>
      </c>
      <c r="S32" s="76">
        <f t="shared" si="10"/>
        <v>0</v>
      </c>
      <c r="T32" s="76">
        <f t="shared" si="11"/>
        <v>1.6393442622950821E-2</v>
      </c>
      <c r="U32" s="77">
        <f t="shared" si="12"/>
        <v>-5.7999999999999996E-3</v>
      </c>
      <c r="V32" s="79">
        <f t="shared" si="13"/>
        <v>-5.7999999999999996E-3</v>
      </c>
    </row>
    <row r="33" spans="1:22">
      <c r="A33" s="155">
        <v>25</v>
      </c>
      <c r="B33" s="131" t="s">
        <v>55</v>
      </c>
      <c r="C33" s="132" t="s">
        <v>56</v>
      </c>
      <c r="D33" s="9">
        <v>26551390532.34</v>
      </c>
      <c r="E33" s="3">
        <f t="shared" si="8"/>
        <v>2.104024736082705E-2</v>
      </c>
      <c r="F33" s="8">
        <v>100</v>
      </c>
      <c r="G33" s="8">
        <v>100</v>
      </c>
      <c r="H33" s="58">
        <v>2808</v>
      </c>
      <c r="I33" s="5">
        <v>0.222444319025844</v>
      </c>
      <c r="J33" s="5">
        <v>0.222444319025844</v>
      </c>
      <c r="K33" s="9">
        <v>26015807440.98</v>
      </c>
      <c r="L33" s="3">
        <f t="shared" si="7"/>
        <v>2.0615832650389746E-2</v>
      </c>
      <c r="M33" s="8">
        <v>100</v>
      </c>
      <c r="N33" s="8">
        <v>100</v>
      </c>
      <c r="O33" s="58">
        <v>2840</v>
      </c>
      <c r="P33" s="5">
        <v>0.227213499200664</v>
      </c>
      <c r="Q33" s="5">
        <v>0.227213499200664</v>
      </c>
      <c r="R33" s="76">
        <f t="shared" si="9"/>
        <v>-2.0171564675968749E-2</v>
      </c>
      <c r="S33" s="76">
        <f t="shared" si="10"/>
        <v>0</v>
      </c>
      <c r="T33" s="76">
        <f t="shared" si="11"/>
        <v>1.1396011396011397E-2</v>
      </c>
      <c r="U33" s="77">
        <f t="shared" si="12"/>
        <v>4.7691801748200036E-3</v>
      </c>
      <c r="V33" s="79">
        <f t="shared" si="13"/>
        <v>4.7691801748200036E-3</v>
      </c>
    </row>
    <row r="34" spans="1:22">
      <c r="A34" s="159">
        <v>26</v>
      </c>
      <c r="B34" s="131" t="s">
        <v>57</v>
      </c>
      <c r="C34" s="132" t="s">
        <v>58</v>
      </c>
      <c r="D34" s="9">
        <v>8996620102.5300007</v>
      </c>
      <c r="E34" s="3">
        <f t="shared" si="8"/>
        <v>7.1292353648318707E-3</v>
      </c>
      <c r="F34" s="8">
        <v>100</v>
      </c>
      <c r="G34" s="8">
        <v>100</v>
      </c>
      <c r="H34" s="58">
        <v>6150</v>
      </c>
      <c r="I34" s="5">
        <v>0.21479999999999999</v>
      </c>
      <c r="J34" s="5">
        <v>0.21479999999999999</v>
      </c>
      <c r="K34" s="9">
        <v>9287500396.6900005</v>
      </c>
      <c r="L34" s="3">
        <f t="shared" si="7"/>
        <v>7.359739049151607E-3</v>
      </c>
      <c r="M34" s="8">
        <v>100</v>
      </c>
      <c r="N34" s="8">
        <v>100</v>
      </c>
      <c r="O34" s="58">
        <v>6179</v>
      </c>
      <c r="P34" s="5">
        <v>0.21659999999999999</v>
      </c>
      <c r="Q34" s="5">
        <v>0.21659999999999999</v>
      </c>
      <c r="R34" s="76">
        <f t="shared" si="9"/>
        <v>3.2332174843994962E-2</v>
      </c>
      <c r="S34" s="76">
        <f t="shared" si="10"/>
        <v>0</v>
      </c>
      <c r="T34" s="76">
        <f t="shared" si="11"/>
        <v>4.7154471544715451E-3</v>
      </c>
      <c r="U34" s="77">
        <f t="shared" si="12"/>
        <v>1.799999999999996E-3</v>
      </c>
      <c r="V34" s="79">
        <f t="shared" si="13"/>
        <v>1.799999999999996E-3</v>
      </c>
    </row>
    <row r="35" spans="1:22">
      <c r="A35" s="163">
        <v>27</v>
      </c>
      <c r="B35" s="131" t="s">
        <v>59</v>
      </c>
      <c r="C35" s="132" t="s">
        <v>60</v>
      </c>
      <c r="D35" s="9">
        <v>44514190.369999997</v>
      </c>
      <c r="E35" s="3">
        <f t="shared" si="8"/>
        <v>3.5274596082301785E-5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3.5274596082301785E-5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6">
        <f t="shared" si="9"/>
        <v>0</v>
      </c>
      <c r="S35" s="76">
        <f t="shared" si="10"/>
        <v>0</v>
      </c>
      <c r="T35" s="76" t="e">
        <f t="shared" si="11"/>
        <v>#DIV/0!</v>
      </c>
      <c r="U35" s="77">
        <f t="shared" si="12"/>
        <v>0</v>
      </c>
      <c r="V35" s="79">
        <f t="shared" si="13"/>
        <v>0</v>
      </c>
    </row>
    <row r="36" spans="1:22">
      <c r="A36" s="163">
        <v>28</v>
      </c>
      <c r="B36" s="131" t="s">
        <v>61</v>
      </c>
      <c r="C36" s="132" t="s">
        <v>62</v>
      </c>
      <c r="D36" s="9">
        <v>8421329901.3000002</v>
      </c>
      <c r="E36" s="3">
        <f t="shared" si="8"/>
        <v>6.6733553564610843E-3</v>
      </c>
      <c r="F36" s="8">
        <v>1</v>
      </c>
      <c r="G36" s="8">
        <v>1</v>
      </c>
      <c r="H36" s="58">
        <v>2492</v>
      </c>
      <c r="I36" s="5">
        <v>0.2099</v>
      </c>
      <c r="J36" s="5">
        <v>0.2099</v>
      </c>
      <c r="K36" s="9">
        <v>8430276394.1199999</v>
      </c>
      <c r="L36" s="3">
        <f t="shared" si="7"/>
        <v>6.6804448692199501E-3</v>
      </c>
      <c r="M36" s="8">
        <v>1</v>
      </c>
      <c r="N36" s="8">
        <v>1</v>
      </c>
      <c r="O36" s="58">
        <v>2505</v>
      </c>
      <c r="P36" s="5">
        <v>0.2</v>
      </c>
      <c r="Q36" s="5">
        <v>0.2</v>
      </c>
      <c r="R36" s="76">
        <f t="shared" si="9"/>
        <v>1.0623610433096351E-3</v>
      </c>
      <c r="S36" s="76">
        <f t="shared" si="10"/>
        <v>0</v>
      </c>
      <c r="T36" s="76">
        <f t="shared" si="11"/>
        <v>5.2166934189406102E-3</v>
      </c>
      <c r="U36" s="77">
        <f t="shared" si="12"/>
        <v>-9.8999999999999921E-3</v>
      </c>
      <c r="V36" s="79">
        <f t="shared" si="13"/>
        <v>-9.8999999999999921E-3</v>
      </c>
    </row>
    <row r="37" spans="1:22">
      <c r="A37" s="158">
        <v>29</v>
      </c>
      <c r="B37" s="131" t="s">
        <v>63</v>
      </c>
      <c r="C37" s="132" t="s">
        <v>64</v>
      </c>
      <c r="D37" s="9">
        <v>15057855953.450001</v>
      </c>
      <c r="E37" s="3">
        <f t="shared" si="8"/>
        <v>1.1932369929868547E-2</v>
      </c>
      <c r="F37" s="11">
        <v>100</v>
      </c>
      <c r="G37" s="11">
        <v>100</v>
      </c>
      <c r="H37" s="58">
        <v>2825</v>
      </c>
      <c r="I37" s="5">
        <v>0.19650000000000001</v>
      </c>
      <c r="J37" s="5">
        <v>0.19650000000000001</v>
      </c>
      <c r="K37" s="9">
        <v>15484218783.65</v>
      </c>
      <c r="L37" s="3">
        <f t="shared" si="7"/>
        <v>1.2270234698267164E-2</v>
      </c>
      <c r="M37" s="11">
        <v>100</v>
      </c>
      <c r="N37" s="11">
        <v>100</v>
      </c>
      <c r="O37" s="58">
        <v>2893</v>
      </c>
      <c r="P37" s="5">
        <v>0.18809999999999999</v>
      </c>
      <c r="Q37" s="5">
        <v>0.18809999999999999</v>
      </c>
      <c r="R37" s="76">
        <f t="shared" si="9"/>
        <v>2.8314976017705374E-2</v>
      </c>
      <c r="S37" s="76">
        <f t="shared" si="10"/>
        <v>0</v>
      </c>
      <c r="T37" s="76">
        <f t="shared" si="11"/>
        <v>2.4070796460176992E-2</v>
      </c>
      <c r="U37" s="77">
        <f t="shared" si="12"/>
        <v>-8.4000000000000186E-3</v>
      </c>
      <c r="V37" s="79">
        <f t="shared" si="13"/>
        <v>-8.4000000000000186E-3</v>
      </c>
    </row>
    <row r="38" spans="1:22">
      <c r="A38" s="158">
        <v>30</v>
      </c>
      <c r="B38" s="131" t="s">
        <v>65</v>
      </c>
      <c r="C38" s="132" t="s">
        <v>64</v>
      </c>
      <c r="D38" s="9">
        <v>434988051.95999998</v>
      </c>
      <c r="E38" s="3">
        <f t="shared" si="8"/>
        <v>3.4469969477098013E-4</v>
      </c>
      <c r="F38" s="11">
        <v>1000000</v>
      </c>
      <c r="G38" s="11">
        <v>1000000</v>
      </c>
      <c r="H38" s="58">
        <v>3</v>
      </c>
      <c r="I38" s="5">
        <v>0.17879999999999999</v>
      </c>
      <c r="J38" s="5">
        <v>0.17879999999999999</v>
      </c>
      <c r="K38" s="9">
        <v>436405466.56</v>
      </c>
      <c r="L38" s="3">
        <f t="shared" si="7"/>
        <v>3.4582290350690392E-4</v>
      </c>
      <c r="M38" s="11">
        <v>1000000</v>
      </c>
      <c r="N38" s="11">
        <v>1000000</v>
      </c>
      <c r="O38" s="58">
        <v>3</v>
      </c>
      <c r="P38" s="5">
        <v>0.17929999999999999</v>
      </c>
      <c r="Q38" s="5">
        <v>0.17929999999999999</v>
      </c>
      <c r="R38" s="76">
        <f t="shared" si="9"/>
        <v>3.2585138686300388E-3</v>
      </c>
      <c r="S38" s="76">
        <f t="shared" si="10"/>
        <v>0</v>
      </c>
      <c r="T38" s="76">
        <f t="shared" si="11"/>
        <v>0</v>
      </c>
      <c r="U38" s="77">
        <f t="shared" si="12"/>
        <v>5.0000000000000044E-4</v>
      </c>
      <c r="V38" s="79">
        <f t="shared" si="13"/>
        <v>5.0000000000000044E-4</v>
      </c>
    </row>
    <row r="39" spans="1:22">
      <c r="A39" s="163">
        <v>31</v>
      </c>
      <c r="B39" s="131" t="s">
        <v>66</v>
      </c>
      <c r="C39" s="132" t="s">
        <v>67</v>
      </c>
      <c r="D39" s="9">
        <v>3697913624.5999999</v>
      </c>
      <c r="E39" s="3">
        <f t="shared" si="8"/>
        <v>2.9303556544727416E-3</v>
      </c>
      <c r="F39" s="8">
        <v>1</v>
      </c>
      <c r="G39" s="8">
        <v>1</v>
      </c>
      <c r="H39" s="58">
        <v>585</v>
      </c>
      <c r="I39" s="5">
        <v>0.19650000000000001</v>
      </c>
      <c r="J39" s="5">
        <v>0.19650000000000001</v>
      </c>
      <c r="K39" s="9">
        <v>3424432507.6500001</v>
      </c>
      <c r="L39" s="3">
        <f t="shared" si="7"/>
        <v>2.7136396846581035E-3</v>
      </c>
      <c r="M39" s="8">
        <v>1</v>
      </c>
      <c r="N39" s="8">
        <v>1</v>
      </c>
      <c r="O39" s="58">
        <v>588</v>
      </c>
      <c r="P39" s="5">
        <v>0.20899999999999999</v>
      </c>
      <c r="Q39" s="5">
        <v>0.20899999999999999</v>
      </c>
      <c r="R39" s="76">
        <f t="shared" si="9"/>
        <v>-7.3955517817045291E-2</v>
      </c>
      <c r="S39" s="76">
        <f t="shared" si="10"/>
        <v>0</v>
      </c>
      <c r="T39" s="76">
        <f t="shared" si="11"/>
        <v>5.1282051282051282E-3</v>
      </c>
      <c r="U39" s="77">
        <f t="shared" si="12"/>
        <v>1.2499999999999983E-2</v>
      </c>
      <c r="V39" s="79">
        <f t="shared" si="13"/>
        <v>1.2499999999999983E-2</v>
      </c>
    </row>
    <row r="40" spans="1:22">
      <c r="A40" s="158">
        <v>32</v>
      </c>
      <c r="B40" s="131" t="s">
        <v>68</v>
      </c>
      <c r="C40" s="132" t="s">
        <v>27</v>
      </c>
      <c r="D40" s="9">
        <v>281995420825.02002</v>
      </c>
      <c r="E40" s="3">
        <f t="shared" si="8"/>
        <v>0.22346300098867317</v>
      </c>
      <c r="F40" s="8">
        <v>100</v>
      </c>
      <c r="G40" s="8">
        <v>100</v>
      </c>
      <c r="H40" s="58">
        <v>15426</v>
      </c>
      <c r="I40" s="5">
        <v>0.2298</v>
      </c>
      <c r="J40" s="5">
        <v>0.2298</v>
      </c>
      <c r="K40" s="9">
        <v>284762018206.65997</v>
      </c>
      <c r="L40" s="3">
        <f t="shared" si="7"/>
        <v>0.22565534918929267</v>
      </c>
      <c r="M40" s="8">
        <v>100</v>
      </c>
      <c r="N40" s="8">
        <v>100</v>
      </c>
      <c r="O40" s="58">
        <v>15473</v>
      </c>
      <c r="P40" s="5">
        <v>0.23200000000000001</v>
      </c>
      <c r="Q40" s="5">
        <v>0.23200000000000001</v>
      </c>
      <c r="R40" s="76">
        <f t="shared" si="9"/>
        <v>9.8107883225403338E-3</v>
      </c>
      <c r="S40" s="76">
        <f t="shared" si="10"/>
        <v>0</v>
      </c>
      <c r="T40" s="76">
        <f t="shared" si="11"/>
        <v>3.0468040969791263E-3</v>
      </c>
      <c r="U40" s="77">
        <f t="shared" si="12"/>
        <v>2.2000000000000075E-3</v>
      </c>
      <c r="V40" s="79">
        <f t="shared" si="13"/>
        <v>2.2000000000000075E-3</v>
      </c>
    </row>
    <row r="41" spans="1:22">
      <c r="A41" s="163">
        <v>33</v>
      </c>
      <c r="B41" s="131" t="s">
        <v>69</v>
      </c>
      <c r="C41" s="132" t="s">
        <v>70</v>
      </c>
      <c r="D41" s="9">
        <v>628587080.44000006</v>
      </c>
      <c r="E41" s="3">
        <f t="shared" si="8"/>
        <v>4.9811431322847953E-4</v>
      </c>
      <c r="F41" s="8">
        <v>1</v>
      </c>
      <c r="G41" s="8">
        <v>1</v>
      </c>
      <c r="H41" s="59">
        <v>633</v>
      </c>
      <c r="I41" s="12">
        <v>0.1915</v>
      </c>
      <c r="J41" s="12">
        <v>0.1915</v>
      </c>
      <c r="K41" s="9">
        <v>631509765.85000002</v>
      </c>
      <c r="L41" s="3">
        <f t="shared" si="7"/>
        <v>5.0043035102353885E-4</v>
      </c>
      <c r="M41" s="8">
        <v>1</v>
      </c>
      <c r="N41" s="8">
        <v>1</v>
      </c>
      <c r="O41" s="59">
        <v>638</v>
      </c>
      <c r="P41" s="12">
        <v>0.20039999999999999</v>
      </c>
      <c r="Q41" s="12">
        <v>0.20039999999999999</v>
      </c>
      <c r="R41" s="76">
        <f t="shared" si="9"/>
        <v>4.6496110100674318E-3</v>
      </c>
      <c r="S41" s="76">
        <f t="shared" si="10"/>
        <v>0</v>
      </c>
      <c r="T41" s="76">
        <f t="shared" si="11"/>
        <v>7.8988941548183249E-3</v>
      </c>
      <c r="U41" s="77">
        <f t="shared" si="12"/>
        <v>8.8999999999999913E-3</v>
      </c>
      <c r="V41" s="79">
        <f t="shared" si="13"/>
        <v>8.8999999999999913E-3</v>
      </c>
    </row>
    <row r="42" spans="1:22">
      <c r="A42" s="156">
        <v>34</v>
      </c>
      <c r="B42" s="131" t="s">
        <v>71</v>
      </c>
      <c r="C42" s="132" t="s">
        <v>72</v>
      </c>
      <c r="D42" s="9">
        <v>697965966.49000001</v>
      </c>
      <c r="E42" s="3">
        <f t="shared" si="8"/>
        <v>5.530925608774166E-4</v>
      </c>
      <c r="F42" s="8">
        <v>10</v>
      </c>
      <c r="G42" s="8">
        <v>10</v>
      </c>
      <c r="H42" s="58">
        <v>364</v>
      </c>
      <c r="I42" s="5">
        <v>0.16500000000000001</v>
      </c>
      <c r="J42" s="5">
        <v>0.16500000000000001</v>
      </c>
      <c r="K42" s="9">
        <v>740033536.57000005</v>
      </c>
      <c r="L42" s="3">
        <f t="shared" si="7"/>
        <v>5.864283697599701E-4</v>
      </c>
      <c r="M42" s="8">
        <v>10</v>
      </c>
      <c r="N42" s="8">
        <v>10</v>
      </c>
      <c r="O42" s="58">
        <v>364</v>
      </c>
      <c r="P42" s="5">
        <v>0.16500000000000001</v>
      </c>
      <c r="Q42" s="5">
        <v>0.16500000000000001</v>
      </c>
      <c r="R42" s="76">
        <f t="shared" si="9"/>
        <v>6.0271663805548548E-2</v>
      </c>
      <c r="S42" s="76">
        <f t="shared" si="10"/>
        <v>0</v>
      </c>
      <c r="T42" s="76">
        <f t="shared" si="11"/>
        <v>0</v>
      </c>
      <c r="U42" s="77">
        <f t="shared" si="12"/>
        <v>0</v>
      </c>
      <c r="V42" s="79">
        <f t="shared" si="13"/>
        <v>0</v>
      </c>
    </row>
    <row r="43" spans="1:22">
      <c r="A43" s="155">
        <v>35</v>
      </c>
      <c r="B43" s="131" t="s">
        <v>73</v>
      </c>
      <c r="C43" s="132" t="s">
        <v>74</v>
      </c>
      <c r="D43" s="9">
        <v>3750397732.8000002</v>
      </c>
      <c r="E43" s="3">
        <f t="shared" si="8"/>
        <v>2.9719458912513159E-3</v>
      </c>
      <c r="F43" s="8">
        <v>100</v>
      </c>
      <c r="G43" s="8">
        <v>100</v>
      </c>
      <c r="H43" s="58">
        <v>682</v>
      </c>
      <c r="I43" s="5">
        <v>0.21879999999999999</v>
      </c>
      <c r="J43" s="5">
        <v>0.21879999999999999</v>
      </c>
      <c r="K43" s="9">
        <v>3750397732.8000002</v>
      </c>
      <c r="L43" s="3">
        <f t="shared" si="7"/>
        <v>2.9719458912513159E-3</v>
      </c>
      <c r="M43" s="8">
        <v>100</v>
      </c>
      <c r="N43" s="8">
        <v>100</v>
      </c>
      <c r="O43" s="58">
        <v>682</v>
      </c>
      <c r="P43" s="5">
        <v>0.22159999999999999</v>
      </c>
      <c r="Q43" s="5">
        <v>0.22159999999999999</v>
      </c>
      <c r="R43" s="76">
        <f t="shared" si="9"/>
        <v>0</v>
      </c>
      <c r="S43" s="76">
        <f t="shared" si="10"/>
        <v>0</v>
      </c>
      <c r="T43" s="76">
        <f t="shared" si="11"/>
        <v>0</v>
      </c>
      <c r="U43" s="77">
        <f t="shared" si="12"/>
        <v>2.7999999999999969E-3</v>
      </c>
      <c r="V43" s="79">
        <f t="shared" si="13"/>
        <v>2.7999999999999969E-3</v>
      </c>
    </row>
    <row r="44" spans="1:22">
      <c r="A44" s="157">
        <v>36</v>
      </c>
      <c r="B44" s="131" t="s">
        <v>237</v>
      </c>
      <c r="C44" s="132" t="s">
        <v>32</v>
      </c>
      <c r="D44" s="9">
        <v>32102112013.130001</v>
      </c>
      <c r="E44" s="3">
        <f t="shared" si="8"/>
        <v>2.5438832543950608E-2</v>
      </c>
      <c r="F44" s="8">
        <v>100</v>
      </c>
      <c r="G44" s="8">
        <v>100</v>
      </c>
      <c r="H44" s="58">
        <v>11997</v>
      </c>
      <c r="I44" s="5">
        <v>0.2044</v>
      </c>
      <c r="J44" s="5">
        <v>0.2044</v>
      </c>
      <c r="K44" s="9">
        <v>32558373546.459999</v>
      </c>
      <c r="L44" s="3">
        <f t="shared" si="7"/>
        <v>2.5800390086889859E-2</v>
      </c>
      <c r="M44" s="8">
        <v>100</v>
      </c>
      <c r="N44" s="8">
        <v>100</v>
      </c>
      <c r="O44" s="58">
        <v>12052</v>
      </c>
      <c r="P44" s="5">
        <v>0.20380000000000001</v>
      </c>
      <c r="Q44" s="5">
        <v>0.20380000000000001</v>
      </c>
      <c r="R44" s="76">
        <f t="shared" si="9"/>
        <v>1.4212819802740195E-2</v>
      </c>
      <c r="S44" s="76">
        <f t="shared" si="10"/>
        <v>0</v>
      </c>
      <c r="T44" s="76">
        <f t="shared" si="11"/>
        <v>4.5844794531966328E-3</v>
      </c>
      <c r="U44" s="77">
        <f t="shared" si="12"/>
        <v>-5.9999999999998943E-4</v>
      </c>
      <c r="V44" s="79">
        <f t="shared" si="13"/>
        <v>-5.9999999999998943E-4</v>
      </c>
    </row>
    <row r="45" spans="1:22">
      <c r="A45" s="158">
        <v>37</v>
      </c>
      <c r="B45" s="131" t="s">
        <v>75</v>
      </c>
      <c r="C45" s="132" t="s">
        <v>34</v>
      </c>
      <c r="D45" s="9">
        <v>4443626392.5100002</v>
      </c>
      <c r="E45" s="3">
        <f t="shared" si="8"/>
        <v>3.5212844451077475E-3</v>
      </c>
      <c r="F45" s="8">
        <v>1</v>
      </c>
      <c r="G45" s="8">
        <v>1</v>
      </c>
      <c r="H45" s="58">
        <v>989</v>
      </c>
      <c r="I45" s="5">
        <v>0.18290000000000001</v>
      </c>
      <c r="J45" s="5">
        <v>0.18290000000000001</v>
      </c>
      <c r="K45" s="9">
        <v>4622862722.0200005</v>
      </c>
      <c r="L45" s="3">
        <f t="shared" si="7"/>
        <v>3.6633175602601821E-3</v>
      </c>
      <c r="M45" s="8">
        <v>1</v>
      </c>
      <c r="N45" s="8">
        <v>1</v>
      </c>
      <c r="O45" s="58">
        <v>1000</v>
      </c>
      <c r="P45" s="5">
        <v>0.21279999999999999</v>
      </c>
      <c r="Q45" s="5">
        <v>0.21279999999999999</v>
      </c>
      <c r="R45" s="76">
        <f t="shared" si="9"/>
        <v>4.0335598377963064E-2</v>
      </c>
      <c r="S45" s="76">
        <f t="shared" si="10"/>
        <v>0</v>
      </c>
      <c r="T45" s="76">
        <f t="shared" si="11"/>
        <v>1.1122345803842264E-2</v>
      </c>
      <c r="U45" s="77">
        <f t="shared" si="12"/>
        <v>2.9899999999999982E-2</v>
      </c>
      <c r="V45" s="79">
        <f t="shared" si="13"/>
        <v>2.9899999999999982E-2</v>
      </c>
    </row>
    <row r="46" spans="1:22">
      <c r="A46" s="157">
        <v>38</v>
      </c>
      <c r="B46" s="131" t="s">
        <v>76</v>
      </c>
      <c r="C46" s="132" t="s">
        <v>36</v>
      </c>
      <c r="D46" s="13">
        <v>8031622737.7200003</v>
      </c>
      <c r="E46" s="3">
        <f t="shared" si="8"/>
        <v>6.3645378160003567E-3</v>
      </c>
      <c r="F46" s="8">
        <v>10</v>
      </c>
      <c r="G46" s="8">
        <v>10</v>
      </c>
      <c r="H46" s="58">
        <v>2416</v>
      </c>
      <c r="I46" s="5">
        <v>0.24010000000000001</v>
      </c>
      <c r="J46" s="5">
        <v>0.24010000000000001</v>
      </c>
      <c r="K46" s="13">
        <v>8803169179.2000008</v>
      </c>
      <c r="L46" s="3">
        <f t="shared" si="7"/>
        <v>6.9759381100577391E-3</v>
      </c>
      <c r="M46" s="8">
        <v>10</v>
      </c>
      <c r="N46" s="8">
        <v>10</v>
      </c>
      <c r="O46" s="58">
        <v>2456</v>
      </c>
      <c r="P46" s="5">
        <v>0.24010000000000001</v>
      </c>
      <c r="Q46" s="5">
        <v>0.24010000000000001</v>
      </c>
      <c r="R46" s="76">
        <f t="shared" si="9"/>
        <v>9.606358100667281E-2</v>
      </c>
      <c r="S46" s="76">
        <f t="shared" si="10"/>
        <v>0</v>
      </c>
      <c r="T46" s="76">
        <f t="shared" si="11"/>
        <v>1.6556291390728478E-2</v>
      </c>
      <c r="U46" s="77">
        <f t="shared" si="12"/>
        <v>0</v>
      </c>
      <c r="V46" s="79">
        <f t="shared" si="13"/>
        <v>0</v>
      </c>
    </row>
    <row r="47" spans="1:22">
      <c r="A47" s="157">
        <v>39</v>
      </c>
      <c r="B47" s="131" t="s">
        <v>77</v>
      </c>
      <c r="C47" s="132" t="s">
        <v>78</v>
      </c>
      <c r="D47" s="9">
        <v>6849183708.6999998</v>
      </c>
      <c r="E47" s="3">
        <f t="shared" si="8"/>
        <v>5.4275319130750767E-3</v>
      </c>
      <c r="F47" s="8">
        <v>100</v>
      </c>
      <c r="G47" s="8">
        <v>100</v>
      </c>
      <c r="H47" s="58">
        <v>2612</v>
      </c>
      <c r="I47" s="5">
        <v>0.2203</v>
      </c>
      <c r="J47" s="5">
        <v>0.2203</v>
      </c>
      <c r="K47" s="9">
        <v>6961376608.79</v>
      </c>
      <c r="L47" s="3">
        <f t="shared" si="7"/>
        <v>5.5164374778193014E-3</v>
      </c>
      <c r="M47" s="8">
        <v>100</v>
      </c>
      <c r="N47" s="8">
        <v>100</v>
      </c>
      <c r="O47" s="58">
        <v>2642</v>
      </c>
      <c r="P47" s="5">
        <v>0.2268</v>
      </c>
      <c r="Q47" s="5">
        <v>0.2268</v>
      </c>
      <c r="R47" s="76">
        <f t="shared" si="9"/>
        <v>1.6380477566617171E-2</v>
      </c>
      <c r="S47" s="76">
        <f t="shared" si="10"/>
        <v>0</v>
      </c>
      <c r="T47" s="76">
        <f t="shared" si="11"/>
        <v>1.1485451761102604E-2</v>
      </c>
      <c r="U47" s="77">
        <f t="shared" si="12"/>
        <v>6.5000000000000058E-3</v>
      </c>
      <c r="V47" s="79">
        <f t="shared" si="13"/>
        <v>6.5000000000000058E-3</v>
      </c>
    </row>
    <row r="48" spans="1:22">
      <c r="A48" s="162">
        <v>40</v>
      </c>
      <c r="B48" s="131" t="s">
        <v>79</v>
      </c>
      <c r="C48" s="132" t="s">
        <v>80</v>
      </c>
      <c r="D48" s="9">
        <v>172641420.09999999</v>
      </c>
      <c r="E48" s="3">
        <f t="shared" si="8"/>
        <v>1.368070790568998E-4</v>
      </c>
      <c r="F48" s="8">
        <v>1</v>
      </c>
      <c r="G48" s="8">
        <v>1</v>
      </c>
      <c r="H48" s="58">
        <v>79</v>
      </c>
      <c r="I48" s="5">
        <v>0.1734</v>
      </c>
      <c r="J48" s="5">
        <v>0.1734</v>
      </c>
      <c r="K48" s="9">
        <v>171887193.21000001</v>
      </c>
      <c r="L48" s="3">
        <f t="shared" si="7"/>
        <v>1.3620940337914355E-4</v>
      </c>
      <c r="M48" s="8">
        <v>1</v>
      </c>
      <c r="N48" s="8">
        <v>1</v>
      </c>
      <c r="O48" s="58">
        <v>78</v>
      </c>
      <c r="P48" s="5">
        <v>0.1726</v>
      </c>
      <c r="Q48" s="5">
        <v>0.1726</v>
      </c>
      <c r="R48" s="76">
        <f t="shared" si="9"/>
        <v>-4.3687481808427605E-3</v>
      </c>
      <c r="S48" s="76">
        <f t="shared" si="10"/>
        <v>0</v>
      </c>
      <c r="T48" s="76">
        <f t="shared" si="11"/>
        <v>-1.2658227848101266E-2</v>
      </c>
      <c r="U48" s="77">
        <f t="shared" si="12"/>
        <v>-7.9999999999999516E-4</v>
      </c>
      <c r="V48" s="79">
        <f t="shared" si="13"/>
        <v>-7.9999999999999516E-4</v>
      </c>
    </row>
    <row r="49" spans="1:22">
      <c r="A49" s="158">
        <v>41</v>
      </c>
      <c r="B49" s="131" t="s">
        <v>81</v>
      </c>
      <c r="C49" s="132" t="s">
        <v>38</v>
      </c>
      <c r="D49" s="13">
        <v>754215782.74000001</v>
      </c>
      <c r="E49" s="3">
        <f t="shared" si="8"/>
        <v>5.976668759762637E-4</v>
      </c>
      <c r="F49" s="8">
        <v>10</v>
      </c>
      <c r="G49" s="8">
        <v>10</v>
      </c>
      <c r="H49" s="58">
        <v>721</v>
      </c>
      <c r="I49" s="5">
        <v>0.1472</v>
      </c>
      <c r="J49" s="5">
        <v>0.1472</v>
      </c>
      <c r="K49" s="13">
        <v>794357270.77999997</v>
      </c>
      <c r="L49" s="3">
        <f t="shared" si="7"/>
        <v>6.2947639031279382E-4</v>
      </c>
      <c r="M49" s="8">
        <v>10</v>
      </c>
      <c r="N49" s="8">
        <v>10</v>
      </c>
      <c r="O49" s="58">
        <v>723</v>
      </c>
      <c r="P49" s="5">
        <v>0.14779999999999999</v>
      </c>
      <c r="Q49" s="5">
        <v>0.14779999999999999</v>
      </c>
      <c r="R49" s="76">
        <f t="shared" si="9"/>
        <v>5.3222816279671903E-2</v>
      </c>
      <c r="S49" s="76">
        <f t="shared" si="10"/>
        <v>0</v>
      </c>
      <c r="T49" s="76">
        <f t="shared" si="11"/>
        <v>2.7739251040221915E-3</v>
      </c>
      <c r="U49" s="77">
        <f t="shared" si="12"/>
        <v>5.9999999999998943E-4</v>
      </c>
      <c r="V49" s="79">
        <f t="shared" si="13"/>
        <v>5.9999999999998943E-4</v>
      </c>
    </row>
    <row r="50" spans="1:22">
      <c r="A50" s="162">
        <v>42</v>
      </c>
      <c r="B50" s="131" t="s">
        <v>245</v>
      </c>
      <c r="C50" s="132" t="s">
        <v>246</v>
      </c>
      <c r="D50" s="13">
        <v>652827688.86000001</v>
      </c>
      <c r="E50" s="3">
        <f t="shared" si="8"/>
        <v>5.1732341629645345E-4</v>
      </c>
      <c r="F50" s="8">
        <v>1</v>
      </c>
      <c r="G50" s="8">
        <v>1</v>
      </c>
      <c r="H50" s="58">
        <v>52</v>
      </c>
      <c r="I50" s="5">
        <v>0.2084</v>
      </c>
      <c r="J50" s="5">
        <v>0.2084</v>
      </c>
      <c r="K50" s="13">
        <v>660228176.88999999</v>
      </c>
      <c r="L50" s="3">
        <f t="shared" si="7"/>
        <v>5.2318782097056588E-4</v>
      </c>
      <c r="M50" s="8">
        <v>1</v>
      </c>
      <c r="N50" s="8">
        <v>1</v>
      </c>
      <c r="O50" s="58">
        <v>54</v>
      </c>
      <c r="P50" s="5">
        <v>0.21729999999999999</v>
      </c>
      <c r="Q50" s="5">
        <v>0.21729999999999999</v>
      </c>
      <c r="R50" s="76">
        <f t="shared" si="9"/>
        <v>1.1336051084051091E-2</v>
      </c>
      <c r="S50" s="76">
        <f t="shared" si="10"/>
        <v>0</v>
      </c>
      <c r="T50" s="76">
        <f t="shared" si="11"/>
        <v>3.8461538461538464E-2</v>
      </c>
      <c r="U50" s="77">
        <f t="shared" si="12"/>
        <v>8.8999999999999913E-3</v>
      </c>
      <c r="V50" s="79">
        <f t="shared" si="13"/>
        <v>8.8999999999999913E-3</v>
      </c>
    </row>
    <row r="51" spans="1:22">
      <c r="A51" s="162">
        <v>43</v>
      </c>
      <c r="B51" s="131" t="s">
        <v>278</v>
      </c>
      <c r="C51" s="132" t="s">
        <v>277</v>
      </c>
      <c r="D51" s="13">
        <v>6266498186.0600004</v>
      </c>
      <c r="E51" s="3">
        <f t="shared" si="8"/>
        <v>4.96579159423996E-3</v>
      </c>
      <c r="F51" s="8">
        <v>100</v>
      </c>
      <c r="G51" s="8">
        <v>100</v>
      </c>
      <c r="H51" s="58">
        <v>44</v>
      </c>
      <c r="I51" s="5">
        <v>0.24260000000000001</v>
      </c>
      <c r="J51" s="5">
        <v>0.24260000000000001</v>
      </c>
      <c r="K51" s="13">
        <v>6735665416.3299999</v>
      </c>
      <c r="L51" s="3">
        <f t="shared" si="7"/>
        <v>5.337576061288922E-3</v>
      </c>
      <c r="M51" s="8">
        <v>100</v>
      </c>
      <c r="N51" s="8">
        <v>100</v>
      </c>
      <c r="O51" s="58">
        <v>51</v>
      </c>
      <c r="P51" s="5">
        <v>0.24260000000000001</v>
      </c>
      <c r="Q51" s="5">
        <v>0.24260000000000001</v>
      </c>
      <c r="R51" s="76">
        <f t="shared" si="9"/>
        <v>7.4869124084911573E-2</v>
      </c>
      <c r="S51" s="76">
        <f t="shared" si="10"/>
        <v>0</v>
      </c>
      <c r="T51" s="76">
        <f t="shared" si="11"/>
        <v>0.15909090909090909</v>
      </c>
      <c r="U51" s="77">
        <f t="shared" si="12"/>
        <v>0</v>
      </c>
      <c r="V51" s="79">
        <f t="shared" si="13"/>
        <v>0</v>
      </c>
    </row>
    <row r="52" spans="1:22">
      <c r="A52" s="162">
        <v>44</v>
      </c>
      <c r="B52" s="131" t="s">
        <v>274</v>
      </c>
      <c r="C52" s="132" t="s">
        <v>108</v>
      </c>
      <c r="D52" s="13">
        <v>53250133.939999998</v>
      </c>
      <c r="E52" s="3">
        <f t="shared" si="8"/>
        <v>4.2197262276343394E-5</v>
      </c>
      <c r="F52" s="8">
        <v>1000</v>
      </c>
      <c r="G52" s="8">
        <v>1000</v>
      </c>
      <c r="H52" s="58">
        <v>10</v>
      </c>
      <c r="I52" s="5">
        <v>2.1299999999999999E-2</v>
      </c>
      <c r="J52" s="5">
        <v>2.1299999999999999E-2</v>
      </c>
      <c r="K52" s="13">
        <v>53629423.439999998</v>
      </c>
      <c r="L52" s="3">
        <f t="shared" si="7"/>
        <v>4.2497824497054367E-5</v>
      </c>
      <c r="M52" s="8">
        <v>1000</v>
      </c>
      <c r="N52" s="8">
        <v>1000</v>
      </c>
      <c r="O52" s="58">
        <v>11</v>
      </c>
      <c r="P52" s="5">
        <v>2.98E-2</v>
      </c>
      <c r="Q52" s="5">
        <v>2.98E-2</v>
      </c>
      <c r="R52" s="76">
        <f t="shared" si="9"/>
        <v>7.1227895957476353E-3</v>
      </c>
      <c r="S52" s="76">
        <f t="shared" si="10"/>
        <v>0</v>
      </c>
      <c r="T52" s="76">
        <f t="shared" si="11"/>
        <v>0.1</v>
      </c>
      <c r="U52" s="77">
        <f t="shared" si="12"/>
        <v>8.5000000000000006E-3</v>
      </c>
      <c r="V52" s="79">
        <f t="shared" si="13"/>
        <v>8.5000000000000006E-3</v>
      </c>
    </row>
    <row r="53" spans="1:22">
      <c r="A53" s="163">
        <v>45</v>
      </c>
      <c r="B53" s="131" t="s">
        <v>82</v>
      </c>
      <c r="C53" s="132" t="s">
        <v>42</v>
      </c>
      <c r="D53" s="9">
        <v>555430822334.68005</v>
      </c>
      <c r="E53" s="3">
        <f t="shared" si="8"/>
        <v>0.44014274429488104</v>
      </c>
      <c r="F53" s="8">
        <v>100</v>
      </c>
      <c r="G53" s="8">
        <v>100</v>
      </c>
      <c r="H53" s="58">
        <v>130582</v>
      </c>
      <c r="I53" s="5">
        <v>0.20810000000000001</v>
      </c>
      <c r="J53" s="5">
        <v>0.20810000000000001</v>
      </c>
      <c r="K53" s="9">
        <v>570684065299.26001</v>
      </c>
      <c r="L53" s="3">
        <f t="shared" si="7"/>
        <v>0.45222994570298269</v>
      </c>
      <c r="M53" s="8">
        <v>100</v>
      </c>
      <c r="N53" s="8">
        <v>100</v>
      </c>
      <c r="O53" s="58">
        <v>131427</v>
      </c>
      <c r="P53" s="5">
        <v>0.21260000000000001</v>
      </c>
      <c r="Q53" s="5">
        <v>0.21260000000000001</v>
      </c>
      <c r="R53" s="76">
        <f t="shared" si="9"/>
        <v>2.7462003099620876E-2</v>
      </c>
      <c r="S53" s="76">
        <f t="shared" si="10"/>
        <v>0</v>
      </c>
      <c r="T53" s="76">
        <f t="shared" si="11"/>
        <v>6.4710296978144006E-3</v>
      </c>
      <c r="U53" s="77">
        <f t="shared" si="12"/>
        <v>4.500000000000004E-3</v>
      </c>
      <c r="V53" s="79">
        <f t="shared" si="13"/>
        <v>4.500000000000004E-3</v>
      </c>
    </row>
    <row r="54" spans="1:22">
      <c r="A54" s="154">
        <v>46</v>
      </c>
      <c r="B54" s="131" t="s">
        <v>272</v>
      </c>
      <c r="C54" s="131" t="s">
        <v>271</v>
      </c>
      <c r="D54" s="9">
        <v>796742180.63</v>
      </c>
      <c r="E54" s="3">
        <f t="shared" si="8"/>
        <v>6.3136627600884258E-4</v>
      </c>
      <c r="F54" s="8">
        <v>100</v>
      </c>
      <c r="G54" s="8">
        <v>100</v>
      </c>
      <c r="H54" s="58">
        <v>168</v>
      </c>
      <c r="I54" s="5">
        <v>0.2198</v>
      </c>
      <c r="J54" s="5">
        <v>0.2198</v>
      </c>
      <c r="K54" s="9">
        <v>831588686.99000001</v>
      </c>
      <c r="L54" s="3">
        <f t="shared" si="7"/>
        <v>6.5897986229472886E-4</v>
      </c>
      <c r="M54" s="8">
        <v>100</v>
      </c>
      <c r="N54" s="8">
        <v>100</v>
      </c>
      <c r="O54" s="58">
        <v>179</v>
      </c>
      <c r="P54" s="5">
        <v>0.21729999999999999</v>
      </c>
      <c r="Q54" s="5">
        <v>0.21729999999999999</v>
      </c>
      <c r="R54" s="76">
        <f t="shared" si="9"/>
        <v>4.3736238907856217E-2</v>
      </c>
      <c r="S54" s="76">
        <f t="shared" si="10"/>
        <v>0</v>
      </c>
      <c r="T54" s="76">
        <f t="shared" si="11"/>
        <v>6.5476190476190479E-2</v>
      </c>
      <c r="U54" s="77">
        <f t="shared" si="12"/>
        <v>-2.5000000000000022E-3</v>
      </c>
      <c r="V54" s="79">
        <f t="shared" si="13"/>
        <v>-2.5000000000000022E-3</v>
      </c>
    </row>
    <row r="55" spans="1:22">
      <c r="A55" s="157">
        <v>47</v>
      </c>
      <c r="B55" s="131" t="s">
        <v>83</v>
      </c>
      <c r="C55" s="132" t="s">
        <v>84</v>
      </c>
      <c r="D55" s="9">
        <v>3633324193.6999998</v>
      </c>
      <c r="E55" s="3">
        <f t="shared" si="8"/>
        <v>2.8791727380309156E-3</v>
      </c>
      <c r="F55" s="8">
        <v>1</v>
      </c>
      <c r="G55" s="8">
        <v>1</v>
      </c>
      <c r="H55" s="58">
        <v>382</v>
      </c>
      <c r="I55" s="5">
        <v>0.19174499709999998</v>
      </c>
      <c r="J55" s="5">
        <v>0.19174499709999998</v>
      </c>
      <c r="K55" s="9">
        <v>3603035981.98</v>
      </c>
      <c r="L55" s="3">
        <f t="shared" si="7"/>
        <v>2.8551713033064447E-3</v>
      </c>
      <c r="M55" s="8">
        <v>1</v>
      </c>
      <c r="N55" s="8">
        <v>1</v>
      </c>
      <c r="O55" s="58">
        <v>379</v>
      </c>
      <c r="P55" s="5">
        <v>0.19634664390000001</v>
      </c>
      <c r="Q55" s="5">
        <v>0.19634664390000001</v>
      </c>
      <c r="R55" s="76">
        <f t="shared" si="9"/>
        <v>-8.3362260302887407E-3</v>
      </c>
      <c r="S55" s="76">
        <f t="shared" si="10"/>
        <v>0</v>
      </c>
      <c r="T55" s="76">
        <f t="shared" si="11"/>
        <v>-7.8534031413612562E-3</v>
      </c>
      <c r="U55" s="77">
        <f t="shared" si="12"/>
        <v>4.6016468000000255E-3</v>
      </c>
      <c r="V55" s="79">
        <f t="shared" si="13"/>
        <v>4.6016468000000255E-3</v>
      </c>
    </row>
    <row r="56" spans="1:22">
      <c r="A56" s="154">
        <v>48</v>
      </c>
      <c r="B56" s="131" t="s">
        <v>85</v>
      </c>
      <c r="C56" s="132" t="s">
        <v>45</v>
      </c>
      <c r="D56" s="9">
        <v>45049704749.18</v>
      </c>
      <c r="E56" s="3">
        <f t="shared" si="8"/>
        <v>3.569895634281256E-2</v>
      </c>
      <c r="F56" s="8">
        <v>1</v>
      </c>
      <c r="G56" s="8">
        <v>1</v>
      </c>
      <c r="H56" s="58">
        <v>24151</v>
      </c>
      <c r="I56" s="5">
        <v>0.2135</v>
      </c>
      <c r="J56" s="5">
        <v>0.2135</v>
      </c>
      <c r="K56" s="9">
        <v>46116938846.559998</v>
      </c>
      <c r="L56" s="3">
        <f t="shared" si="7"/>
        <v>3.6544669842202872E-2</v>
      </c>
      <c r="M56" s="8">
        <v>1</v>
      </c>
      <c r="N56" s="8">
        <v>1</v>
      </c>
      <c r="O56" s="58">
        <v>29072</v>
      </c>
      <c r="P56" s="5">
        <v>0.21870000000000001</v>
      </c>
      <c r="Q56" s="5">
        <v>0.21870000000000001</v>
      </c>
      <c r="R56" s="76">
        <f t="shared" si="9"/>
        <v>2.3690146324420097E-2</v>
      </c>
      <c r="S56" s="76">
        <f t="shared" si="10"/>
        <v>0</v>
      </c>
      <c r="T56" s="76">
        <f t="shared" si="11"/>
        <v>0.20375967868825307</v>
      </c>
      <c r="U56" s="77">
        <f t="shared" si="12"/>
        <v>5.2000000000000102E-3</v>
      </c>
      <c r="V56" s="79">
        <f t="shared" si="13"/>
        <v>5.2000000000000102E-3</v>
      </c>
    </row>
    <row r="57" spans="1:22">
      <c r="A57" s="158">
        <v>49</v>
      </c>
      <c r="B57" s="131" t="s">
        <v>86</v>
      </c>
      <c r="C57" s="132" t="s">
        <v>87</v>
      </c>
      <c r="D57" s="9">
        <v>1196197639.46</v>
      </c>
      <c r="E57" s="3">
        <f t="shared" si="8"/>
        <v>9.4790870542243142E-4</v>
      </c>
      <c r="F57" s="8">
        <v>1</v>
      </c>
      <c r="G57" s="8">
        <v>1</v>
      </c>
      <c r="H57" s="58">
        <v>101</v>
      </c>
      <c r="I57" s="5">
        <v>0.1938</v>
      </c>
      <c r="J57" s="5">
        <v>0.1938</v>
      </c>
      <c r="K57" s="9">
        <v>1209592518.23</v>
      </c>
      <c r="L57" s="3">
        <f t="shared" si="7"/>
        <v>9.5852327426566451E-4</v>
      </c>
      <c r="M57" s="8">
        <v>1</v>
      </c>
      <c r="N57" s="8">
        <v>1</v>
      </c>
      <c r="O57" s="58">
        <v>103</v>
      </c>
      <c r="P57" s="5">
        <v>0.21110000000000001</v>
      </c>
      <c r="Q57" s="5">
        <v>0.21110000000000001</v>
      </c>
      <c r="R57" s="76">
        <f t="shared" si="9"/>
        <v>1.1197880958908125E-2</v>
      </c>
      <c r="S57" s="76">
        <f t="shared" si="10"/>
        <v>0</v>
      </c>
      <c r="T57" s="76">
        <f t="shared" si="11"/>
        <v>1.9801980198019802E-2</v>
      </c>
      <c r="U57" s="77">
        <f t="shared" si="12"/>
        <v>1.730000000000001E-2</v>
      </c>
      <c r="V57" s="79">
        <f t="shared" si="13"/>
        <v>1.730000000000001E-2</v>
      </c>
    </row>
    <row r="58" spans="1:22">
      <c r="A58" s="158">
        <v>50</v>
      </c>
      <c r="B58" s="131" t="s">
        <v>88</v>
      </c>
      <c r="C58" s="132" t="s">
        <v>89</v>
      </c>
      <c r="D58" s="9">
        <v>1965360223.5799999</v>
      </c>
      <c r="E58" s="3">
        <f t="shared" si="8"/>
        <v>1.5574199478135275E-3</v>
      </c>
      <c r="F58" s="8">
        <v>1</v>
      </c>
      <c r="G58" s="8">
        <v>1</v>
      </c>
      <c r="H58" s="58">
        <v>281</v>
      </c>
      <c r="I58" s="5">
        <v>0.21490000000000001</v>
      </c>
      <c r="J58" s="5">
        <v>0.21490000000000001</v>
      </c>
      <c r="K58" s="9">
        <v>1942110527.5</v>
      </c>
      <c r="L58" s="3">
        <f t="shared" si="7"/>
        <v>1.5389960782240452E-3</v>
      </c>
      <c r="M58" s="8">
        <v>1</v>
      </c>
      <c r="N58" s="8">
        <v>1</v>
      </c>
      <c r="O58" s="58">
        <v>289</v>
      </c>
      <c r="P58" s="5">
        <v>0.22239999999999999</v>
      </c>
      <c r="Q58" s="5">
        <v>0.22239999999999999</v>
      </c>
      <c r="R58" s="76">
        <f t="shared" si="9"/>
        <v>-1.1829737775830969E-2</v>
      </c>
      <c r="S58" s="76">
        <f t="shared" si="10"/>
        <v>0</v>
      </c>
      <c r="T58" s="76">
        <f t="shared" si="11"/>
        <v>2.8469750889679714E-2</v>
      </c>
      <c r="U58" s="77">
        <f t="shared" si="12"/>
        <v>7.4999999999999789E-3</v>
      </c>
      <c r="V58" s="79">
        <f t="shared" si="13"/>
        <v>7.4999999999999789E-3</v>
      </c>
    </row>
    <row r="59" spans="1:22">
      <c r="A59" s="162">
        <v>51</v>
      </c>
      <c r="B59" s="131" t="s">
        <v>258</v>
      </c>
      <c r="C59" s="132" t="s">
        <v>259</v>
      </c>
      <c r="D59" s="9">
        <v>1251146418.6600001</v>
      </c>
      <c r="E59" s="3">
        <f t="shared" si="8"/>
        <v>9.9145203341255233E-4</v>
      </c>
      <c r="F59" s="8">
        <v>1</v>
      </c>
      <c r="G59" s="8">
        <v>1</v>
      </c>
      <c r="H59" s="58">
        <v>1107</v>
      </c>
      <c r="I59" s="5">
        <v>0.21929999999999999</v>
      </c>
      <c r="J59" s="5">
        <v>0.21929999999999999</v>
      </c>
      <c r="K59" s="9">
        <v>1279187976.49</v>
      </c>
      <c r="L59" s="3">
        <f t="shared" si="7"/>
        <v>1.0136731412828729E-3</v>
      </c>
      <c r="M59" s="8">
        <v>1</v>
      </c>
      <c r="N59" s="8">
        <v>1</v>
      </c>
      <c r="O59" s="58">
        <v>1128</v>
      </c>
      <c r="P59" s="5">
        <v>0.22509999999999999</v>
      </c>
      <c r="Q59" s="5">
        <v>0.22509999999999999</v>
      </c>
      <c r="R59" s="76">
        <f t="shared" si="9"/>
        <v>2.2412690802434559E-2</v>
      </c>
      <c r="S59" s="76">
        <f t="shared" si="10"/>
        <v>0</v>
      </c>
      <c r="T59" s="76">
        <f t="shared" si="11"/>
        <v>1.8970189701897018E-2</v>
      </c>
      <c r="U59" s="77">
        <f t="shared" si="12"/>
        <v>5.7999999999999996E-3</v>
      </c>
      <c r="V59" s="79">
        <f t="shared" si="13"/>
        <v>5.7999999999999996E-3</v>
      </c>
    </row>
    <row r="60" spans="1:22">
      <c r="A60" s="165">
        <v>52</v>
      </c>
      <c r="B60" s="131" t="s">
        <v>90</v>
      </c>
      <c r="C60" s="132" t="s">
        <v>91</v>
      </c>
      <c r="D60" s="9">
        <v>36688157112.889999</v>
      </c>
      <c r="E60" s="3">
        <f t="shared" si="8"/>
        <v>2.9072974536978467E-2</v>
      </c>
      <c r="F60" s="8">
        <v>1</v>
      </c>
      <c r="G60" s="8">
        <v>1</v>
      </c>
      <c r="H60" s="58">
        <v>3800</v>
      </c>
      <c r="I60" s="5">
        <v>0.21110000000000001</v>
      </c>
      <c r="J60" s="5">
        <v>0.21110000000000001</v>
      </c>
      <c r="K60" s="9">
        <v>37761569799.300003</v>
      </c>
      <c r="L60" s="3">
        <f t="shared" si="7"/>
        <v>2.9923584165683512E-2</v>
      </c>
      <c r="M60" s="8">
        <v>1</v>
      </c>
      <c r="N60" s="8">
        <v>1</v>
      </c>
      <c r="O60" s="58">
        <v>3826</v>
      </c>
      <c r="P60" s="5">
        <v>0.21390000000000001</v>
      </c>
      <c r="Q60" s="5">
        <v>0.21390000000000001</v>
      </c>
      <c r="R60" s="76">
        <f t="shared" si="9"/>
        <v>2.9257743394063021E-2</v>
      </c>
      <c r="S60" s="76">
        <f t="shared" si="10"/>
        <v>0</v>
      </c>
      <c r="T60" s="76">
        <f t="shared" si="11"/>
        <v>6.842105263157895E-3</v>
      </c>
      <c r="U60" s="77">
        <f t="shared" si="12"/>
        <v>2.7999999999999969E-3</v>
      </c>
      <c r="V60" s="79">
        <f t="shared" si="13"/>
        <v>2.7999999999999969E-3</v>
      </c>
    </row>
    <row r="61" spans="1:22">
      <c r="A61" s="71"/>
      <c r="B61" s="129"/>
      <c r="C61" s="68" t="s">
        <v>46</v>
      </c>
      <c r="D61" s="57">
        <f>SUM(D26:D60)</f>
        <v>1238391247596.4695</v>
      </c>
      <c r="E61" s="96">
        <f>(D61/$D$202)</f>
        <v>0.37757749742980107</v>
      </c>
      <c r="F61" s="30"/>
      <c r="G61" s="11"/>
      <c r="H61" s="63">
        <f>SUM(H26:H60)</f>
        <v>307666</v>
      </c>
      <c r="I61" s="32"/>
      <c r="J61" s="32"/>
      <c r="K61" s="57">
        <f>SUM(K26:K60)</f>
        <v>1261933383053.9299</v>
      </c>
      <c r="L61" s="96">
        <f>(K61/$K$202)</f>
        <v>0.38008261986095265</v>
      </c>
      <c r="M61" s="30"/>
      <c r="N61" s="11"/>
      <c r="O61" s="63">
        <f>SUM(O26:O60)</f>
        <v>314103</v>
      </c>
      <c r="P61" s="32"/>
      <c r="Q61" s="32"/>
      <c r="R61" s="76">
        <f t="shared" si="9"/>
        <v>1.9010256656086823E-2</v>
      </c>
      <c r="S61" s="76" t="e">
        <f t="shared" si="10"/>
        <v>#DIV/0!</v>
      </c>
      <c r="T61" s="76">
        <f t="shared" si="11"/>
        <v>2.0922038834320335E-2</v>
      </c>
      <c r="U61" s="77">
        <f t="shared" si="12"/>
        <v>0</v>
      </c>
      <c r="V61" s="79">
        <f t="shared" si="13"/>
        <v>0</v>
      </c>
    </row>
    <row r="62" spans="1:22" ht="9" customHeight="1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</row>
    <row r="63" spans="1:22" ht="15" customHeight="1">
      <c r="A63" s="174" t="s">
        <v>92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</row>
    <row r="64" spans="1:22">
      <c r="A64" s="162">
        <v>53</v>
      </c>
      <c r="B64" s="131" t="s">
        <v>93</v>
      </c>
      <c r="C64" s="132" t="s">
        <v>19</v>
      </c>
      <c r="D64" s="2">
        <v>462715271.41000003</v>
      </c>
      <c r="E64" s="3">
        <f>(D64/$D$99)</f>
        <v>2.1243104993076195E-3</v>
      </c>
      <c r="F64" s="14">
        <v>1.2437</v>
      </c>
      <c r="G64" s="14">
        <v>1.2437</v>
      </c>
      <c r="H64" s="58">
        <v>456</v>
      </c>
      <c r="I64" s="5">
        <v>4.8299999999999998E-4</v>
      </c>
      <c r="J64" s="5">
        <v>-2.8400000000000002E-2</v>
      </c>
      <c r="K64" s="2">
        <v>463816233.12</v>
      </c>
      <c r="L64" s="3">
        <f t="shared" ref="L64:L85" si="14">(K64/$K$99)</f>
        <v>2.1394127563519358E-3</v>
      </c>
      <c r="M64" s="14">
        <v>1.2465999999999999</v>
      </c>
      <c r="N64" s="14">
        <v>1.2465999999999999</v>
      </c>
      <c r="O64" s="58">
        <v>456</v>
      </c>
      <c r="P64" s="5">
        <v>-4.8099999999999998E-4</v>
      </c>
      <c r="Q64" s="5">
        <v>-2.6200000000000001E-2</v>
      </c>
      <c r="R64" s="76">
        <f>((K64-D64)/D64)</f>
        <v>2.3793502787256074E-3</v>
      </c>
      <c r="S64" s="76">
        <f>((N64-G64)/G64)</f>
        <v>2.3317520302322927E-3</v>
      </c>
      <c r="T64" s="76">
        <f>((O64-H64)/H64)</f>
        <v>0</v>
      </c>
      <c r="U64" s="77">
        <f>P64-I64</f>
        <v>-9.6400000000000001E-4</v>
      </c>
      <c r="V64" s="79">
        <f>Q64-J64</f>
        <v>2.2000000000000006E-3</v>
      </c>
    </row>
    <row r="65" spans="1:22">
      <c r="A65" s="154">
        <v>54</v>
      </c>
      <c r="B65" s="131" t="s">
        <v>94</v>
      </c>
      <c r="C65" s="132" t="s">
        <v>21</v>
      </c>
      <c r="D65" s="2">
        <v>1414491826.27</v>
      </c>
      <c r="E65" s="3">
        <f>(D65/$D$99)</f>
        <v>6.49388516738121E-3</v>
      </c>
      <c r="F65" s="14">
        <v>1.1740999999999999</v>
      </c>
      <c r="G65" s="14">
        <v>1.1740999999999999</v>
      </c>
      <c r="H65" s="58">
        <v>709</v>
      </c>
      <c r="I65" s="5">
        <v>0.34970000000000001</v>
      </c>
      <c r="J65" s="5">
        <v>1.9099999999999999E-2</v>
      </c>
      <c r="K65" s="2">
        <v>1411143894.76</v>
      </c>
      <c r="L65" s="3">
        <f t="shared" si="14"/>
        <v>6.5090849218220606E-3</v>
      </c>
      <c r="M65" s="14">
        <v>1.1778</v>
      </c>
      <c r="N65" s="14">
        <v>1.1778</v>
      </c>
      <c r="O65" s="58">
        <v>709</v>
      </c>
      <c r="P65" s="5">
        <v>0.1648</v>
      </c>
      <c r="Q65" s="5">
        <v>2.35E-2</v>
      </c>
      <c r="R65" s="76">
        <f t="shared" ref="R65:R99" si="15">((K65-D65)/D65)</f>
        <v>-2.366879361069516E-3</v>
      </c>
      <c r="S65" s="76">
        <f t="shared" ref="S65:S99" si="16">((N65-G65)/G65)</f>
        <v>3.1513499701899643E-3</v>
      </c>
      <c r="T65" s="76">
        <f t="shared" ref="T65:T99" si="17">((O65-H65)/H65)</f>
        <v>0</v>
      </c>
      <c r="U65" s="77">
        <f t="shared" ref="U65:U99" si="18">P65-I65</f>
        <v>-0.18490000000000001</v>
      </c>
      <c r="V65" s="79">
        <f t="shared" ref="V65:V99" si="19">Q65-J65</f>
        <v>4.4000000000000011E-3</v>
      </c>
    </row>
    <row r="66" spans="1:22">
      <c r="A66" s="154">
        <v>55</v>
      </c>
      <c r="B66" s="131" t="s">
        <v>95</v>
      </c>
      <c r="C66" s="132" t="s">
        <v>21</v>
      </c>
      <c r="D66" s="2">
        <v>842292780.13999999</v>
      </c>
      <c r="E66" s="3">
        <f>(D66/$D$99)</f>
        <v>3.8669382812674914E-3</v>
      </c>
      <c r="F66" s="14">
        <v>1.0713999999999999</v>
      </c>
      <c r="G66" s="14">
        <v>1.0713999999999999</v>
      </c>
      <c r="H66" s="58">
        <v>176</v>
      </c>
      <c r="I66" s="5">
        <v>0.1076</v>
      </c>
      <c r="J66" s="5">
        <v>1.8E-3</v>
      </c>
      <c r="K66" s="2">
        <v>843859139.60000002</v>
      </c>
      <c r="L66" s="3">
        <f t="shared" si="14"/>
        <v>3.8924101376963229E-3</v>
      </c>
      <c r="M66" s="14">
        <v>1.0734999999999999</v>
      </c>
      <c r="N66" s="14">
        <v>1.0734999999999999</v>
      </c>
      <c r="O66" s="58">
        <v>176</v>
      </c>
      <c r="P66" s="5">
        <v>0.10249999999999999</v>
      </c>
      <c r="Q66" s="5">
        <v>4.7999999999999996E-3</v>
      </c>
      <c r="R66" s="76">
        <f t="shared" si="15"/>
        <v>1.8596377612778408E-3</v>
      </c>
      <c r="S66" s="76">
        <f t="shared" si="16"/>
        <v>1.960052268060473E-3</v>
      </c>
      <c r="T66" s="76">
        <f t="shared" si="17"/>
        <v>0</v>
      </c>
      <c r="U66" s="77">
        <f t="shared" si="18"/>
        <v>-5.1000000000000073E-3</v>
      </c>
      <c r="V66" s="79">
        <f t="shared" si="19"/>
        <v>2.9999999999999996E-3</v>
      </c>
    </row>
    <row r="67" spans="1:22">
      <c r="A67" s="162">
        <v>56</v>
      </c>
      <c r="B67" s="131" t="s">
        <v>96</v>
      </c>
      <c r="C67" s="132" t="s">
        <v>97</v>
      </c>
      <c r="D67" s="2">
        <v>266227153.81</v>
      </c>
      <c r="E67" s="3">
        <f>(D67/$D$99)</f>
        <v>1.2222400534047839E-3</v>
      </c>
      <c r="F67" s="7">
        <v>1069.4000000000001</v>
      </c>
      <c r="G67" s="7">
        <v>1069.4000000000001</v>
      </c>
      <c r="H67" s="58">
        <v>112</v>
      </c>
      <c r="I67" s="5">
        <v>7.9500000000000003E-4</v>
      </c>
      <c r="J67" s="5">
        <v>3.5874999999999997E-2</v>
      </c>
      <c r="K67" s="2">
        <v>267038529.97</v>
      </c>
      <c r="L67" s="3">
        <f t="shared" si="14"/>
        <v>1.2317499834195685E-3</v>
      </c>
      <c r="M67" s="7">
        <v>1072.6600000000001</v>
      </c>
      <c r="N67" s="7">
        <v>1072.6600000000001</v>
      </c>
      <c r="O67" s="58">
        <v>112</v>
      </c>
      <c r="P67" s="5">
        <v>2.6740000000000002E-3</v>
      </c>
      <c r="Q67" s="5">
        <v>3.8434999999999997E-2</v>
      </c>
      <c r="R67" s="76">
        <f t="shared" si="15"/>
        <v>3.0476837106520557E-3</v>
      </c>
      <c r="S67" s="76">
        <f t="shared" si="16"/>
        <v>3.0484383766598007E-3</v>
      </c>
      <c r="T67" s="76">
        <f t="shared" si="17"/>
        <v>0</v>
      </c>
      <c r="U67" s="77">
        <f t="shared" si="18"/>
        <v>1.879E-3</v>
      </c>
      <c r="V67" s="79">
        <f t="shared" si="19"/>
        <v>2.5599999999999998E-3</v>
      </c>
    </row>
    <row r="68" spans="1:22" ht="15" customHeight="1">
      <c r="A68" s="158">
        <v>57</v>
      </c>
      <c r="B68" s="131" t="s">
        <v>98</v>
      </c>
      <c r="C68" s="132" t="s">
        <v>99</v>
      </c>
      <c r="D68" s="2">
        <v>1668711688.78</v>
      </c>
      <c r="E68" s="3">
        <f>(D68/$K$99)</f>
        <v>7.6971499027414497E-3</v>
      </c>
      <c r="F68" s="7">
        <v>1.0437000000000001</v>
      </c>
      <c r="G68" s="7">
        <v>1.0437000000000001</v>
      </c>
      <c r="H68" s="58">
        <v>872</v>
      </c>
      <c r="I68" s="5">
        <v>2.7000000000000001E-3</v>
      </c>
      <c r="J68" s="5">
        <v>6.7900000000000002E-2</v>
      </c>
      <c r="K68" s="2">
        <v>1525951370.76</v>
      </c>
      <c r="L68" s="3">
        <f t="shared" si="14"/>
        <v>7.0386493508777827E-3</v>
      </c>
      <c r="M68" s="7">
        <v>1.0459000000000001</v>
      </c>
      <c r="N68" s="7">
        <v>1.0459000000000001</v>
      </c>
      <c r="O68" s="58">
        <v>872</v>
      </c>
      <c r="P68" s="5">
        <v>2.0999999999999999E-3</v>
      </c>
      <c r="Q68" s="5">
        <v>6.9900000000000004E-2</v>
      </c>
      <c r="R68" s="76">
        <f t="shared" si="15"/>
        <v>-8.555121833201304E-2</v>
      </c>
      <c r="S68" s="76">
        <f t="shared" si="16"/>
        <v>2.107885407684181E-3</v>
      </c>
      <c r="T68" s="76">
        <f t="shared" si="17"/>
        <v>0</v>
      </c>
      <c r="U68" s="77">
        <f t="shared" si="18"/>
        <v>-6.0000000000000027E-4</v>
      </c>
      <c r="V68" s="79">
        <v>7.87</v>
      </c>
    </row>
    <row r="69" spans="1:22">
      <c r="A69" s="157">
        <v>58</v>
      </c>
      <c r="B69" s="131" t="s">
        <v>100</v>
      </c>
      <c r="C69" s="132" t="s">
        <v>101</v>
      </c>
      <c r="D69" s="2">
        <v>421799289.68797857</v>
      </c>
      <c r="E69" s="3">
        <f t="shared" ref="E69:E85" si="20">(D69/$D$99)</f>
        <v>1.9364665811747491E-3</v>
      </c>
      <c r="F69" s="7">
        <v>2.4043000000000001</v>
      </c>
      <c r="G69" s="7">
        <v>2.4043000000000001</v>
      </c>
      <c r="H69" s="58">
        <v>1392</v>
      </c>
      <c r="I69" s="5">
        <v>0.12859999999999999</v>
      </c>
      <c r="J69" s="5">
        <v>0.1195</v>
      </c>
      <c r="K69" s="2">
        <v>422988511.974123</v>
      </c>
      <c r="L69" s="3">
        <f t="shared" si="14"/>
        <v>1.9510895774827949E-3</v>
      </c>
      <c r="M69" s="7">
        <v>2.41</v>
      </c>
      <c r="N69" s="7">
        <v>2.41</v>
      </c>
      <c r="O69" s="58">
        <v>1392</v>
      </c>
      <c r="P69" s="5">
        <v>0.124</v>
      </c>
      <c r="Q69" s="5">
        <v>0.11990000000000001</v>
      </c>
      <c r="R69" s="76">
        <f t="shared" si="15"/>
        <v>2.8194032451409525E-3</v>
      </c>
      <c r="S69" s="76">
        <f t="shared" si="16"/>
        <v>2.3707524019465284E-3</v>
      </c>
      <c r="T69" s="76">
        <f t="shared" si="17"/>
        <v>0</v>
      </c>
      <c r="U69" s="77">
        <f t="shared" si="18"/>
        <v>-4.599999999999993E-3</v>
      </c>
      <c r="V69" s="79">
        <f t="shared" si="19"/>
        <v>4.0000000000001146E-4</v>
      </c>
    </row>
    <row r="70" spans="1:22">
      <c r="A70" s="163">
        <v>59</v>
      </c>
      <c r="B70" s="131" t="s">
        <v>269</v>
      </c>
      <c r="C70" s="132" t="s">
        <v>267</v>
      </c>
      <c r="D70" s="2">
        <v>133489185.18000001</v>
      </c>
      <c r="E70" s="3">
        <f t="shared" si="20"/>
        <v>6.1284443186364356E-4</v>
      </c>
      <c r="F70" s="7">
        <v>10.71</v>
      </c>
      <c r="G70" s="7">
        <v>10.74</v>
      </c>
      <c r="H70" s="58">
        <v>29</v>
      </c>
      <c r="I70" s="5">
        <v>0.84</v>
      </c>
      <c r="J70" s="5">
        <v>3.6900000000000002E-2</v>
      </c>
      <c r="K70" s="2">
        <v>135027839.06</v>
      </c>
      <c r="L70" s="3">
        <f t="shared" si="14"/>
        <v>6.228334860217369E-4</v>
      </c>
      <c r="M70" s="7">
        <v>10.8</v>
      </c>
      <c r="N70" s="7">
        <v>10.84</v>
      </c>
      <c r="O70" s="58">
        <v>29</v>
      </c>
      <c r="P70" s="5">
        <v>0.55389999999999995</v>
      </c>
      <c r="Q70" s="5">
        <v>4.65E-2</v>
      </c>
      <c r="R70" s="76">
        <f>((K70-D70)/D70)</f>
        <v>1.1526430983343239E-2</v>
      </c>
      <c r="S70" s="76">
        <f>((N70-G70)/G70)</f>
        <v>9.3109869646182154E-3</v>
      </c>
      <c r="T70" s="76">
        <f>((O70-H70)/H70)</f>
        <v>0</v>
      </c>
      <c r="U70" s="77">
        <f>P70-I70</f>
        <v>-0.28610000000000002</v>
      </c>
      <c r="V70" s="79">
        <f>Q70-J70</f>
        <v>9.5999999999999974E-3</v>
      </c>
    </row>
    <row r="71" spans="1:22">
      <c r="A71" s="155">
        <v>60</v>
      </c>
      <c r="B71" s="131" t="s">
        <v>102</v>
      </c>
      <c r="C71" s="132" t="s">
        <v>56</v>
      </c>
      <c r="D71" s="2">
        <v>2382471293.8469901</v>
      </c>
      <c r="E71" s="3">
        <f t="shared" si="20"/>
        <v>1.0937846871567056E-2</v>
      </c>
      <c r="F71" s="2">
        <v>4240.4681181063297</v>
      </c>
      <c r="G71" s="2">
        <v>4240.4681181063297</v>
      </c>
      <c r="H71" s="58">
        <v>1043</v>
      </c>
      <c r="I71" s="5">
        <v>0.10163669681533716</v>
      </c>
      <c r="J71" s="5">
        <v>9.6639902733693217E-2</v>
      </c>
      <c r="K71" s="2">
        <v>2387871089.3681798</v>
      </c>
      <c r="L71" s="3">
        <f t="shared" si="14"/>
        <v>1.101436626043348E-2</v>
      </c>
      <c r="M71" s="2">
        <v>4248.6989880001202</v>
      </c>
      <c r="N71" s="2">
        <v>4248.6989880001202</v>
      </c>
      <c r="O71" s="58">
        <v>1045</v>
      </c>
      <c r="P71" s="5">
        <v>0.10148806678961647</v>
      </c>
      <c r="Q71" s="5">
        <v>9.6965721187280696E-2</v>
      </c>
      <c r="R71" s="76">
        <f t="shared" si="15"/>
        <v>2.2664682404087266E-3</v>
      </c>
      <c r="S71" s="76">
        <f t="shared" si="16"/>
        <v>1.941028599801408E-3</v>
      </c>
      <c r="T71" s="76">
        <f t="shared" si="17"/>
        <v>1.9175455417066154E-3</v>
      </c>
      <c r="U71" s="77">
        <f t="shared" si="18"/>
        <v>-1.4863002572068629E-4</v>
      </c>
      <c r="V71" s="79">
        <f t="shared" si="19"/>
        <v>3.2581845358747863E-4</v>
      </c>
    </row>
    <row r="72" spans="1:22">
      <c r="A72" s="159">
        <v>61</v>
      </c>
      <c r="B72" s="131" t="s">
        <v>103</v>
      </c>
      <c r="C72" s="132" t="s">
        <v>58</v>
      </c>
      <c r="D72" s="2">
        <v>360389672.37</v>
      </c>
      <c r="E72" s="3">
        <f t="shared" si="20"/>
        <v>1.654537060176827E-3</v>
      </c>
      <c r="F72" s="14">
        <v>110.04</v>
      </c>
      <c r="G72" s="14">
        <v>110.04</v>
      </c>
      <c r="H72" s="58">
        <v>130</v>
      </c>
      <c r="I72" s="5">
        <v>9.1999999999999998E-3</v>
      </c>
      <c r="J72" s="5">
        <v>0.122</v>
      </c>
      <c r="K72" s="2">
        <v>361545567.26999998</v>
      </c>
      <c r="L72" s="3">
        <f t="shared" si="14"/>
        <v>1.6676759961952729E-3</v>
      </c>
      <c r="M72" s="14">
        <v>110.21</v>
      </c>
      <c r="N72" s="14">
        <v>110.21</v>
      </c>
      <c r="O72" s="58">
        <v>130</v>
      </c>
      <c r="P72" s="5">
        <v>1.5E-3</v>
      </c>
      <c r="Q72" s="5">
        <v>0.1221</v>
      </c>
      <c r="R72" s="76">
        <f t="shared" si="15"/>
        <v>3.2073474592059273E-3</v>
      </c>
      <c r="S72" s="76">
        <f t="shared" si="16"/>
        <v>1.5448927662666983E-3</v>
      </c>
      <c r="T72" s="76">
        <f t="shared" si="17"/>
        <v>0</v>
      </c>
      <c r="U72" s="77">
        <f t="shared" si="18"/>
        <v>-7.7000000000000002E-3</v>
      </c>
      <c r="V72" s="79">
        <f t="shared" si="19"/>
        <v>1.0000000000000286E-4</v>
      </c>
    </row>
    <row r="73" spans="1:22" ht="13.5" customHeight="1">
      <c r="A73" s="163">
        <v>62</v>
      </c>
      <c r="B73" s="131" t="s">
        <v>104</v>
      </c>
      <c r="C73" s="132" t="s">
        <v>105</v>
      </c>
      <c r="D73" s="2">
        <v>332797762.26999998</v>
      </c>
      <c r="E73" s="3">
        <f t="shared" si="20"/>
        <v>1.5278635139530936E-3</v>
      </c>
      <c r="F73" s="14">
        <v>1.3361000000000001</v>
      </c>
      <c r="G73" s="14">
        <v>1.3361000000000001</v>
      </c>
      <c r="H73" s="58">
        <v>347</v>
      </c>
      <c r="I73" s="5">
        <v>-6.7999999999999996E-3</v>
      </c>
      <c r="J73" s="5">
        <v>1.9900000000000001E-2</v>
      </c>
      <c r="K73" s="2">
        <v>330391188.29000002</v>
      </c>
      <c r="L73" s="3">
        <f t="shared" si="14"/>
        <v>1.5239723673729714E-3</v>
      </c>
      <c r="M73" s="14">
        <v>1.3240000000000001</v>
      </c>
      <c r="N73" s="14">
        <v>1.3240000000000001</v>
      </c>
      <c r="O73" s="58">
        <v>332</v>
      </c>
      <c r="P73" s="5">
        <v>-9.0562083676370975E-3</v>
      </c>
      <c r="Q73" s="5">
        <v>1.1032458441042059E-2</v>
      </c>
      <c r="R73" s="76">
        <f t="shared" si="15"/>
        <v>-7.2313406303720802E-3</v>
      </c>
      <c r="S73" s="76">
        <f t="shared" si="16"/>
        <v>-9.056208367637153E-3</v>
      </c>
      <c r="T73" s="76">
        <f t="shared" si="17"/>
        <v>-4.3227665706051875E-2</v>
      </c>
      <c r="U73" s="77">
        <f t="shared" si="18"/>
        <v>-2.2562083676370978E-3</v>
      </c>
      <c r="V73" s="79">
        <f t="shared" si="19"/>
        <v>-8.867541558957942E-3</v>
      </c>
    </row>
    <row r="74" spans="1:22">
      <c r="A74" s="157">
        <v>63</v>
      </c>
      <c r="B74" s="131" t="s">
        <v>106</v>
      </c>
      <c r="C74" s="132" t="s">
        <v>25</v>
      </c>
      <c r="D74" s="2">
        <v>115799135.13</v>
      </c>
      <c r="E74" s="3">
        <f t="shared" si="20"/>
        <v>5.3162999746648185E-4</v>
      </c>
      <c r="F74" s="14">
        <v>122.0175</v>
      </c>
      <c r="G74" s="14">
        <v>122.0175</v>
      </c>
      <c r="H74" s="58">
        <v>147</v>
      </c>
      <c r="I74" s="5">
        <v>3.735E-3</v>
      </c>
      <c r="J74" s="5">
        <v>0.13350400000000001</v>
      </c>
      <c r="K74" s="2">
        <v>115113673.47</v>
      </c>
      <c r="L74" s="3">
        <f t="shared" si="14"/>
        <v>5.3097680474786704E-4</v>
      </c>
      <c r="M74" s="14">
        <v>121.34269999999999</v>
      </c>
      <c r="N74" s="14">
        <v>121.34269999999999</v>
      </c>
      <c r="O74" s="58">
        <v>152</v>
      </c>
      <c r="P74" s="5">
        <v>3.6099999999999999E-4</v>
      </c>
      <c r="Q74" s="5">
        <v>0.13370000000000001</v>
      </c>
      <c r="R74" s="76">
        <f t="shared" si="15"/>
        <v>-5.9194022410484683E-3</v>
      </c>
      <c r="S74" s="76">
        <f t="shared" si="16"/>
        <v>-5.5303542524638245E-3</v>
      </c>
      <c r="T74" s="76">
        <f t="shared" si="17"/>
        <v>3.4013605442176874E-2</v>
      </c>
      <c r="U74" s="77">
        <f t="shared" si="18"/>
        <v>-3.3740000000000003E-3</v>
      </c>
      <c r="V74" s="79">
        <f t="shared" si="19"/>
        <v>1.9600000000000173E-4</v>
      </c>
    </row>
    <row r="75" spans="1:22">
      <c r="A75" s="154">
        <v>64</v>
      </c>
      <c r="B75" s="131" t="s">
        <v>107</v>
      </c>
      <c r="C75" s="132" t="s">
        <v>108</v>
      </c>
      <c r="D75" s="2">
        <v>1573188616.1200004</v>
      </c>
      <c r="E75" s="3">
        <f t="shared" si="20"/>
        <v>7.2224568781386368E-3</v>
      </c>
      <c r="F75" s="7">
        <v>1000</v>
      </c>
      <c r="G75" s="7">
        <v>1000</v>
      </c>
      <c r="H75" s="58">
        <v>336</v>
      </c>
      <c r="I75" s="5">
        <v>2.7000000000000001E-3</v>
      </c>
      <c r="J75" s="5">
        <v>0.17150000000000001</v>
      </c>
      <c r="K75" s="2">
        <v>1531984492.2400002</v>
      </c>
      <c r="L75" s="3">
        <f t="shared" si="14"/>
        <v>7.0664779091154026E-3</v>
      </c>
      <c r="M75" s="7">
        <v>1000</v>
      </c>
      <c r="N75" s="7">
        <v>1000</v>
      </c>
      <c r="O75" s="58">
        <v>335</v>
      </c>
      <c r="P75" s="5">
        <v>2.7000000000000001E-3</v>
      </c>
      <c r="Q75" s="5">
        <v>0.17150000000000001</v>
      </c>
      <c r="R75" s="76">
        <f t="shared" si="15"/>
        <v>-2.6191470913146456E-2</v>
      </c>
      <c r="S75" s="76">
        <f t="shared" si="16"/>
        <v>0</v>
      </c>
      <c r="T75" s="76">
        <f t="shared" si="17"/>
        <v>-2.976190476190476E-3</v>
      </c>
      <c r="U75" s="77">
        <f t="shared" si="18"/>
        <v>0</v>
      </c>
      <c r="V75" s="79">
        <f t="shared" si="19"/>
        <v>0</v>
      </c>
    </row>
    <row r="76" spans="1:22">
      <c r="A76" s="158">
        <v>65</v>
      </c>
      <c r="B76" s="131" t="s">
        <v>109</v>
      </c>
      <c r="C76" s="132" t="s">
        <v>64</v>
      </c>
      <c r="D76" s="2">
        <v>223234334.22</v>
      </c>
      <c r="E76" s="3">
        <f t="shared" si="20"/>
        <v>1.0248614413447767E-3</v>
      </c>
      <c r="F76" s="7">
        <v>1051.5</v>
      </c>
      <c r="G76" s="7">
        <v>1055.52</v>
      </c>
      <c r="H76" s="58">
        <v>76</v>
      </c>
      <c r="I76" s="5">
        <v>2.7000000000000001E-3</v>
      </c>
      <c r="J76" s="5">
        <v>5.8200000000000002E-2</v>
      </c>
      <c r="K76" s="2">
        <v>223754807.11000001</v>
      </c>
      <c r="L76" s="3">
        <f t="shared" si="14"/>
        <v>1.0320981769138492E-3</v>
      </c>
      <c r="M76" s="7">
        <v>1054.3</v>
      </c>
      <c r="N76" s="7">
        <v>1059.02</v>
      </c>
      <c r="O76" s="58">
        <v>75</v>
      </c>
      <c r="P76" s="5">
        <v>-5.5999999999999999E-3</v>
      </c>
      <c r="Q76" s="5">
        <v>5.2499999999999998E-2</v>
      </c>
      <c r="R76" s="76">
        <f t="shared" si="15"/>
        <v>2.3315091373313727E-3</v>
      </c>
      <c r="S76" s="76">
        <f t="shared" si="16"/>
        <v>3.3159011671972109E-3</v>
      </c>
      <c r="T76" s="76">
        <f t="shared" si="17"/>
        <v>-1.3157894736842105E-2</v>
      </c>
      <c r="U76" s="77">
        <f t="shared" si="18"/>
        <v>-8.3000000000000001E-3</v>
      </c>
      <c r="V76" s="79">
        <f t="shared" si="19"/>
        <v>-5.7000000000000037E-3</v>
      </c>
    </row>
    <row r="77" spans="1:22">
      <c r="A77" s="163">
        <v>66</v>
      </c>
      <c r="B77" s="131" t="s">
        <v>110</v>
      </c>
      <c r="C77" s="132" t="s">
        <v>67</v>
      </c>
      <c r="D77" s="2">
        <v>1093529874.9000001</v>
      </c>
      <c r="E77" s="3">
        <f t="shared" si="20"/>
        <v>5.0203594696105677E-3</v>
      </c>
      <c r="F77" s="15">
        <v>1.1907000000000001</v>
      </c>
      <c r="G77" s="15">
        <v>1.1907000000000001</v>
      </c>
      <c r="H77" s="58">
        <v>44</v>
      </c>
      <c r="I77" s="5">
        <v>2.525890376357762E-3</v>
      </c>
      <c r="J77" s="5">
        <v>0.32620432989611658</v>
      </c>
      <c r="K77" s="2">
        <v>1166777529.0899999</v>
      </c>
      <c r="L77" s="3">
        <f t="shared" si="14"/>
        <v>5.381913247771361E-3</v>
      </c>
      <c r="M77" s="15">
        <v>1.1920999999999999</v>
      </c>
      <c r="N77" s="15">
        <v>1.1920999999999999</v>
      </c>
      <c r="O77" s="58">
        <v>43</v>
      </c>
      <c r="P77" s="5">
        <v>5.0399999999999999E-5</v>
      </c>
      <c r="Q77" s="5">
        <v>0.123876</v>
      </c>
      <c r="R77" s="76">
        <f t="shared" si="15"/>
        <v>6.6982764596804537E-2</v>
      </c>
      <c r="S77" s="76">
        <f t="shared" si="16"/>
        <v>1.1757789535566017E-3</v>
      </c>
      <c r="T77" s="76">
        <f t="shared" si="17"/>
        <v>-2.2727272727272728E-2</v>
      </c>
      <c r="U77" s="77">
        <f t="shared" si="18"/>
        <v>-2.4754903763577621E-3</v>
      </c>
      <c r="V77" s="79">
        <f t="shared" si="19"/>
        <v>-0.2023283298961166</v>
      </c>
    </row>
    <row r="78" spans="1:22">
      <c r="A78" s="158">
        <v>67</v>
      </c>
      <c r="B78" s="131" t="s">
        <v>111</v>
      </c>
      <c r="C78" s="132" t="s">
        <v>27</v>
      </c>
      <c r="D78" s="2">
        <v>32749214171.139999</v>
      </c>
      <c r="E78" s="3">
        <f t="shared" si="20"/>
        <v>0.15035055855371335</v>
      </c>
      <c r="F78" s="15">
        <v>1659.58</v>
      </c>
      <c r="G78" s="15">
        <v>1659.58</v>
      </c>
      <c r="H78" s="58">
        <v>2321</v>
      </c>
      <c r="I78" s="5">
        <v>1.6999999999999999E-3</v>
      </c>
      <c r="J78" s="5">
        <v>7.2499999999999995E-2</v>
      </c>
      <c r="K78" s="2">
        <v>32161907750.27</v>
      </c>
      <c r="L78" s="3">
        <f t="shared" si="14"/>
        <v>0.1483509864385012</v>
      </c>
      <c r="M78" s="15">
        <v>1661.7</v>
      </c>
      <c r="N78" s="15">
        <v>1661.7</v>
      </c>
      <c r="O78" s="58">
        <v>2322</v>
      </c>
      <c r="P78" s="5">
        <v>1.2999999999999999E-3</v>
      </c>
      <c r="Q78" s="5">
        <v>7.3899999999999993E-2</v>
      </c>
      <c r="R78" s="76">
        <f t="shared" si="15"/>
        <v>-1.7933450793685253E-2</v>
      </c>
      <c r="S78" s="76">
        <f t="shared" si="16"/>
        <v>1.2774316393305042E-3</v>
      </c>
      <c r="T78" s="76">
        <f t="shared" si="17"/>
        <v>4.3084877208099956E-4</v>
      </c>
      <c r="U78" s="77">
        <f t="shared" si="18"/>
        <v>-3.9999999999999996E-4</v>
      </c>
      <c r="V78" s="79">
        <f t="shared" si="19"/>
        <v>1.3999999999999985E-3</v>
      </c>
    </row>
    <row r="79" spans="1:22">
      <c r="A79" s="156">
        <v>68</v>
      </c>
      <c r="B79" s="131" t="s">
        <v>112</v>
      </c>
      <c r="C79" s="132" t="s">
        <v>72</v>
      </c>
      <c r="D79" s="2">
        <v>22828424.489999998</v>
      </c>
      <c r="E79" s="3">
        <f t="shared" si="20"/>
        <v>1.0480454141697933E-4</v>
      </c>
      <c r="F79" s="14">
        <v>0.69620000000000004</v>
      </c>
      <c r="G79" s="14">
        <v>0.69620000000000004</v>
      </c>
      <c r="H79" s="58">
        <v>746</v>
      </c>
      <c r="I79" s="5">
        <v>-6.7999999999999996E-3</v>
      </c>
      <c r="J79" s="5">
        <v>-8.9200000000000002E-2</v>
      </c>
      <c r="K79" s="2">
        <v>22875806.23</v>
      </c>
      <c r="L79" s="3">
        <f t="shared" si="14"/>
        <v>1.0551763428175437E-4</v>
      </c>
      <c r="M79" s="14">
        <v>0.69769999999999999</v>
      </c>
      <c r="N79" s="14">
        <v>0.69769999999999999</v>
      </c>
      <c r="O79" s="58">
        <v>746</v>
      </c>
      <c r="P79" s="5">
        <v>2.2000000000000001E-3</v>
      </c>
      <c r="Q79" s="5">
        <v>-8.7300000000000003E-2</v>
      </c>
      <c r="R79" s="76">
        <f t="shared" si="15"/>
        <v>2.0755589165059409E-3</v>
      </c>
      <c r="S79" s="76">
        <f t="shared" si="16"/>
        <v>2.1545532892846102E-3</v>
      </c>
      <c r="T79" s="76">
        <f t="shared" si="17"/>
        <v>0</v>
      </c>
      <c r="U79" s="77">
        <f t="shared" si="18"/>
        <v>8.9999999999999993E-3</v>
      </c>
      <c r="V79" s="79">
        <f t="shared" si="19"/>
        <v>1.8999999999999989E-3</v>
      </c>
    </row>
    <row r="80" spans="1:22">
      <c r="A80" s="157">
        <v>69</v>
      </c>
      <c r="B80" s="131" t="s">
        <v>249</v>
      </c>
      <c r="C80" s="132" t="s">
        <v>32</v>
      </c>
      <c r="D80" s="2">
        <v>10303651796.610001</v>
      </c>
      <c r="E80" s="3">
        <f t="shared" si="20"/>
        <v>4.7303724439546134E-2</v>
      </c>
      <c r="F80" s="14">
        <v>1</v>
      </c>
      <c r="G80" s="14">
        <v>1</v>
      </c>
      <c r="H80" s="58">
        <v>5240</v>
      </c>
      <c r="I80" s="5">
        <v>0.06</v>
      </c>
      <c r="J80" s="5">
        <v>0.06</v>
      </c>
      <c r="K80" s="2">
        <v>10401198084.030001</v>
      </c>
      <c r="L80" s="3">
        <f t="shared" si="14"/>
        <v>4.7976880223939623E-2</v>
      </c>
      <c r="M80" s="14">
        <v>1</v>
      </c>
      <c r="N80" s="14">
        <v>1</v>
      </c>
      <c r="O80" s="58">
        <v>5240</v>
      </c>
      <c r="P80" s="5">
        <v>0.06</v>
      </c>
      <c r="Q80" s="5">
        <v>0.06</v>
      </c>
      <c r="R80" s="76">
        <f>((K80-D80)/D80)</f>
        <v>9.4671568241556578E-3</v>
      </c>
      <c r="S80" s="76">
        <f>((N80-G80)/G80)</f>
        <v>0</v>
      </c>
      <c r="T80" s="76">
        <f>((O80-H80)/H80)</f>
        <v>0</v>
      </c>
      <c r="U80" s="77">
        <f>P80-I80</f>
        <v>0</v>
      </c>
      <c r="V80" s="79">
        <f>Q80-J80</f>
        <v>0</v>
      </c>
    </row>
    <row r="81" spans="1:22">
      <c r="A81" s="163">
        <v>70</v>
      </c>
      <c r="B81" s="131" t="s">
        <v>113</v>
      </c>
      <c r="C81" s="132" t="s">
        <v>114</v>
      </c>
      <c r="D81" s="2">
        <v>1182856407.77</v>
      </c>
      <c r="E81" s="3">
        <f t="shared" si="20"/>
        <v>5.4304546261076808E-3</v>
      </c>
      <c r="F81" s="2">
        <v>226.25</v>
      </c>
      <c r="G81" s="2">
        <v>228.28</v>
      </c>
      <c r="H81" s="58">
        <v>491</v>
      </c>
      <c r="I81" s="5">
        <v>2.3999999999999998E-3</v>
      </c>
      <c r="J81" s="5">
        <v>9.2100000000000001E-2</v>
      </c>
      <c r="K81" s="2">
        <v>1182284287.24</v>
      </c>
      <c r="L81" s="3">
        <f t="shared" si="14"/>
        <v>5.4534401884577845E-3</v>
      </c>
      <c r="M81" s="2">
        <v>227.15</v>
      </c>
      <c r="N81" s="2">
        <v>229.28</v>
      </c>
      <c r="O81" s="58">
        <v>491</v>
      </c>
      <c r="P81" s="5">
        <v>2.5999999999999999E-3</v>
      </c>
      <c r="Q81" s="5">
        <v>9.2100000000000001E-2</v>
      </c>
      <c r="R81" s="76">
        <f t="shared" si="15"/>
        <v>-4.8367707715137737E-4</v>
      </c>
      <c r="S81" s="76">
        <f t="shared" si="16"/>
        <v>4.3805852461888907E-3</v>
      </c>
      <c r="T81" s="76">
        <f t="shared" si="17"/>
        <v>0</v>
      </c>
      <c r="U81" s="77">
        <f t="shared" si="18"/>
        <v>2.0000000000000009E-4</v>
      </c>
      <c r="V81" s="79">
        <f t="shared" si="19"/>
        <v>0</v>
      </c>
    </row>
    <row r="82" spans="1:22">
      <c r="A82" s="158">
        <v>71</v>
      </c>
      <c r="B82" s="131" t="s">
        <v>115</v>
      </c>
      <c r="C82" s="132" t="s">
        <v>34</v>
      </c>
      <c r="D82" s="2">
        <v>1058781075.4400001</v>
      </c>
      <c r="E82" s="3">
        <f t="shared" si="20"/>
        <v>4.8608288811640811E-3</v>
      </c>
      <c r="F82" s="14">
        <v>3.5</v>
      </c>
      <c r="G82" s="14">
        <v>3.5</v>
      </c>
      <c r="H82" s="59">
        <v>772</v>
      </c>
      <c r="I82" s="12">
        <v>2.5000000000000001E-3</v>
      </c>
      <c r="J82" s="12">
        <v>-3.73E-2</v>
      </c>
      <c r="K82" s="2">
        <v>1052313119.1900001</v>
      </c>
      <c r="L82" s="3">
        <f t="shared" si="14"/>
        <v>4.8539312557633347E-3</v>
      </c>
      <c r="M82" s="14">
        <v>3.5</v>
      </c>
      <c r="N82" s="14">
        <v>3.5</v>
      </c>
      <c r="O82" s="59">
        <v>771</v>
      </c>
      <c r="P82" s="12">
        <v>1.6999999999999999E-3</v>
      </c>
      <c r="Q82" s="12">
        <v>-3.3599999999999998E-2</v>
      </c>
      <c r="R82" s="76">
        <f t="shared" si="15"/>
        <v>-6.108870284928446E-3</v>
      </c>
      <c r="S82" s="76">
        <f t="shared" si="16"/>
        <v>0</v>
      </c>
      <c r="T82" s="76">
        <f t="shared" si="17"/>
        <v>-1.2953367875647669E-3</v>
      </c>
      <c r="U82" s="77">
        <f t="shared" si="18"/>
        <v>-8.0000000000000015E-4</v>
      </c>
      <c r="V82" s="79">
        <f t="shared" si="19"/>
        <v>3.7000000000000019E-3</v>
      </c>
    </row>
    <row r="83" spans="1:22">
      <c r="A83" s="157">
        <v>72</v>
      </c>
      <c r="B83" s="131" t="s">
        <v>256</v>
      </c>
      <c r="C83" s="132" t="s">
        <v>36</v>
      </c>
      <c r="D83" s="2">
        <v>528003479.11000001</v>
      </c>
      <c r="E83" s="3">
        <f t="shared" si="20"/>
        <v>2.4240465004027609E-3</v>
      </c>
      <c r="F83" s="14">
        <v>105.87666</v>
      </c>
      <c r="G83" s="14">
        <v>105.68</v>
      </c>
      <c r="H83" s="59">
        <v>62</v>
      </c>
      <c r="I83" s="12">
        <v>0.14019999999999999</v>
      </c>
      <c r="J83" s="12">
        <v>0.16420000000000001</v>
      </c>
      <c r="K83" s="2">
        <v>528510189.60000002</v>
      </c>
      <c r="L83" s="3">
        <f t="shared" si="14"/>
        <v>2.4378220526828382E-3</v>
      </c>
      <c r="M83" s="14">
        <v>106.16</v>
      </c>
      <c r="N83" s="14">
        <v>106.16</v>
      </c>
      <c r="O83" s="59">
        <v>61</v>
      </c>
      <c r="P83" s="12">
        <v>0.14019999999999999</v>
      </c>
      <c r="Q83" s="12">
        <v>0.16420000000000001</v>
      </c>
      <c r="R83" s="76">
        <f>((K83-D83)/D83)</f>
        <v>9.5967263483588813E-4</v>
      </c>
      <c r="S83" s="76">
        <f>((N83-G83)/G83)</f>
        <v>4.542013626040781E-3</v>
      </c>
      <c r="T83" s="76">
        <f>((O83-H83)/H83)</f>
        <v>-1.6129032258064516E-2</v>
      </c>
      <c r="U83" s="77">
        <f>P83-I83</f>
        <v>0</v>
      </c>
      <c r="V83" s="79">
        <f>Q83-J83</f>
        <v>0</v>
      </c>
    </row>
    <row r="84" spans="1:22">
      <c r="A84" s="162">
        <v>73</v>
      </c>
      <c r="B84" s="132" t="s">
        <v>116</v>
      </c>
      <c r="C84" s="164" t="s">
        <v>40</v>
      </c>
      <c r="D84" s="2">
        <v>1767455802.4000001</v>
      </c>
      <c r="E84" s="3">
        <f t="shared" si="20"/>
        <v>8.114331101844308E-3</v>
      </c>
      <c r="F84" s="14">
        <v>98.52</v>
      </c>
      <c r="G84" s="14">
        <v>98.52</v>
      </c>
      <c r="H84" s="58">
        <v>139</v>
      </c>
      <c r="I84" s="5">
        <v>2.0999999999999999E-3</v>
      </c>
      <c r="J84" s="5">
        <v>6.8000000000000005E-2</v>
      </c>
      <c r="K84" s="2">
        <v>1806095649.77</v>
      </c>
      <c r="L84" s="3">
        <f t="shared" si="14"/>
        <v>8.330851307892826E-3</v>
      </c>
      <c r="M84" s="14">
        <v>98.72</v>
      </c>
      <c r="N84" s="14">
        <v>98.72</v>
      </c>
      <c r="O84" s="58">
        <v>139</v>
      </c>
      <c r="P84" s="5">
        <v>2.0999999999999999E-3</v>
      </c>
      <c r="Q84" s="5">
        <v>7.0000000000000007E-2</v>
      </c>
      <c r="R84" s="76">
        <f t="shared" si="15"/>
        <v>2.1861846456093244E-2</v>
      </c>
      <c r="S84" s="76">
        <f t="shared" si="16"/>
        <v>2.0300446609825707E-3</v>
      </c>
      <c r="T84" s="76">
        <f t="shared" si="17"/>
        <v>0</v>
      </c>
      <c r="U84" s="77">
        <f t="shared" si="18"/>
        <v>0</v>
      </c>
      <c r="V84" s="79">
        <f t="shared" si="19"/>
        <v>2.0000000000000018E-3</v>
      </c>
    </row>
    <row r="85" spans="1:22">
      <c r="A85" s="159">
        <v>74</v>
      </c>
      <c r="B85" s="131" t="s">
        <v>117</v>
      </c>
      <c r="C85" s="132" t="s">
        <v>17</v>
      </c>
      <c r="D85" s="2">
        <v>1285567520.03</v>
      </c>
      <c r="E85" s="3">
        <f t="shared" si="20"/>
        <v>5.9019979436744545E-3</v>
      </c>
      <c r="F85" s="14">
        <v>337.7244</v>
      </c>
      <c r="G85" s="14">
        <v>337.7244</v>
      </c>
      <c r="H85" s="58">
        <v>105</v>
      </c>
      <c r="I85" s="5">
        <v>2.3999999999999998E-3</v>
      </c>
      <c r="J85" s="5">
        <v>6.7900000000000002E-2</v>
      </c>
      <c r="K85" s="2">
        <v>1288697848.29</v>
      </c>
      <c r="L85" s="3">
        <f t="shared" si="14"/>
        <v>5.9442865920598413E-3</v>
      </c>
      <c r="M85" s="14">
        <v>338.54320000000001</v>
      </c>
      <c r="N85" s="14">
        <v>338.54320000000001</v>
      </c>
      <c r="O85" s="58">
        <v>105</v>
      </c>
      <c r="P85" s="5">
        <v>2.3999999999999998E-3</v>
      </c>
      <c r="Q85" s="5">
        <v>7.0300000000000001E-2</v>
      </c>
      <c r="R85" s="76">
        <f t="shared" si="15"/>
        <v>2.434977713132439E-3</v>
      </c>
      <c r="S85" s="76">
        <f t="shared" si="16"/>
        <v>2.4244620761781207E-3</v>
      </c>
      <c r="T85" s="76">
        <f t="shared" si="17"/>
        <v>0</v>
      </c>
      <c r="U85" s="77">
        <f t="shared" si="18"/>
        <v>0</v>
      </c>
      <c r="V85" s="79">
        <f t="shared" si="19"/>
        <v>2.3999999999999994E-3</v>
      </c>
    </row>
    <row r="86" spans="1:22">
      <c r="A86" s="157">
        <v>75</v>
      </c>
      <c r="B86" s="131" t="s">
        <v>250</v>
      </c>
      <c r="C86" s="132" t="s">
        <v>78</v>
      </c>
      <c r="D86" s="9">
        <v>1545509439.1800001</v>
      </c>
      <c r="E86" s="3">
        <f>(D86/$K$61)</f>
        <v>1.2247155514975004E-3</v>
      </c>
      <c r="F86" s="14">
        <v>102.66</v>
      </c>
      <c r="G86" s="14">
        <v>102.66</v>
      </c>
      <c r="H86" s="58">
        <v>376</v>
      </c>
      <c r="I86" s="5">
        <v>2.5999999999999999E-3</v>
      </c>
      <c r="J86" s="5">
        <v>8.3000000000000004E-2</v>
      </c>
      <c r="K86" s="9">
        <v>1534161261.49</v>
      </c>
      <c r="L86" s="3">
        <f>(K86/$K$61)</f>
        <v>1.2157228599320097E-3</v>
      </c>
      <c r="M86" s="14">
        <v>102.93</v>
      </c>
      <c r="N86" s="14">
        <v>102.93</v>
      </c>
      <c r="O86" s="58">
        <v>376</v>
      </c>
      <c r="P86" s="5">
        <v>2.5999999999999999E-3</v>
      </c>
      <c r="Q86" s="5">
        <v>8.5699999999999998E-2</v>
      </c>
      <c r="R86" s="76">
        <f t="shared" si="15"/>
        <v>-7.3426776972782852E-3</v>
      </c>
      <c r="S86" s="76">
        <f t="shared" si="16"/>
        <v>2.6300409117476159E-3</v>
      </c>
      <c r="T86" s="76">
        <f t="shared" si="17"/>
        <v>0</v>
      </c>
      <c r="U86" s="77">
        <f t="shared" si="18"/>
        <v>0</v>
      </c>
      <c r="V86" s="79">
        <f t="shared" si="19"/>
        <v>2.6999999999999941E-3</v>
      </c>
    </row>
    <row r="87" spans="1:22">
      <c r="A87" s="158">
        <v>76</v>
      </c>
      <c r="B87" s="131" t="s">
        <v>118</v>
      </c>
      <c r="C87" s="132" t="s">
        <v>38</v>
      </c>
      <c r="D87" s="2">
        <v>57580946.909999996</v>
      </c>
      <c r="E87" s="3">
        <f t="shared" ref="E87:E98" si="21">(D87/$D$99)</f>
        <v>2.6435222184962898E-4</v>
      </c>
      <c r="F87" s="2">
        <v>12.578944</v>
      </c>
      <c r="G87" s="2">
        <v>12.785176999999999</v>
      </c>
      <c r="H87" s="58">
        <v>56</v>
      </c>
      <c r="I87" s="5">
        <v>5.9999999999999995E-4</v>
      </c>
      <c r="J87" s="5">
        <v>7.85E-2</v>
      </c>
      <c r="K87" s="2">
        <v>57691987.829999998</v>
      </c>
      <c r="L87" s="3">
        <f t="shared" ref="L87:L98" si="22">(K87/$K$99)</f>
        <v>2.6611180439402434E-4</v>
      </c>
      <c r="M87" s="2">
        <v>12.6</v>
      </c>
      <c r="N87" s="2">
        <v>12.82</v>
      </c>
      <c r="O87" s="58">
        <v>56</v>
      </c>
      <c r="P87" s="5">
        <v>5.0000000000000001E-4</v>
      </c>
      <c r="Q87" s="5">
        <v>7.9500000000000001E-2</v>
      </c>
      <c r="R87" s="76">
        <f t="shared" si="15"/>
        <v>1.9284316420422999E-3</v>
      </c>
      <c r="S87" s="76">
        <f t="shared" si="16"/>
        <v>2.7237010484877262E-3</v>
      </c>
      <c r="T87" s="76">
        <f t="shared" si="17"/>
        <v>0</v>
      </c>
      <c r="U87" s="77">
        <f t="shared" si="18"/>
        <v>-9.9999999999999937E-5</v>
      </c>
      <c r="V87" s="79">
        <f t="shared" si="19"/>
        <v>1.0000000000000009E-3</v>
      </c>
    </row>
    <row r="88" spans="1:22">
      <c r="A88" s="154">
        <v>77</v>
      </c>
      <c r="B88" s="131" t="s">
        <v>234</v>
      </c>
      <c r="C88" s="132" t="s">
        <v>235</v>
      </c>
      <c r="D88" s="2">
        <v>302114744.42000002</v>
      </c>
      <c r="E88" s="3">
        <f t="shared" si="21"/>
        <v>1.3869987943371217E-3</v>
      </c>
      <c r="F88" s="2">
        <v>123.46</v>
      </c>
      <c r="G88" s="2">
        <v>123.46</v>
      </c>
      <c r="H88" s="58">
        <v>86</v>
      </c>
      <c r="I88" s="5">
        <v>8.3099999999999993E-2</v>
      </c>
      <c r="J88" s="5">
        <v>0.1709</v>
      </c>
      <c r="K88" s="2">
        <v>303187284.57999998</v>
      </c>
      <c r="L88" s="3">
        <f t="shared" si="22"/>
        <v>1.398490820019095E-3</v>
      </c>
      <c r="M88" s="2">
        <v>123.8</v>
      </c>
      <c r="N88" s="2">
        <v>123.8</v>
      </c>
      <c r="O88" s="58">
        <v>87</v>
      </c>
      <c r="P88" s="5">
        <v>0.1384</v>
      </c>
      <c r="Q88" s="5">
        <v>0.1704</v>
      </c>
      <c r="R88" s="76">
        <f>((K88-D88)/D88)</f>
        <v>3.5501086253139666E-3</v>
      </c>
      <c r="S88" s="76">
        <f>((N88-G88)/G88)</f>
        <v>2.7539283978616834E-3</v>
      </c>
      <c r="T88" s="76">
        <f>((O88-H88)/H88)</f>
        <v>1.1627906976744186E-2</v>
      </c>
      <c r="U88" s="77">
        <f t="shared" si="18"/>
        <v>5.5300000000000002E-2</v>
      </c>
      <c r="V88" s="79">
        <f t="shared" si="19"/>
        <v>-5.0000000000000044E-4</v>
      </c>
    </row>
    <row r="89" spans="1:22">
      <c r="A89" s="158">
        <v>78</v>
      </c>
      <c r="B89" s="131" t="s">
        <v>119</v>
      </c>
      <c r="C89" s="132" t="s">
        <v>120</v>
      </c>
      <c r="D89" s="2">
        <v>7315953449.9867105</v>
      </c>
      <c r="E89" s="3">
        <f t="shared" si="21"/>
        <v>3.3587300196283726E-2</v>
      </c>
      <c r="F89" s="2">
        <v>1.08</v>
      </c>
      <c r="G89" s="2">
        <v>1.08</v>
      </c>
      <c r="H89" s="58">
        <v>4515</v>
      </c>
      <c r="I89" s="5">
        <v>0.17019999999999999</v>
      </c>
      <c r="J89" s="5">
        <v>0.17019999999999999</v>
      </c>
      <c r="K89" s="2">
        <v>7508362609.1605415</v>
      </c>
      <c r="L89" s="3">
        <f t="shared" si="22"/>
        <v>3.4633299997497008E-2</v>
      </c>
      <c r="M89" s="2">
        <v>1.0900000000000001</v>
      </c>
      <c r="N89" s="2">
        <v>1.0900000000000001</v>
      </c>
      <c r="O89" s="58">
        <v>4526</v>
      </c>
      <c r="P89" s="5">
        <v>0.17030000000000001</v>
      </c>
      <c r="Q89" s="5">
        <v>0.17030000000000001</v>
      </c>
      <c r="R89" s="76">
        <f t="shared" si="15"/>
        <v>2.6299943061308093E-2</v>
      </c>
      <c r="S89" s="76">
        <f t="shared" si="16"/>
        <v>9.2592592592592674E-3</v>
      </c>
      <c r="T89" s="76">
        <f t="shared" si="17"/>
        <v>2.4363233665559247E-3</v>
      </c>
      <c r="U89" s="77">
        <f t="shared" si="18"/>
        <v>1.0000000000001674E-4</v>
      </c>
      <c r="V89" s="79">
        <f t="shared" si="19"/>
        <v>1.0000000000001674E-4</v>
      </c>
    </row>
    <row r="90" spans="1:22" ht="14.25" customHeight="1">
      <c r="A90" s="163">
        <v>79</v>
      </c>
      <c r="B90" s="131" t="s">
        <v>121</v>
      </c>
      <c r="C90" s="132" t="s">
        <v>42</v>
      </c>
      <c r="D90" s="2">
        <v>13478750175.879999</v>
      </c>
      <c r="E90" s="3">
        <f t="shared" si="21"/>
        <v>6.188049603142512E-2</v>
      </c>
      <c r="F90" s="2">
        <v>5163.97</v>
      </c>
      <c r="G90" s="2">
        <v>5163.97</v>
      </c>
      <c r="H90" s="58">
        <v>332</v>
      </c>
      <c r="I90" s="5">
        <v>1E-4</v>
      </c>
      <c r="J90" s="5">
        <v>3.04E-2</v>
      </c>
      <c r="K90" s="2">
        <v>13389545551.66</v>
      </c>
      <c r="L90" s="3">
        <f t="shared" si="22"/>
        <v>6.176102195104801E-2</v>
      </c>
      <c r="M90" s="2">
        <v>5164.32</v>
      </c>
      <c r="N90" s="2">
        <v>5164.32</v>
      </c>
      <c r="O90" s="58">
        <v>330</v>
      </c>
      <c r="P90" s="5">
        <v>1E-4</v>
      </c>
      <c r="Q90" s="5">
        <v>3.0499999999999999E-2</v>
      </c>
      <c r="R90" s="76">
        <f t="shared" si="15"/>
        <v>-6.618167341630051E-3</v>
      </c>
      <c r="S90" s="76">
        <f t="shared" si="16"/>
        <v>6.7777310867308348E-5</v>
      </c>
      <c r="T90" s="76">
        <f t="shared" si="17"/>
        <v>-6.024096385542169E-3</v>
      </c>
      <c r="U90" s="77">
        <f t="shared" si="18"/>
        <v>0</v>
      </c>
      <c r="V90" s="79">
        <f t="shared" si="19"/>
        <v>9.9999999999999395E-5</v>
      </c>
    </row>
    <row r="91" spans="1:22">
      <c r="A91" s="163">
        <v>80</v>
      </c>
      <c r="B91" s="131" t="s">
        <v>122</v>
      </c>
      <c r="C91" s="132" t="s">
        <v>42</v>
      </c>
      <c r="D91" s="2">
        <v>25376777292.900002</v>
      </c>
      <c r="E91" s="3">
        <f t="shared" si="21"/>
        <v>0.11650394480741492</v>
      </c>
      <c r="F91" s="14">
        <v>258.39</v>
      </c>
      <c r="G91" s="14">
        <v>258.39</v>
      </c>
      <c r="H91" s="58">
        <v>6493</v>
      </c>
      <c r="I91" s="5">
        <v>0</v>
      </c>
      <c r="J91" s="5">
        <v>1.01E-2</v>
      </c>
      <c r="K91" s="2">
        <v>25329206378.389999</v>
      </c>
      <c r="L91" s="3">
        <f t="shared" si="22"/>
        <v>0.11683426185770922</v>
      </c>
      <c r="M91" s="14">
        <v>258.39999999999998</v>
      </c>
      <c r="N91" s="14">
        <v>258.39999999999998</v>
      </c>
      <c r="O91" s="58">
        <v>6491</v>
      </c>
      <c r="P91" s="5">
        <v>0</v>
      </c>
      <c r="Q91" s="5">
        <v>1.01E-2</v>
      </c>
      <c r="R91" s="76">
        <f t="shared" si="15"/>
        <v>-1.8745845447960677E-3</v>
      </c>
      <c r="S91" s="76">
        <f t="shared" si="16"/>
        <v>3.8701188126440289E-5</v>
      </c>
      <c r="T91" s="76">
        <f t="shared" si="17"/>
        <v>-3.0802402587401816E-4</v>
      </c>
      <c r="U91" s="77">
        <f t="shared" si="18"/>
        <v>0</v>
      </c>
      <c r="V91" s="79">
        <f t="shared" si="19"/>
        <v>0</v>
      </c>
    </row>
    <row r="92" spans="1:22" ht="12.75" customHeight="1">
      <c r="A92" s="163">
        <v>81</v>
      </c>
      <c r="B92" s="131" t="s">
        <v>123</v>
      </c>
      <c r="C92" s="132" t="s">
        <v>42</v>
      </c>
      <c r="D92" s="2">
        <v>351643638.74000001</v>
      </c>
      <c r="E92" s="3">
        <f t="shared" si="21"/>
        <v>1.6143843091969618E-3</v>
      </c>
      <c r="F92" s="2">
        <v>6096.33</v>
      </c>
      <c r="G92" s="7">
        <v>6126.99</v>
      </c>
      <c r="H92" s="58">
        <v>15</v>
      </c>
      <c r="I92" s="5">
        <v>1.1599999999999999E-2</v>
      </c>
      <c r="J92" s="5">
        <v>0.15409999999999999</v>
      </c>
      <c r="K92" s="2">
        <v>354140985.08999997</v>
      </c>
      <c r="L92" s="3">
        <f t="shared" si="22"/>
        <v>1.6335213969377483E-3</v>
      </c>
      <c r="M92" s="2">
        <v>6139.19</v>
      </c>
      <c r="N92" s="7">
        <v>6170.8</v>
      </c>
      <c r="O92" s="58">
        <v>15</v>
      </c>
      <c r="P92" s="5">
        <v>7.1999999999999998E-3</v>
      </c>
      <c r="Q92" s="5">
        <v>0.1623</v>
      </c>
      <c r="R92" s="76">
        <f t="shared" si="15"/>
        <v>7.1019238651618671E-3</v>
      </c>
      <c r="S92" s="76">
        <f t="shared" si="16"/>
        <v>7.1503299336216318E-3</v>
      </c>
      <c r="T92" s="76">
        <f t="shared" si="17"/>
        <v>0</v>
      </c>
      <c r="U92" s="77">
        <f t="shared" si="18"/>
        <v>-4.3999999999999994E-3</v>
      </c>
      <c r="V92" s="79">
        <f t="shared" si="19"/>
        <v>8.2000000000000128E-3</v>
      </c>
    </row>
    <row r="93" spans="1:22" ht="12.75" customHeight="1">
      <c r="A93" s="163">
        <v>82</v>
      </c>
      <c r="B93" s="131" t="s">
        <v>124</v>
      </c>
      <c r="C93" s="132" t="s">
        <v>42</v>
      </c>
      <c r="D93" s="2">
        <v>11168364706.99</v>
      </c>
      <c r="E93" s="3">
        <f t="shared" si="21"/>
        <v>5.1273592796839733E-2</v>
      </c>
      <c r="F93" s="14">
        <v>133.36000000000001</v>
      </c>
      <c r="G93" s="14">
        <v>133.36000000000001</v>
      </c>
      <c r="H93" s="58">
        <v>4436</v>
      </c>
      <c r="I93" s="5">
        <v>2.5000000000000001E-3</v>
      </c>
      <c r="J93" s="5">
        <v>5.91E-2</v>
      </c>
      <c r="K93" s="2">
        <v>10623399197.58</v>
      </c>
      <c r="L93" s="3">
        <f t="shared" si="22"/>
        <v>4.9001811787043152E-2</v>
      </c>
      <c r="M93" s="14">
        <v>133.58000000000001</v>
      </c>
      <c r="N93" s="14">
        <v>133.58000000000001</v>
      </c>
      <c r="O93" s="58">
        <v>4440</v>
      </c>
      <c r="P93" s="5">
        <v>1.6000000000000001E-3</v>
      </c>
      <c r="Q93" s="5">
        <v>6.08E-2</v>
      </c>
      <c r="R93" s="76">
        <f t="shared" si="15"/>
        <v>-4.8795461440198099E-2</v>
      </c>
      <c r="S93" s="76">
        <f t="shared" si="16"/>
        <v>1.6496700659867939E-3</v>
      </c>
      <c r="T93" s="76">
        <f t="shared" si="17"/>
        <v>9.0171325518485117E-4</v>
      </c>
      <c r="U93" s="77">
        <f t="shared" si="18"/>
        <v>-8.9999999999999998E-4</v>
      </c>
      <c r="V93" s="79">
        <f t="shared" si="19"/>
        <v>1.7000000000000001E-3</v>
      </c>
    </row>
    <row r="94" spans="1:22" ht="12.75" customHeight="1">
      <c r="A94" s="163">
        <v>83</v>
      </c>
      <c r="B94" s="131" t="s">
        <v>125</v>
      </c>
      <c r="C94" s="132" t="s">
        <v>42</v>
      </c>
      <c r="D94" s="2">
        <v>9234595693.6800003</v>
      </c>
      <c r="E94" s="3">
        <f t="shared" si="21"/>
        <v>4.2395723247186941E-2</v>
      </c>
      <c r="F94" s="14">
        <v>358.13</v>
      </c>
      <c r="G94" s="14">
        <v>358.65</v>
      </c>
      <c r="H94" s="58">
        <v>10202</v>
      </c>
      <c r="I94" s="5">
        <v>-2.7000000000000001E-3</v>
      </c>
      <c r="J94" s="5">
        <v>1.4999999999999999E-2</v>
      </c>
      <c r="K94" s="2">
        <v>9142707412.3999996</v>
      </c>
      <c r="L94" s="3">
        <f t="shared" si="22"/>
        <v>4.2171928166691242E-2</v>
      </c>
      <c r="M94" s="14">
        <v>358.62</v>
      </c>
      <c r="N94" s="14">
        <v>359.17</v>
      </c>
      <c r="O94" s="58">
        <v>10208</v>
      </c>
      <c r="P94" s="5">
        <v>1.4E-3</v>
      </c>
      <c r="Q94" s="5">
        <v>1.6500000000000001E-2</v>
      </c>
      <c r="R94" s="76">
        <f>((K94-D94)/D94)</f>
        <v>-9.9504390152010073E-3</v>
      </c>
      <c r="S94" s="76">
        <f t="shared" si="16"/>
        <v>1.4498815000698138E-3</v>
      </c>
      <c r="T94" s="76">
        <f t="shared" si="17"/>
        <v>5.8811997647520095E-4</v>
      </c>
      <c r="U94" s="77">
        <f t="shared" si="18"/>
        <v>4.1000000000000003E-3</v>
      </c>
      <c r="V94" s="79">
        <f t="shared" si="19"/>
        <v>1.5000000000000013E-3</v>
      </c>
    </row>
    <row r="95" spans="1:22">
      <c r="A95" s="155">
        <v>84</v>
      </c>
      <c r="B95" s="131" t="s">
        <v>126</v>
      </c>
      <c r="C95" s="132" t="s">
        <v>45</v>
      </c>
      <c r="D95" s="2">
        <v>85933010410.899994</v>
      </c>
      <c r="E95" s="3">
        <f t="shared" si="21"/>
        <v>0.39451560718261752</v>
      </c>
      <c r="F95" s="2">
        <v>1.9083000000000001</v>
      </c>
      <c r="G95" s="2">
        <v>1.9083000000000001</v>
      </c>
      <c r="H95" s="58">
        <v>6222</v>
      </c>
      <c r="I95" s="5">
        <v>7.9600000000000004E-2</v>
      </c>
      <c r="J95" s="5">
        <v>5.5500000000000001E-2</v>
      </c>
      <c r="K95" s="2">
        <v>86048780715.139999</v>
      </c>
      <c r="L95" s="3">
        <f t="shared" si="22"/>
        <v>0.39691120315504702</v>
      </c>
      <c r="M95" s="2">
        <v>1.9111</v>
      </c>
      <c r="N95" s="2">
        <v>1.9111</v>
      </c>
      <c r="O95" s="58">
        <v>6292</v>
      </c>
      <c r="P95" s="5">
        <v>7.9399999999999998E-2</v>
      </c>
      <c r="Q95" s="5">
        <v>5.6099999999999997E-2</v>
      </c>
      <c r="R95" s="76">
        <f t="shared" si="15"/>
        <v>1.3472157403358099E-3</v>
      </c>
      <c r="S95" s="76">
        <f t="shared" si="16"/>
        <v>1.467274537546462E-3</v>
      </c>
      <c r="T95" s="76">
        <f t="shared" si="17"/>
        <v>1.1250401800064288E-2</v>
      </c>
      <c r="U95" s="77">
        <f t="shared" si="18"/>
        <v>-2.0000000000000573E-4</v>
      </c>
      <c r="V95" s="79">
        <f t="shared" si="19"/>
        <v>5.9999999999999637E-4</v>
      </c>
    </row>
    <row r="96" spans="1:22">
      <c r="A96" s="162">
        <v>85</v>
      </c>
      <c r="B96" s="131" t="s">
        <v>239</v>
      </c>
      <c r="C96" s="131" t="s">
        <v>240</v>
      </c>
      <c r="D96" s="2">
        <v>86945907.579999998</v>
      </c>
      <c r="E96" s="3">
        <f t="shared" si="21"/>
        <v>3.9916578456812145E-4</v>
      </c>
      <c r="F96" s="2">
        <v>106.93447761438725</v>
      </c>
      <c r="G96" s="2">
        <v>106.93447761438725</v>
      </c>
      <c r="H96" s="58">
        <v>56</v>
      </c>
      <c r="I96" s="5">
        <v>-4.2753181763377631E-3</v>
      </c>
      <c r="J96" s="5">
        <v>5.2515060329208385E-2</v>
      </c>
      <c r="K96" s="2">
        <v>86867461.829999998</v>
      </c>
      <c r="L96" s="3">
        <f t="shared" si="22"/>
        <v>4.0068747637587402E-4</v>
      </c>
      <c r="M96" s="2">
        <v>106.8379974518264</v>
      </c>
      <c r="N96" s="2">
        <v>106.8379974518264</v>
      </c>
      <c r="O96" s="58">
        <v>56</v>
      </c>
      <c r="P96" s="5">
        <v>-9.0223625451059267E-4</v>
      </c>
      <c r="Q96" s="5">
        <v>5.1565443083360973E-2</v>
      </c>
      <c r="R96" s="76">
        <f>((K96-D96)/D96)</f>
        <v>-9.0223625451055418E-4</v>
      </c>
      <c r="S96" s="76">
        <f>((N96-G96)/G96)</f>
        <v>-9.0223625451059267E-4</v>
      </c>
      <c r="T96" s="76">
        <f>((O96-H96)/H96)</f>
        <v>0</v>
      </c>
      <c r="U96" s="77">
        <f>P96-I96</f>
        <v>3.3730819218271706E-3</v>
      </c>
      <c r="V96" s="79">
        <f>Q96-J96</f>
        <v>-9.496172458474117E-4</v>
      </c>
    </row>
    <row r="97" spans="1:28">
      <c r="A97" s="162">
        <v>86</v>
      </c>
      <c r="B97" s="131" t="s">
        <v>260</v>
      </c>
      <c r="C97" s="132" t="s">
        <v>259</v>
      </c>
      <c r="D97" s="2">
        <v>237590626.72</v>
      </c>
      <c r="E97" s="3">
        <f t="shared" si="21"/>
        <v>1.090770705147437E-3</v>
      </c>
      <c r="F97" s="2">
        <v>1</v>
      </c>
      <c r="G97" s="2">
        <v>1</v>
      </c>
      <c r="H97" s="58">
        <v>302</v>
      </c>
      <c r="I97" s="5">
        <v>2.6098E-2</v>
      </c>
      <c r="J97" s="5">
        <v>-3.6961000000000001E-2</v>
      </c>
      <c r="K97" s="2">
        <v>240832927.68000001</v>
      </c>
      <c r="L97" s="3">
        <f t="shared" si="22"/>
        <v>1.1108732313275256E-3</v>
      </c>
      <c r="M97" s="2">
        <v>1</v>
      </c>
      <c r="N97" s="2">
        <v>1</v>
      </c>
      <c r="O97" s="58">
        <v>305</v>
      </c>
      <c r="P97" s="5">
        <v>1.3899999999999999E-2</v>
      </c>
      <c r="Q97" s="5">
        <v>-2.3599999999999999E-2</v>
      </c>
      <c r="R97" s="76">
        <f>((K97-D97)/D97)</f>
        <v>1.3646586166974728E-2</v>
      </c>
      <c r="S97" s="76">
        <f>((N97-G97)/G97)</f>
        <v>0</v>
      </c>
      <c r="T97" s="76">
        <f>((O97-H97)/H97)</f>
        <v>9.9337748344370865E-3</v>
      </c>
      <c r="U97" s="77">
        <f>P97-I97</f>
        <v>-1.2198000000000001E-2</v>
      </c>
      <c r="V97" s="79">
        <f>Q97-J97</f>
        <v>1.3361000000000001E-2</v>
      </c>
    </row>
    <row r="98" spans="1:28">
      <c r="A98" s="165">
        <v>87</v>
      </c>
      <c r="B98" s="131" t="s">
        <v>127</v>
      </c>
      <c r="C98" s="132" t="s">
        <v>91</v>
      </c>
      <c r="D98" s="2">
        <v>2540705364.1300001</v>
      </c>
      <c r="E98" s="3">
        <f t="shared" si="21"/>
        <v>1.1664294252104307E-2</v>
      </c>
      <c r="F98" s="14">
        <v>27.092700000000001</v>
      </c>
      <c r="G98" s="14">
        <v>27.092700000000001</v>
      </c>
      <c r="H98" s="58">
        <v>1313</v>
      </c>
      <c r="I98" s="5">
        <v>0.13700000000000001</v>
      </c>
      <c r="J98" s="5">
        <v>0.13700000000000001</v>
      </c>
      <c r="K98" s="2">
        <v>2546018796</v>
      </c>
      <c r="L98" s="3">
        <f t="shared" si="22"/>
        <v>1.1743843145448806E-2</v>
      </c>
      <c r="M98" s="14">
        <v>27.153300000000002</v>
      </c>
      <c r="N98" s="14">
        <v>27.153300000000002</v>
      </c>
      <c r="O98" s="58">
        <v>1313</v>
      </c>
      <c r="P98" s="5">
        <v>0.13689999999999999</v>
      </c>
      <c r="Q98" s="5">
        <v>0.13689999999999999</v>
      </c>
      <c r="R98" s="76">
        <f t="shared" si="15"/>
        <v>2.0913215459830918E-3</v>
      </c>
      <c r="S98" s="76">
        <f t="shared" si="16"/>
        <v>2.2367648850059566E-3</v>
      </c>
      <c r="T98" s="76">
        <f t="shared" si="17"/>
        <v>0</v>
      </c>
      <c r="U98" s="77">
        <f t="shared" si="18"/>
        <v>-1.0000000000001674E-4</v>
      </c>
      <c r="V98" s="79">
        <f t="shared" si="19"/>
        <v>-1.0000000000001674E-4</v>
      </c>
    </row>
    <row r="99" spans="1:28">
      <c r="A99" s="71"/>
      <c r="B99" s="129"/>
      <c r="C99" s="68" t="s">
        <v>46</v>
      </c>
      <c r="D99" s="57">
        <f>SUM(D64:D98)</f>
        <v>217819038959.14166</v>
      </c>
      <c r="E99" s="96">
        <f>(D99/$D$202)</f>
        <v>6.6411618930914934E-2</v>
      </c>
      <c r="F99" s="30"/>
      <c r="G99" s="11"/>
      <c r="H99" s="63">
        <f>SUM(H64:H98)</f>
        <v>50149</v>
      </c>
      <c r="I99" s="12"/>
      <c r="J99" s="12"/>
      <c r="K99" s="57">
        <f>SUM(K64:K98)</f>
        <v>216796049169.53281</v>
      </c>
      <c r="L99" s="96">
        <f>(K99/$K$202)</f>
        <v>6.5296957391243277E-2</v>
      </c>
      <c r="M99" s="30"/>
      <c r="N99" s="11"/>
      <c r="O99" s="63">
        <f>SUM(O64:O98)</f>
        <v>50228</v>
      </c>
      <c r="P99" s="12"/>
      <c r="Q99" s="12"/>
      <c r="R99" s="76">
        <f t="shared" si="15"/>
        <v>-4.6965122722846461E-3</v>
      </c>
      <c r="S99" s="76" t="e">
        <f t="shared" si="16"/>
        <v>#DIV/0!</v>
      </c>
      <c r="T99" s="76">
        <f t="shared" si="17"/>
        <v>1.5753055893437556E-3</v>
      </c>
      <c r="U99" s="77">
        <f t="shared" si="18"/>
        <v>0</v>
      </c>
      <c r="V99" s="79">
        <f t="shared" si="19"/>
        <v>0</v>
      </c>
    </row>
    <row r="100" spans="1:28" ht="8.25" customHeight="1">
      <c r="A100" s="167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</row>
    <row r="101" spans="1:28" ht="15" customHeight="1">
      <c r="A101" s="174" t="s">
        <v>128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</row>
    <row r="102" spans="1:28">
      <c r="A102" s="178" t="s">
        <v>228</v>
      </c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Z102" s="110"/>
      <c r="AB102" s="99"/>
    </row>
    <row r="103" spans="1:28" ht="16.5" customHeight="1">
      <c r="A103" s="159">
        <v>88</v>
      </c>
      <c r="B103" s="131" t="s">
        <v>129</v>
      </c>
      <c r="C103" s="132" t="s">
        <v>17</v>
      </c>
      <c r="D103" s="2">
        <f>1825312.55*1578.765</f>
        <v>2881739568.0007501</v>
      </c>
      <c r="E103" s="3">
        <f>(D103/$D$133)</f>
        <v>1.8089589635510933E-3</v>
      </c>
      <c r="F103" s="2">
        <f>109.6899*1578.765</f>
        <v>173174.57497350001</v>
      </c>
      <c r="G103" s="2">
        <f>109.6899*1578.765</f>
        <v>173174.57497350001</v>
      </c>
      <c r="H103" s="58">
        <v>242</v>
      </c>
      <c r="I103" s="5">
        <v>1.1999999999999999E-3</v>
      </c>
      <c r="J103" s="5">
        <v>3.5999999999999997E-2</v>
      </c>
      <c r="K103" s="2">
        <f>1851401.83*1565.429</f>
        <v>2898238115.3350701</v>
      </c>
      <c r="L103" s="3">
        <f t="shared" ref="L103:L115" si="23">(K103/$K$133)</f>
        <v>1.7999084701380969E-3</v>
      </c>
      <c r="M103" s="2">
        <f>109.8121*1565.429</f>
        <v>171903.04589090002</v>
      </c>
      <c r="N103" s="2">
        <f>109.8121*1565.429</f>
        <v>171903.04589090002</v>
      </c>
      <c r="O103" s="58">
        <v>242</v>
      </c>
      <c r="P103" s="5">
        <v>1.1000000000000001E-3</v>
      </c>
      <c r="Q103" s="5">
        <v>3.7100000000000001E-2</v>
      </c>
      <c r="R103" s="77">
        <f>((K103-D103)/D103)</f>
        <v>5.7252041501328942E-3</v>
      </c>
      <c r="S103" s="77">
        <f>((N103-G103)/G103)</f>
        <v>-7.3424697753384036E-3</v>
      </c>
      <c r="T103" s="77">
        <f>((O103-H103)/H103)</f>
        <v>0</v>
      </c>
      <c r="U103" s="77">
        <f>P103-I103</f>
        <v>-9.9999999999999829E-5</v>
      </c>
      <c r="V103" s="79">
        <f>Q103-J103</f>
        <v>1.1000000000000038E-3</v>
      </c>
      <c r="X103" s="110"/>
      <c r="Y103" s="112"/>
      <c r="Z103" s="110"/>
      <c r="AA103" s="100"/>
    </row>
    <row r="104" spans="1:28" ht="16.5" customHeight="1">
      <c r="A104" s="157">
        <v>89</v>
      </c>
      <c r="B104" s="131" t="s">
        <v>266</v>
      </c>
      <c r="C104" s="132" t="s">
        <v>50</v>
      </c>
      <c r="D104" s="2">
        <f>953606.17*1578.765</f>
        <v>1505520044.9800501</v>
      </c>
      <c r="E104" s="3">
        <f>(D104/$D$133)</f>
        <v>9.4506249295175655E-4</v>
      </c>
      <c r="F104" s="2">
        <f>100*1578.765</f>
        <v>157876.5</v>
      </c>
      <c r="G104" s="2">
        <f>100*1578.765</f>
        <v>157876.5</v>
      </c>
      <c r="H104" s="58">
        <v>15</v>
      </c>
      <c r="I104" s="5">
        <v>-9.2230000000000003E-3</v>
      </c>
      <c r="J104" s="5">
        <v>6.7821999999999993E-2</v>
      </c>
      <c r="K104" s="2">
        <f>954826.15*1565.429</f>
        <v>1494712545.1683502</v>
      </c>
      <c r="L104" s="3">
        <f t="shared" si="23"/>
        <v>9.2826940486190898E-4</v>
      </c>
      <c r="M104" s="2">
        <f>100*1565.429</f>
        <v>156542.90000000002</v>
      </c>
      <c r="N104" s="2">
        <f>100*1565.429</f>
        <v>156542.90000000002</v>
      </c>
      <c r="O104" s="58">
        <v>15</v>
      </c>
      <c r="P104" s="5">
        <v>-8.2570000000000005E-3</v>
      </c>
      <c r="Q104" s="5">
        <v>5.9565E-2</v>
      </c>
      <c r="R104" s="77">
        <f>((K104-D104)/D104)</f>
        <v>-7.1785824756940243E-3</v>
      </c>
      <c r="S104" s="77">
        <f>((N104-G104)/G104)</f>
        <v>-8.4471089744197307E-3</v>
      </c>
      <c r="T104" s="77">
        <f>((O104-H104)/H104)</f>
        <v>0</v>
      </c>
      <c r="U104" s="77">
        <f>P104-I104</f>
        <v>9.6599999999999984E-4</v>
      </c>
      <c r="V104" s="79">
        <f>Q104-J104</f>
        <v>-8.2569999999999935E-3</v>
      </c>
      <c r="X104" s="110"/>
      <c r="Y104" s="112"/>
      <c r="Z104" s="110"/>
      <c r="AA104" s="100"/>
    </row>
    <row r="105" spans="1:28">
      <c r="A105" s="154">
        <v>90</v>
      </c>
      <c r="B105" s="131" t="s">
        <v>130</v>
      </c>
      <c r="C105" s="132" t="s">
        <v>21</v>
      </c>
      <c r="D105" s="2">
        <f>11047417.47*1578.265</f>
        <v>17435752333.289551</v>
      </c>
      <c r="E105" s="3">
        <f>(D105/$D$133)</f>
        <v>1.0944972550535772E-2</v>
      </c>
      <c r="F105" s="2">
        <f>1.1384*1578.265</f>
        <v>1796.6968760000002</v>
      </c>
      <c r="G105" s="2">
        <f>1.1384*1578.265</f>
        <v>1796.6968760000002</v>
      </c>
      <c r="H105" s="58">
        <v>304</v>
      </c>
      <c r="I105" s="5">
        <v>5.5199999999999999E-2</v>
      </c>
      <c r="J105" s="5">
        <v>-5.0999999999999997E-2</v>
      </c>
      <c r="K105" s="2">
        <f>11033467.68*1564.929</f>
        <v>17266593542.99472</v>
      </c>
      <c r="L105" s="3">
        <f t="shared" si="23"/>
        <v>1.0723165844803251E-2</v>
      </c>
      <c r="M105" s="2">
        <f>1.1396*1564.929</f>
        <v>1783.3930884000001</v>
      </c>
      <c r="N105" s="2">
        <f>1.1396*1564.929</f>
        <v>1783.3930884000001</v>
      </c>
      <c r="O105" s="58">
        <v>302</v>
      </c>
      <c r="P105" s="5">
        <v>5.5100000000000003E-2</v>
      </c>
      <c r="Q105" s="5">
        <v>-4.7899999999999998E-2</v>
      </c>
      <c r="R105" s="77">
        <f t="shared" ref="R105:R115" si="24">((K105-D105)/D105)</f>
        <v>-9.7018348885273276E-3</v>
      </c>
      <c r="S105" s="77">
        <f t="shared" ref="S105:S115" si="25">((N105-G105)/G105)</f>
        <v>-7.4045810273897731E-3</v>
      </c>
      <c r="T105" s="77">
        <f t="shared" ref="T105:T115" si="26">((O105-H105)/H105)</f>
        <v>-6.5789473684210523E-3</v>
      </c>
      <c r="U105" s="77">
        <f t="shared" ref="U105:U115" si="27">P105-I105</f>
        <v>-9.9999999999995925E-5</v>
      </c>
      <c r="V105" s="79">
        <f t="shared" ref="V105:V115" si="28">Q105-J105</f>
        <v>3.0999999999999986E-3</v>
      </c>
    </row>
    <row r="106" spans="1:28">
      <c r="A106" s="158">
        <v>91</v>
      </c>
      <c r="B106" s="131" t="s">
        <v>265</v>
      </c>
      <c r="C106" s="132" t="s">
        <v>99</v>
      </c>
      <c r="D106" s="2">
        <f>1917834.47*1578.765</f>
        <v>3027809937.0295501</v>
      </c>
      <c r="E106" s="3">
        <f>(D106/$D$133)</f>
        <v>1.900651948683397E-3</v>
      </c>
      <c r="F106" s="2">
        <f>1.0364*1578.765</f>
        <v>1636.2320460000001</v>
      </c>
      <c r="G106" s="2">
        <f>1.0364*1578.765</f>
        <v>1636.2320460000001</v>
      </c>
      <c r="H106" s="58">
        <v>224</v>
      </c>
      <c r="I106" s="5">
        <v>1.4E-3</v>
      </c>
      <c r="J106" s="5">
        <v>3.6400000000000002E-2</v>
      </c>
      <c r="K106" s="2">
        <f>1930307.09*1565.429</f>
        <v>3021758697.5916104</v>
      </c>
      <c r="L106" s="3">
        <f t="shared" si="23"/>
        <v>1.8766191244710081E-3</v>
      </c>
      <c r="M106" s="2">
        <f>1.0378*1565.429</f>
        <v>1624.6022162000002</v>
      </c>
      <c r="N106" s="2">
        <f>1.0378*1565.429</f>
        <v>1624.6022162000002</v>
      </c>
      <c r="O106" s="58">
        <v>226</v>
      </c>
      <c r="P106" s="5">
        <v>1.4E-3</v>
      </c>
      <c r="Q106" s="5">
        <v>3.78E-2</v>
      </c>
      <c r="R106" s="77">
        <f>((K106-D106)/D106)</f>
        <v>-1.9985532658223079E-3</v>
      </c>
      <c r="S106" s="77">
        <f t="shared" ref="S106:T109" si="29">((N106-G106)/G106)</f>
        <v>-7.1076897854620829E-3</v>
      </c>
      <c r="T106" s="77">
        <f t="shared" si="29"/>
        <v>8.9285714285714281E-3</v>
      </c>
      <c r="U106" s="77">
        <f>P106-I106</f>
        <v>0</v>
      </c>
      <c r="V106" s="79">
        <f>Q106-J106</f>
        <v>1.3999999999999985E-3</v>
      </c>
    </row>
    <row r="107" spans="1:28">
      <c r="A107" s="163">
        <v>92</v>
      </c>
      <c r="B107" s="131" t="s">
        <v>270</v>
      </c>
      <c r="C107" s="132" t="s">
        <v>267</v>
      </c>
      <c r="D107" s="2">
        <f>379592.59*1578.765</f>
        <v>599287495.35135007</v>
      </c>
      <c r="E107" s="3">
        <f>(D107/$D$133)</f>
        <v>3.7619169285724532E-4</v>
      </c>
      <c r="F107" s="2">
        <f>1.04*1578.765</f>
        <v>1641.9156000000003</v>
      </c>
      <c r="G107" s="2">
        <f>1.04*1578.765</f>
        <v>1641.9156000000003</v>
      </c>
      <c r="H107" s="58">
        <v>15</v>
      </c>
      <c r="I107" s="5">
        <v>0.41880000000000001</v>
      </c>
      <c r="J107" s="5">
        <v>4.19E-2</v>
      </c>
      <c r="K107" s="2">
        <f>381595.66*1565.429</f>
        <v>597360912.43814003</v>
      </c>
      <c r="L107" s="3">
        <f t="shared" si="23"/>
        <v>3.7098227379516921E-4</v>
      </c>
      <c r="M107" s="2">
        <f>1.04*1565.429</f>
        <v>1628.0461600000001</v>
      </c>
      <c r="N107" s="2">
        <f>1.05*1565.429</f>
        <v>1643.7004500000003</v>
      </c>
      <c r="O107" s="58">
        <v>15</v>
      </c>
      <c r="P107" s="5">
        <v>0.29699999999999999</v>
      </c>
      <c r="Q107" s="5">
        <v>4.8300000000000003E-2</v>
      </c>
      <c r="R107" s="77">
        <f>((K107-D107)/D107)</f>
        <v>-3.2147891089910328E-3</v>
      </c>
      <c r="S107" s="77">
        <f t="shared" si="29"/>
        <v>1.0870534392876257E-3</v>
      </c>
      <c r="T107" s="77">
        <f t="shared" si="29"/>
        <v>0</v>
      </c>
      <c r="U107" s="77">
        <f>P107-I107</f>
        <v>-0.12180000000000002</v>
      </c>
      <c r="V107" s="79">
        <f>Q107-J107</f>
        <v>6.4000000000000029E-3</v>
      </c>
    </row>
    <row r="108" spans="1:28">
      <c r="A108" s="157">
        <v>93</v>
      </c>
      <c r="B108" s="131" t="s">
        <v>241</v>
      </c>
      <c r="C108" s="132" t="s">
        <v>25</v>
      </c>
      <c r="D108" s="2">
        <f>489407.35*1578.765</f>
        <v>772659194.92275</v>
      </c>
      <c r="E108" s="3">
        <v>0</v>
      </c>
      <c r="F108" s="2">
        <f>1.158*1578.765</f>
        <v>1828.2098699999999</v>
      </c>
      <c r="G108" s="2">
        <f>1.158*1578.765</f>
        <v>1828.2098699999999</v>
      </c>
      <c r="H108" s="58">
        <v>35</v>
      </c>
      <c r="I108" s="5">
        <v>-3.7589999999999998E-2</v>
      </c>
      <c r="J108" s="5">
        <v>9.5200000000000007E-2</v>
      </c>
      <c r="K108" s="2">
        <f>475220.07*1565.429</f>
        <v>743923278.96003008</v>
      </c>
      <c r="L108" s="3">
        <f t="shared" si="23"/>
        <v>4.6200269185896794E-4</v>
      </c>
      <c r="M108" s="2">
        <f>1.1597*1565.429</f>
        <v>1815.4280113</v>
      </c>
      <c r="N108" s="2">
        <f>1.1597*1565.429</f>
        <v>1815.4280113</v>
      </c>
      <c r="O108" s="58">
        <v>35</v>
      </c>
      <c r="P108" s="5">
        <v>2.5000000000000001E-4</v>
      </c>
      <c r="Q108" s="5">
        <v>9.6000000000000002E-2</v>
      </c>
      <c r="R108" s="77">
        <f>((K108-D108)/D108)</f>
        <v>-3.7190932498503325E-2</v>
      </c>
      <c r="S108" s="77">
        <f t="shared" si="29"/>
        <v>-6.9914613796499912E-3</v>
      </c>
      <c r="T108" s="77">
        <f t="shared" si="29"/>
        <v>0</v>
      </c>
      <c r="U108" s="77">
        <f>P108-I108</f>
        <v>3.7839999999999999E-2</v>
      </c>
      <c r="V108" s="79">
        <f t="shared" si="28"/>
        <v>7.9999999999999516E-4</v>
      </c>
    </row>
    <row r="109" spans="1:28">
      <c r="A109" s="158">
        <v>94</v>
      </c>
      <c r="B109" s="131" t="s">
        <v>138</v>
      </c>
      <c r="C109" s="132" t="s">
        <v>64</v>
      </c>
      <c r="D109" s="2">
        <f>427162.96*1578.765</f>
        <v>674389930.5444001</v>
      </c>
      <c r="E109" s="3">
        <f t="shared" ref="E109:E115" si="30">(D109/$D$133)</f>
        <v>4.2333586398067406E-4</v>
      </c>
      <c r="F109" s="2">
        <f>105.51*1578.765</f>
        <v>166575.49515000003</v>
      </c>
      <c r="G109" s="2">
        <f>105.99*1578.765</f>
        <v>167333.30235000001</v>
      </c>
      <c r="H109" s="58">
        <v>43</v>
      </c>
      <c r="I109" s="5">
        <v>1E-3</v>
      </c>
      <c r="J109" s="5">
        <v>6.7100000000000007E-2</v>
      </c>
      <c r="K109" s="2">
        <f>422936.56*1565.429</f>
        <v>662077156.18423998</v>
      </c>
      <c r="L109" s="3">
        <f t="shared" si="23"/>
        <v>4.1117335218096297E-4</v>
      </c>
      <c r="M109" s="2">
        <f>105.56*1565.429</f>
        <v>165246.68524000002</v>
      </c>
      <c r="N109" s="2">
        <f>106.08*1565.429</f>
        <v>166060.70832000001</v>
      </c>
      <c r="O109" s="58">
        <v>44</v>
      </c>
      <c r="P109" s="5">
        <v>-1.14E-2</v>
      </c>
      <c r="Q109" s="5">
        <v>5.57E-2</v>
      </c>
      <c r="R109" s="77">
        <f>((K109-D109)/D109)</f>
        <v>-1.8257648583543718E-2</v>
      </c>
      <c r="S109" s="77">
        <f t="shared" si="29"/>
        <v>-7.6051450137415363E-3</v>
      </c>
      <c r="T109" s="77">
        <f t="shared" si="29"/>
        <v>2.3255813953488372E-2</v>
      </c>
      <c r="U109" s="77">
        <f>P109-I109</f>
        <v>-1.2400000000000001E-2</v>
      </c>
      <c r="V109" s="79">
        <f>Q109-J109</f>
        <v>-1.1400000000000007E-2</v>
      </c>
    </row>
    <row r="110" spans="1:28">
      <c r="A110" s="163">
        <v>95</v>
      </c>
      <c r="B110" s="131" t="s">
        <v>131</v>
      </c>
      <c r="C110" s="132" t="s">
        <v>67</v>
      </c>
      <c r="D110" s="2">
        <v>4690372704.6378002</v>
      </c>
      <c r="E110" s="3">
        <f t="shared" si="30"/>
        <v>2.9442951197482135E-3</v>
      </c>
      <c r="F110" s="2">
        <v>170783.53538099999</v>
      </c>
      <c r="G110" s="2">
        <v>170783.53538099999</v>
      </c>
      <c r="H110" s="58">
        <v>50</v>
      </c>
      <c r="I110" s="5">
        <v>-1</v>
      </c>
      <c r="J110" s="5">
        <v>0.14681757900401804</v>
      </c>
      <c r="K110" s="2">
        <v>4633133555.3331804</v>
      </c>
      <c r="L110" s="3">
        <f t="shared" si="23"/>
        <v>2.8773399554029105E-3</v>
      </c>
      <c r="M110" s="2">
        <v>169221.9356426</v>
      </c>
      <c r="N110" s="2">
        <v>169221.9356426</v>
      </c>
      <c r="O110" s="58">
        <v>50</v>
      </c>
      <c r="P110" s="5">
        <v>-1.0629999999999999E-3</v>
      </c>
      <c r="Q110" s="5">
        <v>5.7371999999999999E-2</v>
      </c>
      <c r="R110" s="77">
        <f t="shared" si="24"/>
        <v>-1.2203539656458902E-2</v>
      </c>
      <c r="S110" s="77">
        <f t="shared" si="25"/>
        <v>-9.1437370406709829E-3</v>
      </c>
      <c r="T110" s="77">
        <f t="shared" si="26"/>
        <v>0</v>
      </c>
      <c r="U110" s="77">
        <f t="shared" si="27"/>
        <v>0.99893699999999996</v>
      </c>
      <c r="V110" s="79">
        <f t="shared" si="28"/>
        <v>-8.9445579004018033E-2</v>
      </c>
      <c r="X110" s="104"/>
    </row>
    <row r="111" spans="1:28">
      <c r="A111" s="158">
        <v>96</v>
      </c>
      <c r="B111" s="131" t="s">
        <v>132</v>
      </c>
      <c r="C111" s="132" t="s">
        <v>27</v>
      </c>
      <c r="D111" s="2">
        <v>55676004496.150002</v>
      </c>
      <c r="E111" s="3">
        <f t="shared" si="30"/>
        <v>3.4949586876753917E-2</v>
      </c>
      <c r="F111" s="2">
        <v>205243.51</v>
      </c>
      <c r="G111" s="2">
        <v>205243.51</v>
      </c>
      <c r="H111" s="58">
        <v>2157</v>
      </c>
      <c r="I111" s="5">
        <v>1.5E-3</v>
      </c>
      <c r="J111" s="5">
        <v>4.8300000000000003E-2</v>
      </c>
      <c r="K111" s="2">
        <v>55013229362.860001</v>
      </c>
      <c r="L111" s="3">
        <f t="shared" si="23"/>
        <v>3.4165162957431418E-2</v>
      </c>
      <c r="M111" s="2">
        <v>203537.25</v>
      </c>
      <c r="N111" s="2">
        <v>203537.25</v>
      </c>
      <c r="O111" s="58">
        <v>2167</v>
      </c>
      <c r="P111" s="5">
        <v>-2.2000000000000001E-3</v>
      </c>
      <c r="Q111" s="5">
        <v>4.6100000000000002E-2</v>
      </c>
      <c r="R111" s="77">
        <f t="shared" si="24"/>
        <v>-1.1904143253236353E-2</v>
      </c>
      <c r="S111" s="77">
        <f t="shared" si="25"/>
        <v>-8.3133444755452163E-3</v>
      </c>
      <c r="T111" s="77">
        <f t="shared" si="26"/>
        <v>4.6360686138154847E-3</v>
      </c>
      <c r="U111" s="77">
        <f t="shared" si="27"/>
        <v>-3.7000000000000002E-3</v>
      </c>
      <c r="V111" s="79">
        <f t="shared" si="28"/>
        <v>-2.2000000000000006E-3</v>
      </c>
    </row>
    <row r="112" spans="1:28">
      <c r="A112" s="158">
        <v>97</v>
      </c>
      <c r="B112" s="160" t="s">
        <v>133</v>
      </c>
      <c r="C112" s="160" t="s">
        <v>27</v>
      </c>
      <c r="D112" s="2">
        <v>87034290077.110001</v>
      </c>
      <c r="E112" s="3">
        <f t="shared" si="30"/>
        <v>5.4634173372065505E-2</v>
      </c>
      <c r="F112" s="2">
        <v>187232.76</v>
      </c>
      <c r="G112" s="2">
        <v>187232.76</v>
      </c>
      <c r="H112" s="58">
        <v>474</v>
      </c>
      <c r="I112" s="5">
        <v>1.6999999999999999E-3</v>
      </c>
      <c r="J112" s="5">
        <v>5.9299999999999999E-2</v>
      </c>
      <c r="K112" s="2">
        <v>88963113073.619995</v>
      </c>
      <c r="L112" s="3">
        <f t="shared" si="23"/>
        <v>5.5249242601500159E-2</v>
      </c>
      <c r="M112" s="2">
        <v>186422.72</v>
      </c>
      <c r="N112" s="2">
        <v>186422.72</v>
      </c>
      <c r="O112" s="58">
        <v>487</v>
      </c>
      <c r="P112" s="5">
        <v>1.9E-3</v>
      </c>
      <c r="Q112" s="5">
        <v>6.1199999999999997E-2</v>
      </c>
      <c r="R112" s="77">
        <f t="shared" si="24"/>
        <v>2.2161644505873605E-2</v>
      </c>
      <c r="S112" s="77">
        <f t="shared" si="25"/>
        <v>-4.3263796357005477E-3</v>
      </c>
      <c r="T112" s="77">
        <f t="shared" si="26"/>
        <v>2.7426160337552744E-2</v>
      </c>
      <c r="U112" s="77">
        <f t="shared" si="27"/>
        <v>2.0000000000000009E-4</v>
      </c>
      <c r="V112" s="79">
        <f t="shared" si="28"/>
        <v>1.8999999999999989E-3</v>
      </c>
    </row>
    <row r="113" spans="1:24">
      <c r="A113" s="162">
        <v>98</v>
      </c>
      <c r="B113" s="131" t="s">
        <v>134</v>
      </c>
      <c r="C113" s="132" t="s">
        <v>31</v>
      </c>
      <c r="D113" s="2">
        <f>98466.7526*1578.765</f>
        <v>155455862.66853902</v>
      </c>
      <c r="E113" s="3">
        <f t="shared" si="30"/>
        <v>9.7584555986062737E-5</v>
      </c>
      <c r="F113" s="2">
        <f>113.9144384*1578.765</f>
        <v>179844.12834057599</v>
      </c>
      <c r="G113" s="2">
        <f>113.9144384*1578.765</f>
        <v>179844.12834057599</v>
      </c>
      <c r="H113" s="58">
        <v>4</v>
      </c>
      <c r="I113" s="5">
        <v>2.2000000000000001E-3</v>
      </c>
      <c r="J113" s="5">
        <v>-6.0000000000000001E-3</v>
      </c>
      <c r="K113" s="2">
        <f>108687.82*1565.429</f>
        <v>170143065.37478003</v>
      </c>
      <c r="L113" s="3">
        <f t="shared" si="23"/>
        <v>1.0566486683166176E-4</v>
      </c>
      <c r="M113" s="2">
        <f>114.15*1565.429</f>
        <v>178693.72035000002</v>
      </c>
      <c r="N113" s="2">
        <f>114.15*1565.429</f>
        <v>178693.72035000002</v>
      </c>
      <c r="O113" s="58">
        <v>5</v>
      </c>
      <c r="P113" s="5">
        <v>2.0999999999999999E-3</v>
      </c>
      <c r="Q113" s="5">
        <v>-3.8999999999999998E-3</v>
      </c>
      <c r="R113" s="77">
        <f t="shared" si="24"/>
        <v>9.4478281192629424E-2</v>
      </c>
      <c r="S113" s="77">
        <f t="shared" si="25"/>
        <v>-6.3966947444478763E-3</v>
      </c>
      <c r="T113" s="77">
        <f t="shared" si="26"/>
        <v>0.25</v>
      </c>
      <c r="U113" s="77">
        <f t="shared" si="27"/>
        <v>-1.0000000000000026E-4</v>
      </c>
      <c r="V113" s="79">
        <f t="shared" si="28"/>
        <v>2.1000000000000003E-3</v>
      </c>
    </row>
    <row r="114" spans="1:24">
      <c r="A114" s="158">
        <v>99</v>
      </c>
      <c r="B114" s="131" t="s">
        <v>135</v>
      </c>
      <c r="C114" s="132" t="s">
        <v>34</v>
      </c>
      <c r="D114" s="2">
        <f>10122425.79*1578.765</f>
        <v>15980931552.34935</v>
      </c>
      <c r="E114" s="3">
        <f t="shared" si="30"/>
        <v>1.0031735587256691E-2</v>
      </c>
      <c r="F114" s="2">
        <f>1.36*1578.765</f>
        <v>2147.1204000000002</v>
      </c>
      <c r="G114" s="2">
        <f>1.36*1578.765</f>
        <v>2147.1204000000002</v>
      </c>
      <c r="H114" s="59">
        <v>112</v>
      </c>
      <c r="I114" s="12">
        <v>8.9999999999999998E-4</v>
      </c>
      <c r="J114" s="12">
        <v>4.7E-2</v>
      </c>
      <c r="K114" s="2">
        <f>10096492.71*1565.429</f>
        <v>15805342486.522593</v>
      </c>
      <c r="L114" s="3">
        <f t="shared" si="23"/>
        <v>9.8156772089917129E-3</v>
      </c>
      <c r="M114" s="2">
        <f>1.36*1565.429</f>
        <v>2128.9834400000004</v>
      </c>
      <c r="N114" s="2">
        <f>1.36*1565.429</f>
        <v>2128.9834400000004</v>
      </c>
      <c r="O114" s="59">
        <v>113</v>
      </c>
      <c r="P114" s="12">
        <v>8.9999999999999998E-4</v>
      </c>
      <c r="Q114" s="12">
        <v>4.7E-2</v>
      </c>
      <c r="R114" s="77">
        <f t="shared" si="24"/>
        <v>-1.0987411168840415E-2</v>
      </c>
      <c r="S114" s="77">
        <f t="shared" si="25"/>
        <v>-8.4471089744197932E-3</v>
      </c>
      <c r="T114" s="77">
        <f t="shared" si="26"/>
        <v>8.9285714285714281E-3</v>
      </c>
      <c r="U114" s="77">
        <f t="shared" si="27"/>
        <v>0</v>
      </c>
      <c r="V114" s="79">
        <f t="shared" si="28"/>
        <v>0</v>
      </c>
    </row>
    <row r="115" spans="1:24">
      <c r="A115" s="157">
        <v>100</v>
      </c>
      <c r="B115" s="131" t="s">
        <v>136</v>
      </c>
      <c r="C115" s="132" t="s">
        <v>78</v>
      </c>
      <c r="D115" s="2">
        <f>15652686.79*1578.765</f>
        <v>24711914060.014351</v>
      </c>
      <c r="E115" s="3">
        <f t="shared" si="30"/>
        <v>1.5512449126823947E-2</v>
      </c>
      <c r="F115" s="2">
        <f>104.07*1578.765</f>
        <v>164302.07355</v>
      </c>
      <c r="G115" s="2">
        <f>104.07*1578.765</f>
        <v>164302.07355</v>
      </c>
      <c r="H115" s="58">
        <v>372</v>
      </c>
      <c r="I115" s="5">
        <v>2E-3</v>
      </c>
      <c r="J115" s="5">
        <v>6.3500000000000001E-2</v>
      </c>
      <c r="K115" s="2">
        <f>15765116.71*1565.429</f>
        <v>24679170886.218594</v>
      </c>
      <c r="L115" s="3">
        <f t="shared" si="23"/>
        <v>1.5326638787563827E-2</v>
      </c>
      <c r="M115" s="2">
        <f>104.25*1565.429</f>
        <v>163195.97325000001</v>
      </c>
      <c r="N115" s="2">
        <f>104.25*1565.429</f>
        <v>163195.97325000001</v>
      </c>
      <c r="O115" s="58">
        <v>382</v>
      </c>
      <c r="P115" s="5">
        <v>1.6999999999999999E-3</v>
      </c>
      <c r="Q115" s="5">
        <v>6.5199999999999994E-2</v>
      </c>
      <c r="R115" s="77">
        <f t="shared" si="24"/>
        <v>-1.3249954542670613E-3</v>
      </c>
      <c r="S115" s="77">
        <f t="shared" si="25"/>
        <v>-6.7321140634502416E-3</v>
      </c>
      <c r="T115" s="77">
        <f t="shared" si="26"/>
        <v>2.6881720430107527E-2</v>
      </c>
      <c r="U115" s="77">
        <f t="shared" si="27"/>
        <v>-3.0000000000000014E-4</v>
      </c>
      <c r="V115" s="79">
        <f t="shared" si="28"/>
        <v>1.6999999999999932E-3</v>
      </c>
    </row>
    <row r="116" spans="1:24">
      <c r="A116" s="158">
        <v>101</v>
      </c>
      <c r="B116" s="131" t="s">
        <v>137</v>
      </c>
      <c r="C116" s="132" t="s">
        <v>38</v>
      </c>
      <c r="D116" s="2">
        <f>1923752.6*1578.765</f>
        <v>3037153273.5390005</v>
      </c>
      <c r="E116" s="3">
        <f t="shared" ref="E116:E117" si="31">(D116/$D$133)</f>
        <v>1.9065170561746929E-3</v>
      </c>
      <c r="F116" s="2">
        <f>135.32*1578.765</f>
        <v>213638.4798</v>
      </c>
      <c r="G116" s="2">
        <f>139.15*1578.765</f>
        <v>219685.14975000001</v>
      </c>
      <c r="H116" s="58">
        <v>47</v>
      </c>
      <c r="I116" s="5">
        <v>6.9999999999999999E-4</v>
      </c>
      <c r="J116" s="5">
        <v>2.7799999999999998E-2</v>
      </c>
      <c r="K116" s="2">
        <f>1925637.8*1565.429</f>
        <v>3014449255.6162004</v>
      </c>
      <c r="L116" s="3">
        <f t="shared" ref="L116:L117" si="32">(K116/$K$133)</f>
        <v>1.8720797022427546E-3</v>
      </c>
      <c r="M116" s="2">
        <f>135.45*1565.429</f>
        <v>212037.35804999998</v>
      </c>
      <c r="N116" s="2">
        <f>139.32*1565.429</f>
        <v>218095.56828000001</v>
      </c>
      <c r="O116" s="58">
        <v>47</v>
      </c>
      <c r="P116" s="5">
        <v>1.9E-3</v>
      </c>
      <c r="Q116" s="5">
        <v>2.8899999999999999E-2</v>
      </c>
      <c r="R116" s="77">
        <f t="shared" ref="R116:R117" si="33">((K116-D116)/D116)</f>
        <v>-7.4754271115018587E-3</v>
      </c>
      <c r="S116" s="77">
        <f t="shared" ref="S116:S117" si="34">((N116-G116)/G116)</f>
        <v>-7.2357256364799167E-3</v>
      </c>
      <c r="T116" s="77">
        <f t="shared" ref="T116:T117" si="35">((O116-H116)/H116)</f>
        <v>0</v>
      </c>
      <c r="U116" s="77">
        <f t="shared" ref="U116:U117" si="36">P116-I116</f>
        <v>1.2000000000000001E-3</v>
      </c>
      <c r="V116" s="79">
        <f t="shared" ref="V116:V117" si="37">Q116-J116</f>
        <v>1.1000000000000003E-3</v>
      </c>
    </row>
    <row r="117" spans="1:24">
      <c r="A117" s="155">
        <v>102</v>
      </c>
      <c r="B117" s="131" t="s">
        <v>282</v>
      </c>
      <c r="C117" s="132" t="s">
        <v>45</v>
      </c>
      <c r="D117" s="4">
        <f>142585170.01*1579.89</f>
        <v>225268884247.09891</v>
      </c>
      <c r="E117" s="3">
        <f t="shared" si="31"/>
        <v>0.14140839508639361</v>
      </c>
      <c r="F117" s="2">
        <f>121.7685*1579.89</f>
        <v>192380.83546500001</v>
      </c>
      <c r="G117" s="2">
        <f>121.7685*1579.89</f>
        <v>192380.83546500001</v>
      </c>
      <c r="H117" s="58">
        <v>3186</v>
      </c>
      <c r="I117" s="5">
        <v>5.5500000000000001E-2</v>
      </c>
      <c r="J117" s="5">
        <v>5.3400000000000003E-2</v>
      </c>
      <c r="K117" s="4">
        <f>142657896.78*1570.14</f>
        <v>223992870050.14923</v>
      </c>
      <c r="L117" s="3">
        <f t="shared" si="32"/>
        <v>0.13910750187176904</v>
      </c>
      <c r="M117" s="2">
        <f>121.8945*1570.14</f>
        <v>191391.43023</v>
      </c>
      <c r="N117" s="2">
        <f>121.8945*1570.14</f>
        <v>191391.43023</v>
      </c>
      <c r="O117" s="58">
        <v>3273</v>
      </c>
      <c r="P117" s="5">
        <v>5.5399999999999998E-2</v>
      </c>
      <c r="Q117" s="5">
        <v>5.33E-2</v>
      </c>
      <c r="R117" s="77">
        <f t="shared" si="33"/>
        <v>-5.6644050118790853E-3</v>
      </c>
      <c r="S117" s="77">
        <f t="shared" si="34"/>
        <v>-5.1429511292460112E-3</v>
      </c>
      <c r="T117" s="77">
        <f t="shared" si="35"/>
        <v>2.7306967984934087E-2</v>
      </c>
      <c r="U117" s="77">
        <f t="shared" si="36"/>
        <v>-1.0000000000000286E-4</v>
      </c>
      <c r="V117" s="79">
        <f t="shared" si="37"/>
        <v>-1.0000000000000286E-4</v>
      </c>
    </row>
    <row r="118" spans="1:24" ht="6" customHeight="1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</row>
    <row r="119" spans="1:24">
      <c r="A119" s="178" t="s">
        <v>229</v>
      </c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</row>
    <row r="120" spans="1:24">
      <c r="A120" s="162">
        <v>103</v>
      </c>
      <c r="B120" s="131" t="s">
        <v>139</v>
      </c>
      <c r="C120" s="132" t="s">
        <v>97</v>
      </c>
      <c r="D120" s="4">
        <f>1126171.72*1578.765</f>
        <v>1777960495.5258</v>
      </c>
      <c r="E120" s="3">
        <f t="shared" ref="E120:E130" si="38">(D120/$D$133)</f>
        <v>1.1160819703955644E-3</v>
      </c>
      <c r="F120" s="2">
        <f>104.22*1578.765</f>
        <v>164538.88830000002</v>
      </c>
      <c r="G120" s="2">
        <f>104.22*1578.765</f>
        <v>164538.88830000002</v>
      </c>
      <c r="H120" s="58">
        <v>21</v>
      </c>
      <c r="I120" s="5">
        <v>3.176E-3</v>
      </c>
      <c r="J120" s="5">
        <v>4.6699999999999998E-2</v>
      </c>
      <c r="K120" s="4">
        <f>1147162.57*1565.429</f>
        <v>1795801554.7925303</v>
      </c>
      <c r="L120" s="3">
        <f t="shared" ref="L120:L132" si="39">(K120/$K$133)</f>
        <v>1.1152563386892557E-3</v>
      </c>
      <c r="M120" s="2">
        <f>106.2*1565.429</f>
        <v>166248.55980000002</v>
      </c>
      <c r="N120" s="2">
        <f>106.2*1565.429</f>
        <v>166248.55980000002</v>
      </c>
      <c r="O120" s="58">
        <v>21</v>
      </c>
      <c r="P120" s="5">
        <v>1.5063999999999999E-2</v>
      </c>
      <c r="Q120" s="5">
        <v>6.1899999999999997E-2</v>
      </c>
      <c r="R120" s="77">
        <f>((K120-D120)/D120)</f>
        <v>1.0034564497707883E-2</v>
      </c>
      <c r="S120" s="77">
        <f>((N120-G120)/G120)</f>
        <v>1.0390683428484039E-2</v>
      </c>
      <c r="T120" s="77">
        <f>((O120-H120)/H120)</f>
        <v>0</v>
      </c>
      <c r="U120" s="77">
        <f>P120-I120</f>
        <v>1.1887999999999999E-2</v>
      </c>
      <c r="V120" s="79">
        <f>Q120-J120</f>
        <v>1.5199999999999998E-2</v>
      </c>
    </row>
    <row r="121" spans="1:24">
      <c r="A121" s="157">
        <v>104</v>
      </c>
      <c r="B121" s="132" t="s">
        <v>140</v>
      </c>
      <c r="C121" s="132" t="s">
        <v>23</v>
      </c>
      <c r="D121" s="2">
        <f>9241029.68*1578.765</f>
        <v>14589414222.745201</v>
      </c>
      <c r="E121" s="3">
        <f t="shared" si="38"/>
        <v>9.1582362001936014E-3</v>
      </c>
      <c r="F121" s="4">
        <f>131.74*1578.765</f>
        <v>207986.50110000002</v>
      </c>
      <c r="G121" s="4">
        <f>131.74*1578.765</f>
        <v>207986.50110000002</v>
      </c>
      <c r="H121" s="58">
        <v>456</v>
      </c>
      <c r="I121" s="5">
        <v>5.0000000000000001E-4</v>
      </c>
      <c r="J121" s="5">
        <v>4.2700000000000002E-2</v>
      </c>
      <c r="K121" s="2">
        <f>9341819.95*1565.429</f>
        <v>14623955862.508549</v>
      </c>
      <c r="L121" s="3">
        <f t="shared" si="39"/>
        <v>9.0819942932162112E-3</v>
      </c>
      <c r="M121" s="4">
        <f>131.12*1565.429</f>
        <v>205259.05048000001</v>
      </c>
      <c r="N121" s="4">
        <f>131.12*1565.429</f>
        <v>205259.05048000001</v>
      </c>
      <c r="O121" s="58">
        <v>464</v>
      </c>
      <c r="P121" s="5">
        <v>5.0000000000000001E-4</v>
      </c>
      <c r="Q121" s="5">
        <v>3.7999999999999999E-2</v>
      </c>
      <c r="R121" s="77">
        <f t="shared" ref="R121:R133" si="40">((K121-D121)/D121)</f>
        <v>2.367582360469037E-3</v>
      </c>
      <c r="S121" s="77">
        <f t="shared" ref="S121:S133" si="41">((N121-G121)/G121)</f>
        <v>-1.3113594418748637E-2</v>
      </c>
      <c r="T121" s="77">
        <f t="shared" ref="T121:T133" si="42">((O121-H121)/H121)</f>
        <v>1.7543859649122806E-2</v>
      </c>
      <c r="U121" s="77">
        <f t="shared" ref="U121:U133" si="43">P121-I121</f>
        <v>0</v>
      </c>
      <c r="V121" s="79">
        <f t="shared" ref="V121:V133" si="44">Q121-J121</f>
        <v>-4.7000000000000028E-3</v>
      </c>
    </row>
    <row r="122" spans="1:24">
      <c r="A122" s="162">
        <v>105</v>
      </c>
      <c r="B122" s="131" t="s">
        <v>141</v>
      </c>
      <c r="C122" s="132" t="s">
        <v>58</v>
      </c>
      <c r="D122" s="4">
        <v>16570848364.799999</v>
      </c>
      <c r="E122" s="3">
        <f t="shared" si="38"/>
        <v>1.0402045006428955E-2</v>
      </c>
      <c r="F122" s="4">
        <v>185108.18</v>
      </c>
      <c r="G122" s="4">
        <v>185108.18</v>
      </c>
      <c r="H122" s="58">
        <v>617</v>
      </c>
      <c r="I122" s="5">
        <v>5.3E-3</v>
      </c>
      <c r="J122" s="5">
        <v>6.4100000000000004E-2</v>
      </c>
      <c r="K122" s="4">
        <v>16481160167.85</v>
      </c>
      <c r="L122" s="3">
        <f t="shared" si="39"/>
        <v>1.0235383913714854E-2</v>
      </c>
      <c r="M122" s="4">
        <v>185271.03</v>
      </c>
      <c r="N122" s="4">
        <v>185271.03</v>
      </c>
      <c r="O122" s="58">
        <v>617</v>
      </c>
      <c r="P122" s="5">
        <v>8.9999999999999998E-4</v>
      </c>
      <c r="Q122" s="5">
        <v>6.4000000000000001E-2</v>
      </c>
      <c r="R122" s="77">
        <f t="shared" si="40"/>
        <v>-5.4124082832424942E-3</v>
      </c>
      <c r="S122" s="77">
        <f t="shared" si="41"/>
        <v>8.7975582710610536E-4</v>
      </c>
      <c r="T122" s="77">
        <f t="shared" si="42"/>
        <v>0</v>
      </c>
      <c r="U122" s="77">
        <f t="shared" si="43"/>
        <v>-4.4000000000000003E-3</v>
      </c>
      <c r="V122" s="79">
        <f t="shared" si="44"/>
        <v>-1.0000000000000286E-4</v>
      </c>
    </row>
    <row r="123" spans="1:24">
      <c r="A123" s="155">
        <v>106</v>
      </c>
      <c r="B123" s="131" t="s">
        <v>142</v>
      </c>
      <c r="C123" s="132" t="s">
        <v>56</v>
      </c>
      <c r="D123" s="4">
        <v>7221813995.8522749</v>
      </c>
      <c r="E123" s="3">
        <f t="shared" si="38"/>
        <v>4.5333607887263153E-3</v>
      </c>
      <c r="F123" s="4">
        <v>1952.7824442710937</v>
      </c>
      <c r="G123" s="4">
        <v>1952.7824442710937</v>
      </c>
      <c r="H123" s="58">
        <v>206</v>
      </c>
      <c r="I123" s="5">
        <v>5.7034549496560949E-2</v>
      </c>
      <c r="J123" s="5">
        <v>5.3007468759779505E-2</v>
      </c>
      <c r="K123" s="4">
        <v>6963082172.5637512</v>
      </c>
      <c r="L123" s="3">
        <f t="shared" si="39"/>
        <v>4.3243205292040421E-3</v>
      </c>
      <c r="M123" s="4">
        <v>1977.5374584382128</v>
      </c>
      <c r="N123" s="4">
        <v>1977.5374584382128</v>
      </c>
      <c r="O123" s="58">
        <v>205</v>
      </c>
      <c r="P123" s="5">
        <v>5.5490878261526058E-2</v>
      </c>
      <c r="Q123" s="5">
        <v>5.3135717451892113E-2</v>
      </c>
      <c r="R123" s="77">
        <f t="shared" si="40"/>
        <v>-3.5826431342197665E-2</v>
      </c>
      <c r="S123" s="77">
        <f t="shared" si="41"/>
        <v>1.2676790617276999E-2</v>
      </c>
      <c r="T123" s="77">
        <f t="shared" si="42"/>
        <v>-4.8543689320388345E-3</v>
      </c>
      <c r="U123" s="77">
        <f t="shared" si="43"/>
        <v>-1.5436712350348908E-3</v>
      </c>
      <c r="V123" s="79">
        <f t="shared" si="44"/>
        <v>1.2824869211260775E-4</v>
      </c>
    </row>
    <row r="124" spans="1:24">
      <c r="A124" s="157">
        <v>107</v>
      </c>
      <c r="B124" s="131" t="s">
        <v>276</v>
      </c>
      <c r="C124" s="132" t="s">
        <v>32</v>
      </c>
      <c r="D124" s="4">
        <v>68525817025.283997</v>
      </c>
      <c r="E124" s="3">
        <f t="shared" si="38"/>
        <v>4.3015820138302428E-2</v>
      </c>
      <c r="F124" s="4">
        <f>100*1608.03</f>
        <v>160803</v>
      </c>
      <c r="G124" s="4">
        <f>100*1608.03</f>
        <v>160803</v>
      </c>
      <c r="H124" s="58">
        <v>1604</v>
      </c>
      <c r="I124" s="5">
        <v>5.57E-2</v>
      </c>
      <c r="J124" s="5">
        <v>5.8846000000000002E-2</v>
      </c>
      <c r="K124" s="4">
        <v>71775216520.317902</v>
      </c>
      <c r="L124" s="3">
        <f t="shared" si="39"/>
        <v>4.4574950373247824E-2</v>
      </c>
      <c r="M124" s="4">
        <f>100*1608.03</f>
        <v>160803</v>
      </c>
      <c r="N124" s="4">
        <f>100*1608.03</f>
        <v>160803</v>
      </c>
      <c r="O124" s="58">
        <v>1616</v>
      </c>
      <c r="P124" s="5">
        <v>5.3499999999999999E-2</v>
      </c>
      <c r="Q124" s="5">
        <v>5.8337300000000002E-2</v>
      </c>
      <c r="R124" s="77">
        <f>((K124-D124)/D124)</f>
        <v>4.7418617334178924E-2</v>
      </c>
      <c r="S124" s="77">
        <f>((N124-G124)/G124)</f>
        <v>0</v>
      </c>
      <c r="T124" s="77">
        <f>((O124-H124)/H124)</f>
        <v>7.481296758104738E-3</v>
      </c>
      <c r="U124" s="77">
        <f>P124-I124</f>
        <v>-2.2000000000000006E-3</v>
      </c>
      <c r="V124" s="79">
        <f>Q124-J124</f>
        <v>-5.0870000000000082E-4</v>
      </c>
    </row>
    <row r="125" spans="1:24" ht="15.75">
      <c r="A125" s="163">
        <v>108</v>
      </c>
      <c r="B125" s="131" t="s">
        <v>251</v>
      </c>
      <c r="C125" s="132" t="s">
        <v>114</v>
      </c>
      <c r="D125" s="4">
        <f>931519.39*1578.765</f>
        <v>1470650209.75335</v>
      </c>
      <c r="E125" s="3">
        <f t="shared" si="38"/>
        <v>9.2317359581083622E-4</v>
      </c>
      <c r="F125" s="4">
        <f>1.06*1578.765</f>
        <v>1673.4909000000002</v>
      </c>
      <c r="G125" s="4">
        <f>1.08*1578.765</f>
        <v>1705.0662000000002</v>
      </c>
      <c r="H125" s="58">
        <v>36</v>
      </c>
      <c r="I125" s="5">
        <v>5.4000000000000003E-3</v>
      </c>
      <c r="J125" s="5">
        <v>8.1699999999999995E-2</v>
      </c>
      <c r="K125" s="4">
        <f>998570.31*1565.429</f>
        <v>1563190921.8129902</v>
      </c>
      <c r="L125" s="3">
        <f t="shared" si="39"/>
        <v>9.7079690096094659E-4</v>
      </c>
      <c r="M125" s="4">
        <f>1.07*1565.429</f>
        <v>1675.0090300000002</v>
      </c>
      <c r="N125" s="4">
        <f>1.09*1565.429</f>
        <v>1706.3176100000003</v>
      </c>
      <c r="O125" s="58">
        <v>37</v>
      </c>
      <c r="P125" s="5">
        <v>5.4999999999999997E-3</v>
      </c>
      <c r="Q125" s="5">
        <v>8.1699999999999995E-2</v>
      </c>
      <c r="R125" s="77">
        <f t="shared" si="40"/>
        <v>6.292503237405489E-2</v>
      </c>
      <c r="S125" s="77">
        <f t="shared" si="41"/>
        <v>7.3393631285405693E-4</v>
      </c>
      <c r="T125" s="77">
        <f t="shared" si="42"/>
        <v>2.7777777777777776E-2</v>
      </c>
      <c r="U125" s="77">
        <f t="shared" si="43"/>
        <v>9.9999999999999395E-5</v>
      </c>
      <c r="V125" s="79">
        <f t="shared" si="44"/>
        <v>0</v>
      </c>
      <c r="X125" s="113"/>
    </row>
    <row r="126" spans="1:24" ht="15.75">
      <c r="A126" s="157">
        <v>109</v>
      </c>
      <c r="B126" s="131" t="s">
        <v>257</v>
      </c>
      <c r="C126" s="132" t="s">
        <v>36</v>
      </c>
      <c r="D126" s="2">
        <f>1878861.71*1578.765</f>
        <v>2966281107.58815</v>
      </c>
      <c r="E126" s="3">
        <f t="shared" si="38"/>
        <v>1.8620283586925619E-3</v>
      </c>
      <c r="F126" s="4">
        <f>10.3*1578.765</f>
        <v>16261.279500000002</v>
      </c>
      <c r="G126" s="4">
        <f>10.3*1578.765</f>
        <v>16261.279500000002</v>
      </c>
      <c r="H126" s="58">
        <v>61</v>
      </c>
      <c r="I126" s="5">
        <v>7.6399999999999996E-2</v>
      </c>
      <c r="J126" s="5">
        <v>9.6500000000000002E-2</v>
      </c>
      <c r="K126" s="2">
        <f>1871699.77*1565.429</f>
        <v>2930013099.2513304</v>
      </c>
      <c r="L126" s="3">
        <f t="shared" si="39"/>
        <v>1.819641860016163E-3</v>
      </c>
      <c r="M126" s="4">
        <f>10.32*1565.429</f>
        <v>16155.227280000001</v>
      </c>
      <c r="N126" s="4">
        <f>10.32*1565.429</f>
        <v>16155.227280000001</v>
      </c>
      <c r="O126" s="58">
        <v>65</v>
      </c>
      <c r="P126" s="5">
        <v>7.6399999999999996E-2</v>
      </c>
      <c r="Q126" s="5">
        <v>9.5799999999999996E-2</v>
      </c>
      <c r="R126" s="77">
        <f>((K126-D126)/D126)</f>
        <v>-1.2226760384928171E-2</v>
      </c>
      <c r="S126" s="77">
        <f>((N126-G126)/G126)</f>
        <v>-6.5217635549528179E-3</v>
      </c>
      <c r="T126" s="77">
        <f>((O126-H126)/H126)</f>
        <v>6.5573770491803282E-2</v>
      </c>
      <c r="U126" s="77">
        <f>P126-I126</f>
        <v>0</v>
      </c>
      <c r="V126" s="79">
        <f>Q126-J126</f>
        <v>-7.0000000000000617E-4</v>
      </c>
      <c r="X126" s="113"/>
    </row>
    <row r="127" spans="1:24" ht="15.75">
      <c r="A127" s="162">
        <v>110</v>
      </c>
      <c r="B127" s="132" t="s">
        <v>143</v>
      </c>
      <c r="C127" s="164" t="s">
        <v>40</v>
      </c>
      <c r="D127" s="4">
        <v>18294483697</v>
      </c>
      <c r="E127" s="3">
        <f t="shared" si="38"/>
        <v>1.148402535562467E-2</v>
      </c>
      <c r="F127" s="4">
        <f>1.0259*1578.765</f>
        <v>1619.6550135000002</v>
      </c>
      <c r="G127" s="4">
        <f>1.0259*1578.765</f>
        <v>1619.6550135000002</v>
      </c>
      <c r="H127" s="58">
        <v>371</v>
      </c>
      <c r="I127" s="5">
        <v>3.5000000000000001E-3</v>
      </c>
      <c r="J127" s="5">
        <v>6.1899999999999997E-2</v>
      </c>
      <c r="K127" s="4">
        <v>18772429369</v>
      </c>
      <c r="L127" s="3">
        <f t="shared" si="39"/>
        <v>1.165834320084011E-2</v>
      </c>
      <c r="M127" s="4">
        <f>1.0366*1565.429</f>
        <v>1622.7237014</v>
      </c>
      <c r="N127" s="4">
        <f>1.0366*1565.429</f>
        <v>1622.7237014</v>
      </c>
      <c r="O127" s="58">
        <v>371</v>
      </c>
      <c r="P127" s="5">
        <v>7.7000000000000002E-3</v>
      </c>
      <c r="Q127" s="5">
        <v>7.22E-2</v>
      </c>
      <c r="R127" s="77">
        <f t="shared" si="40"/>
        <v>2.6125124923770074E-2</v>
      </c>
      <c r="S127" s="77">
        <f t="shared" si="41"/>
        <v>1.8946552657336979E-3</v>
      </c>
      <c r="T127" s="77">
        <f t="shared" si="42"/>
        <v>0</v>
      </c>
      <c r="U127" s="77">
        <f t="shared" si="43"/>
        <v>4.2000000000000006E-3</v>
      </c>
      <c r="V127" s="79">
        <f t="shared" si="44"/>
        <v>1.0300000000000004E-2</v>
      </c>
      <c r="X127" s="113"/>
    </row>
    <row r="128" spans="1:24">
      <c r="A128" s="162">
        <v>111</v>
      </c>
      <c r="B128" s="131" t="s">
        <v>144</v>
      </c>
      <c r="C128" s="132" t="s">
        <v>80</v>
      </c>
      <c r="D128" s="2">
        <f>320524.18*1578.765</f>
        <v>506032357.0377</v>
      </c>
      <c r="E128" s="3">
        <f t="shared" si="38"/>
        <v>3.1765249652497269E-4</v>
      </c>
      <c r="F128" s="4">
        <f>1.06*1578.765</f>
        <v>1673.4909000000002</v>
      </c>
      <c r="G128" s="4">
        <f>1.06*1578.765</f>
        <v>1673.4909000000002</v>
      </c>
      <c r="H128" s="58">
        <v>3</v>
      </c>
      <c r="I128" s="5">
        <v>7.2830000000000004E-3</v>
      </c>
      <c r="J128" s="5">
        <v>1.9633000000000001E-2</v>
      </c>
      <c r="K128" s="2">
        <f>324935.28*1598.07</f>
        <v>519269322.90960002</v>
      </c>
      <c r="L128" s="3">
        <f t="shared" si="39"/>
        <v>3.2248463217792188E-4</v>
      </c>
      <c r="M128" s="4">
        <f>1.07*1598.07</f>
        <v>1709.9349</v>
      </c>
      <c r="N128" s="4">
        <f>1.07*1598.07</f>
        <v>1709.9349</v>
      </c>
      <c r="O128" s="58">
        <v>3</v>
      </c>
      <c r="P128" s="5">
        <v>1.3762E-2</v>
      </c>
      <c r="Q128" s="5">
        <v>3.3665E-2</v>
      </c>
      <c r="R128" s="77">
        <f t="shared" si="40"/>
        <v>2.6158338864709897E-2</v>
      </c>
      <c r="S128" s="77">
        <f t="shared" si="41"/>
        <v>2.1777232251456956E-2</v>
      </c>
      <c r="T128" s="77">
        <f t="shared" si="42"/>
        <v>0</v>
      </c>
      <c r="U128" s="77">
        <f t="shared" si="43"/>
        <v>6.4789999999999995E-3</v>
      </c>
      <c r="V128" s="79">
        <f t="shared" si="44"/>
        <v>1.4031999999999999E-2</v>
      </c>
    </row>
    <row r="129" spans="1:22">
      <c r="A129" s="163">
        <v>112</v>
      </c>
      <c r="B129" s="131" t="s">
        <v>145</v>
      </c>
      <c r="C129" s="132" t="s">
        <v>42</v>
      </c>
      <c r="D129" s="2">
        <v>919360673549.69995</v>
      </c>
      <c r="E129" s="3">
        <f t="shared" si="38"/>
        <v>0.57711173820883854</v>
      </c>
      <c r="F129" s="4">
        <v>2421.4299999999998</v>
      </c>
      <c r="G129" s="4">
        <v>2421.4299999999998</v>
      </c>
      <c r="H129" s="58">
        <v>8100</v>
      </c>
      <c r="I129" s="5">
        <v>1.4E-3</v>
      </c>
      <c r="J129" s="5">
        <v>4.65E-2</v>
      </c>
      <c r="K129" s="2">
        <v>931973190539.79004</v>
      </c>
      <c r="L129" s="3">
        <f t="shared" si="39"/>
        <v>0.57878834410410751</v>
      </c>
      <c r="M129" s="4">
        <v>2452.88</v>
      </c>
      <c r="N129" s="4">
        <v>2452.88</v>
      </c>
      <c r="O129" s="58">
        <v>8151</v>
      </c>
      <c r="P129" s="5">
        <v>1.4E-3</v>
      </c>
      <c r="Q129" s="5">
        <v>4.7899999999999998E-2</v>
      </c>
      <c r="R129" s="77">
        <f t="shared" si="40"/>
        <v>1.3718791060958151E-2</v>
      </c>
      <c r="S129" s="77">
        <f t="shared" si="41"/>
        <v>1.298819292731992E-2</v>
      </c>
      <c r="T129" s="77">
        <f t="shared" si="42"/>
        <v>6.2962962962962964E-3</v>
      </c>
      <c r="U129" s="77">
        <f t="shared" si="43"/>
        <v>0</v>
      </c>
      <c r="V129" s="79">
        <f t="shared" si="44"/>
        <v>1.3999999999999985E-3</v>
      </c>
    </row>
    <row r="130" spans="1:22" ht="16.5" customHeight="1">
      <c r="A130" s="155">
        <v>113</v>
      </c>
      <c r="B130" s="131" t="s">
        <v>146</v>
      </c>
      <c r="C130" s="132" t="s">
        <v>45</v>
      </c>
      <c r="D130" s="2">
        <f>61124018*1579.89</f>
        <v>96569224798.020004</v>
      </c>
      <c r="E130" s="3">
        <f t="shared" si="38"/>
        <v>6.0619553113452393E-2</v>
      </c>
      <c r="F130" s="4">
        <f>1.1276*1579.89</f>
        <v>1781.483964</v>
      </c>
      <c r="G130" s="4">
        <f>1.1276*1579.89</f>
        <v>1781.483964</v>
      </c>
      <c r="H130" s="58">
        <v>289</v>
      </c>
      <c r="I130" s="5">
        <v>0.1021</v>
      </c>
      <c r="J130" s="5">
        <v>8.6499999999999994E-2</v>
      </c>
      <c r="K130" s="2">
        <f>62493440.91*1570.14</f>
        <v>98123451310.427399</v>
      </c>
      <c r="L130" s="3">
        <f t="shared" si="39"/>
        <v>6.0938136931651961E-2</v>
      </c>
      <c r="M130" s="4">
        <f>1.1297*1570.14</f>
        <v>1773.7871580000001</v>
      </c>
      <c r="N130" s="4">
        <f>1.1297*1570.14</f>
        <v>1773.7871580000001</v>
      </c>
      <c r="O130" s="58">
        <v>371</v>
      </c>
      <c r="P130" s="5">
        <v>0.1019</v>
      </c>
      <c r="Q130" s="5">
        <v>8.6900000000000005E-2</v>
      </c>
      <c r="R130" s="77">
        <f t="shared" si="40"/>
        <v>1.6094428796111258E-2</v>
      </c>
      <c r="S130" s="77">
        <f t="shared" si="41"/>
        <v>-4.3204464118319309E-3</v>
      </c>
      <c r="T130" s="77">
        <f t="shared" si="42"/>
        <v>0.2837370242214533</v>
      </c>
      <c r="U130" s="77">
        <f t="shared" si="43"/>
        <v>-1.9999999999999185E-4</v>
      </c>
      <c r="V130" s="79">
        <f t="shared" si="44"/>
        <v>4.0000000000001146E-4</v>
      </c>
    </row>
    <row r="131" spans="1:22" ht="16.5" customHeight="1">
      <c r="A131" s="162">
        <v>114</v>
      </c>
      <c r="B131" s="131" t="s">
        <v>279</v>
      </c>
      <c r="C131" s="132" t="s">
        <v>277</v>
      </c>
      <c r="D131" s="4">
        <v>100182550.37325807</v>
      </c>
      <c r="E131" s="3">
        <v>0</v>
      </c>
      <c r="F131" s="4">
        <v>159316.77899999998</v>
      </c>
      <c r="G131" s="4">
        <v>159316.77899999998</v>
      </c>
      <c r="H131" s="58">
        <v>4</v>
      </c>
      <c r="I131" s="5">
        <v>6.9999999999999999E-4</v>
      </c>
      <c r="J131" s="5">
        <v>2.7699999999999999E-2</v>
      </c>
      <c r="K131" s="4">
        <v>101408670.79947323</v>
      </c>
      <c r="L131" s="3">
        <f t="shared" si="39"/>
        <v>6.2978374534390378E-5</v>
      </c>
      <c r="M131" s="4">
        <v>161261.24369999999</v>
      </c>
      <c r="N131" s="4">
        <v>161261.24369999999</v>
      </c>
      <c r="O131" s="58">
        <v>5</v>
      </c>
      <c r="P131" s="5">
        <v>5.9999999999999995E-4</v>
      </c>
      <c r="Q131" s="5">
        <v>2.8000000000000001E-2</v>
      </c>
      <c r="R131" s="77">
        <f>((K131-D131)/D131)</f>
        <v>1.2238862173571174E-2</v>
      </c>
      <c r="S131" s="77">
        <f>((N131-G131)/G131)</f>
        <v>1.2205021418365554E-2</v>
      </c>
      <c r="T131" s="77">
        <f>((O131-H131)/H131)</f>
        <v>0.25</v>
      </c>
      <c r="U131" s="77">
        <f>P131-I131</f>
        <v>-1.0000000000000005E-4</v>
      </c>
      <c r="V131" s="79">
        <f>Q131-J131</f>
        <v>3.0000000000000165E-4</v>
      </c>
    </row>
    <row r="132" spans="1:22">
      <c r="A132" s="162">
        <v>115</v>
      </c>
      <c r="B132" s="131" t="s">
        <v>261</v>
      </c>
      <c r="C132" s="132" t="s">
        <v>259</v>
      </c>
      <c r="D132" s="4">
        <f>1033725.63*1578.765</f>
        <v>1632009844.2469501</v>
      </c>
      <c r="E132" s="3">
        <f>(D132/$D$133)</f>
        <v>1.0244641358768947E-3</v>
      </c>
      <c r="F132" s="4">
        <f>1.18*1578.765</f>
        <v>1862.9427000000001</v>
      </c>
      <c r="G132" s="4">
        <f>1.18*1578.765</f>
        <v>1862.9427000000001</v>
      </c>
      <c r="H132" s="58">
        <v>49</v>
      </c>
      <c r="I132" s="5">
        <v>-1.2999999999999999E-3</v>
      </c>
      <c r="J132" s="5">
        <v>6.9800000000000001E-2</v>
      </c>
      <c r="K132" s="4">
        <f>1045004.32*1565.429</f>
        <v>1635880067.65328</v>
      </c>
      <c r="L132" s="3">
        <f t="shared" si="39"/>
        <v>1.0159394337959048E-3</v>
      </c>
      <c r="M132" s="4">
        <f>1.18*1565.429</f>
        <v>1847.20622</v>
      </c>
      <c r="N132" s="4">
        <f>1.18*1565.429</f>
        <v>1847.20622</v>
      </c>
      <c r="O132" s="58">
        <v>50</v>
      </c>
      <c r="P132" s="5">
        <v>1.176E-3</v>
      </c>
      <c r="Q132" s="5">
        <v>7.1016999999999997E-2</v>
      </c>
      <c r="R132" s="77">
        <f t="shared" si="40"/>
        <v>2.3714461159489437E-3</v>
      </c>
      <c r="S132" s="77">
        <f t="shared" si="41"/>
        <v>-8.4471089744198938E-3</v>
      </c>
      <c r="T132" s="77">
        <f t="shared" si="42"/>
        <v>2.0408163265306121E-2</v>
      </c>
      <c r="U132" s="77">
        <f t="shared" si="43"/>
        <v>2.4759999999999999E-3</v>
      </c>
      <c r="V132" s="79">
        <f t="shared" si="44"/>
        <v>1.2169999999999959E-3</v>
      </c>
    </row>
    <row r="133" spans="1:22">
      <c r="A133" s="71"/>
      <c r="B133" s="129"/>
      <c r="C133" s="64" t="s">
        <v>46</v>
      </c>
      <c r="D133" s="57">
        <f>SUM(D103:D132)</f>
        <v>1593037556995.613</v>
      </c>
      <c r="E133" s="96">
        <f>(D133/$D$202)</f>
        <v>0.48570686788161571</v>
      </c>
      <c r="F133" s="30"/>
      <c r="G133" s="11"/>
      <c r="H133" s="63">
        <f>SUM(H103:H132)</f>
        <v>19097</v>
      </c>
      <c r="I133" s="33"/>
      <c r="J133" s="33"/>
      <c r="K133" s="57">
        <f>SUM(K103:K132)</f>
        <v>1610214165564.0437</v>
      </c>
      <c r="L133" s="96">
        <f>(K133/$K$202)</f>
        <v>0.48498155830040712</v>
      </c>
      <c r="M133" s="30"/>
      <c r="N133" s="11"/>
      <c r="O133" s="63">
        <f>SUM(O103:O132)</f>
        <v>19379</v>
      </c>
      <c r="P133" s="33"/>
      <c r="Q133" s="33"/>
      <c r="R133" s="77">
        <f t="shared" si="40"/>
        <v>1.078229982275174E-2</v>
      </c>
      <c r="S133" s="77" t="e">
        <f t="shared" si="41"/>
        <v>#DIV/0!</v>
      </c>
      <c r="T133" s="77">
        <f t="shared" si="42"/>
        <v>1.4766717285437504E-2</v>
      </c>
      <c r="U133" s="77">
        <f t="shared" si="43"/>
        <v>0</v>
      </c>
      <c r="V133" s="79">
        <f t="shared" si="44"/>
        <v>0</v>
      </c>
    </row>
    <row r="134" spans="1:22" ht="8.25" customHeight="1">
      <c r="A134" s="167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</row>
    <row r="135" spans="1:22" ht="15.75">
      <c r="A135" s="174" t="s">
        <v>147</v>
      </c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</row>
    <row r="136" spans="1:22">
      <c r="A136" s="162">
        <v>116</v>
      </c>
      <c r="B136" s="131" t="s">
        <v>243</v>
      </c>
      <c r="C136" s="132" t="s">
        <v>244</v>
      </c>
      <c r="D136" s="2">
        <v>2378734823.4541268</v>
      </c>
      <c r="E136" s="3">
        <f>(D136/$D$141)</f>
        <v>2.4352402500157064E-2</v>
      </c>
      <c r="F136" s="14">
        <v>112.1</v>
      </c>
      <c r="G136" s="14">
        <v>112.1</v>
      </c>
      <c r="H136" s="58">
        <v>7</v>
      </c>
      <c r="I136" s="5">
        <v>2.6941621774649871E-3</v>
      </c>
      <c r="J136" s="5">
        <v>9.6699999999999994E-2</v>
      </c>
      <c r="K136" s="2">
        <v>2385121583.9000001</v>
      </c>
      <c r="L136" s="3">
        <f>(K136/$K$141)</f>
        <v>2.4406365282469721E-2</v>
      </c>
      <c r="M136" s="14">
        <v>112.4</v>
      </c>
      <c r="N136" s="14">
        <v>112.4</v>
      </c>
      <c r="O136" s="58">
        <v>7</v>
      </c>
      <c r="P136" s="5">
        <v>2.684940071041364E-3</v>
      </c>
      <c r="Q136" s="5">
        <v>9.9599999999999994E-2</v>
      </c>
      <c r="R136" s="77">
        <f t="shared" ref="R136:R141" si="45">((K136-D136)/D136)</f>
        <v>2.6849400710412677E-3</v>
      </c>
      <c r="S136" s="77">
        <f t="shared" ref="S136:T141" si="46">((N136-G136)/G136)</f>
        <v>2.6761819803747672E-3</v>
      </c>
      <c r="T136" s="77">
        <f t="shared" si="46"/>
        <v>0</v>
      </c>
      <c r="U136" s="77">
        <f t="shared" ref="U136:V141" si="47">P136-I136</f>
        <v>-9.2221064236230887E-6</v>
      </c>
      <c r="V136" s="79">
        <f t="shared" si="47"/>
        <v>2.8999999999999998E-3</v>
      </c>
    </row>
    <row r="137" spans="1:22">
      <c r="A137" s="162">
        <v>117</v>
      </c>
      <c r="B137" s="131" t="s">
        <v>148</v>
      </c>
      <c r="C137" s="132" t="s">
        <v>40</v>
      </c>
      <c r="D137" s="2">
        <v>53749983529</v>
      </c>
      <c r="E137" s="3">
        <f>(D137/$D$141)</f>
        <v>0.55026782320121159</v>
      </c>
      <c r="F137" s="14">
        <v>102.5</v>
      </c>
      <c r="G137" s="14">
        <v>102.5</v>
      </c>
      <c r="H137" s="58">
        <v>666</v>
      </c>
      <c r="I137" s="5">
        <v>0</v>
      </c>
      <c r="J137" s="5">
        <v>7.6999999999999999E-2</v>
      </c>
      <c r="K137" s="2">
        <v>53749983529</v>
      </c>
      <c r="L137" s="3">
        <f>(K137/$K$141)</f>
        <v>0.55001042328016847</v>
      </c>
      <c r="M137" s="14">
        <v>102.5</v>
      </c>
      <c r="N137" s="14">
        <v>102.5</v>
      </c>
      <c r="O137" s="58">
        <v>666</v>
      </c>
      <c r="P137" s="5">
        <v>0</v>
      </c>
      <c r="Q137" s="5">
        <v>7.6999999999999999E-2</v>
      </c>
      <c r="R137" s="77">
        <f t="shared" si="45"/>
        <v>0</v>
      </c>
      <c r="S137" s="77">
        <f t="shared" si="46"/>
        <v>0</v>
      </c>
      <c r="T137" s="77">
        <f t="shared" si="46"/>
        <v>0</v>
      </c>
      <c r="U137" s="77">
        <f t="shared" si="47"/>
        <v>0</v>
      </c>
      <c r="V137" s="79">
        <f t="shared" si="47"/>
        <v>0</v>
      </c>
    </row>
    <row r="138" spans="1:22" ht="15.75" customHeight="1">
      <c r="A138" s="162">
        <v>118</v>
      </c>
      <c r="B138" s="131" t="s">
        <v>149</v>
      </c>
      <c r="C138" s="132" t="s">
        <v>120</v>
      </c>
      <c r="D138" s="2">
        <v>2471676357.4447231</v>
      </c>
      <c r="E138" s="3">
        <f>(D138/$D$141)</f>
        <v>2.5303895546966902E-2</v>
      </c>
      <c r="F138" s="14">
        <v>111.5</v>
      </c>
      <c r="G138" s="14">
        <v>111.5</v>
      </c>
      <c r="H138" s="58">
        <v>2835</v>
      </c>
      <c r="I138" s="5">
        <v>0.11149633712918389</v>
      </c>
      <c r="J138" s="5">
        <v>9.0690462722066323E-2</v>
      </c>
      <c r="K138" s="2">
        <v>2474182292.513073</v>
      </c>
      <c r="L138" s="3">
        <f>(K138/$K$141)</f>
        <v>2.5317701711354005E-2</v>
      </c>
      <c r="M138" s="14">
        <v>122.65</v>
      </c>
      <c r="N138" s="14">
        <v>122.65</v>
      </c>
      <c r="O138" s="58">
        <v>2835</v>
      </c>
      <c r="P138" s="5">
        <v>6.8916570104284938E-2</v>
      </c>
      <c r="Q138" s="5">
        <v>8.1266223847672125E-2</v>
      </c>
      <c r="R138" s="77">
        <f t="shared" si="45"/>
        <v>1.0138605164878999E-3</v>
      </c>
      <c r="S138" s="77">
        <f t="shared" si="46"/>
        <v>0.10000000000000005</v>
      </c>
      <c r="T138" s="77">
        <f t="shared" si="46"/>
        <v>0</v>
      </c>
      <c r="U138" s="77">
        <f t="shared" si="47"/>
        <v>-4.2579767024898948E-2</v>
      </c>
      <c r="V138" s="79">
        <f t="shared" si="47"/>
        <v>-9.4242388743941974E-3</v>
      </c>
    </row>
    <row r="139" spans="1:22">
      <c r="A139" s="162">
        <v>119</v>
      </c>
      <c r="B139" s="131" t="s">
        <v>150</v>
      </c>
      <c r="C139" s="132" t="s">
        <v>120</v>
      </c>
      <c r="D139" s="2">
        <v>10095911130.35</v>
      </c>
      <c r="E139" s="3">
        <f>(D139/$D$141)</f>
        <v>0.10335733475961374</v>
      </c>
      <c r="F139" s="14">
        <v>36.6</v>
      </c>
      <c r="G139" s="14">
        <v>36.6</v>
      </c>
      <c r="H139" s="58">
        <v>5261</v>
      </c>
      <c r="I139" s="5">
        <v>5.5270311084266666E-2</v>
      </c>
      <c r="J139" s="5">
        <v>0.19425892627793453</v>
      </c>
      <c r="K139" s="2">
        <v>10113533675.360001</v>
      </c>
      <c r="L139" s="3">
        <f>(K139/$K$141)</f>
        <v>0.10348931427377651</v>
      </c>
      <c r="M139" s="14">
        <v>36.6</v>
      </c>
      <c r="N139" s="14">
        <v>36.6</v>
      </c>
      <c r="O139" s="58">
        <v>5261</v>
      </c>
      <c r="P139" s="5">
        <v>8.281792125508787E-2</v>
      </c>
      <c r="Q139" s="5">
        <v>0.19550722831505482</v>
      </c>
      <c r="R139" s="77">
        <f t="shared" si="45"/>
        <v>1.7455130876720879E-3</v>
      </c>
      <c r="S139" s="77">
        <f t="shared" si="46"/>
        <v>0</v>
      </c>
      <c r="T139" s="77">
        <f t="shared" si="46"/>
        <v>0</v>
      </c>
      <c r="U139" s="77">
        <f t="shared" si="47"/>
        <v>2.7547610170821205E-2</v>
      </c>
      <c r="V139" s="79">
        <f t="shared" si="47"/>
        <v>1.2483020371202858E-3</v>
      </c>
    </row>
    <row r="140" spans="1:22">
      <c r="A140" s="163">
        <v>120</v>
      </c>
      <c r="B140" s="131" t="s">
        <v>151</v>
      </c>
      <c r="C140" s="132" t="s">
        <v>42</v>
      </c>
      <c r="D140" s="2">
        <v>28983371696.240002</v>
      </c>
      <c r="E140" s="3">
        <f>(D140/$D$141)</f>
        <v>0.29671854399205078</v>
      </c>
      <c r="F140" s="14">
        <v>4.95</v>
      </c>
      <c r="G140" s="14">
        <v>4.95</v>
      </c>
      <c r="H140" s="58">
        <v>208263</v>
      </c>
      <c r="I140" s="5">
        <v>3.1300000000000001E-2</v>
      </c>
      <c r="J140" s="5">
        <v>-0.2266</v>
      </c>
      <c r="K140" s="2">
        <v>29002569664.450001</v>
      </c>
      <c r="L140" s="3">
        <f>(K140/$K$141)</f>
        <v>0.29677619545223133</v>
      </c>
      <c r="M140" s="14">
        <v>4.5999999999999996</v>
      </c>
      <c r="N140" s="14">
        <v>4.5999999999999996</v>
      </c>
      <c r="O140" s="58">
        <v>208263</v>
      </c>
      <c r="P140" s="5">
        <v>-7.0699999999999999E-2</v>
      </c>
      <c r="Q140" s="5">
        <v>-0.28129999999999999</v>
      </c>
      <c r="R140" s="77">
        <f t="shared" si="45"/>
        <v>6.6237870497619247E-4</v>
      </c>
      <c r="S140" s="77">
        <f t="shared" si="46"/>
        <v>-7.0707070707070815E-2</v>
      </c>
      <c r="T140" s="77">
        <f t="shared" si="46"/>
        <v>0</v>
      </c>
      <c r="U140" s="77">
        <f t="shared" si="47"/>
        <v>-0.10200000000000001</v>
      </c>
      <c r="V140" s="79">
        <f t="shared" si="47"/>
        <v>-5.4699999999999999E-2</v>
      </c>
    </row>
    <row r="141" spans="1:22">
      <c r="A141" s="115"/>
      <c r="B141" s="130"/>
      <c r="C141" s="68" t="s">
        <v>46</v>
      </c>
      <c r="D141" s="56">
        <f>SUM(D136:D140)</f>
        <v>97679677536.488846</v>
      </c>
      <c r="E141" s="96">
        <f>(D141/$D$202)</f>
        <v>2.9781903146973245E-2</v>
      </c>
      <c r="F141" s="30"/>
      <c r="G141" s="34"/>
      <c r="H141" s="63">
        <f>SUM(H136:H140)</f>
        <v>217032</v>
      </c>
      <c r="I141" s="35"/>
      <c r="J141" s="35"/>
      <c r="K141" s="56">
        <f>SUM(K136:K140)</f>
        <v>97725390745.223068</v>
      </c>
      <c r="L141" s="96">
        <f>(K141/$K$202)</f>
        <v>2.9433980462178096E-2</v>
      </c>
      <c r="M141" s="30"/>
      <c r="N141" s="34"/>
      <c r="O141" s="63">
        <f>SUM(O136:O140)</f>
        <v>217032</v>
      </c>
      <c r="P141" s="35"/>
      <c r="Q141" s="35"/>
      <c r="R141" s="77">
        <f t="shared" si="45"/>
        <v>4.6799098734888803E-4</v>
      </c>
      <c r="S141" s="77" t="e">
        <f t="shared" si="46"/>
        <v>#DIV/0!</v>
      </c>
      <c r="T141" s="77">
        <f t="shared" si="46"/>
        <v>0</v>
      </c>
      <c r="U141" s="77">
        <f t="shared" si="47"/>
        <v>0</v>
      </c>
      <c r="V141" s="79">
        <f t="shared" si="47"/>
        <v>0</v>
      </c>
    </row>
    <row r="142" spans="1:22" ht="7.5" customHeight="1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</row>
    <row r="143" spans="1:22" ht="15" customHeight="1">
      <c r="A143" s="174" t="s">
        <v>152</v>
      </c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</row>
    <row r="144" spans="1:22">
      <c r="A144" s="157">
        <v>121</v>
      </c>
      <c r="B144" s="131" t="s">
        <v>153</v>
      </c>
      <c r="C144" s="132" t="s">
        <v>50</v>
      </c>
      <c r="D144" s="4">
        <v>242994645.41999999</v>
      </c>
      <c r="E144" s="3">
        <f t="shared" ref="E144:E171" si="48">(D144/$D$172)</f>
        <v>4.911015689752809E-3</v>
      </c>
      <c r="F144" s="4">
        <v>5.43</v>
      </c>
      <c r="G144" s="4">
        <v>5.51</v>
      </c>
      <c r="H144" s="60">
        <v>11835</v>
      </c>
      <c r="I144" s="6">
        <v>3.3800000000000002E-3</v>
      </c>
      <c r="J144" s="6">
        <v>8.0239000000000005E-2</v>
      </c>
      <c r="K144" s="4">
        <v>241205975.84</v>
      </c>
      <c r="L144" s="16">
        <f t="shared" ref="L144:L171" si="49">(K144/$K$172)</f>
        <v>4.8508992874426319E-3</v>
      </c>
      <c r="M144" s="4">
        <v>5.4</v>
      </c>
      <c r="N144" s="4">
        <v>5.47</v>
      </c>
      <c r="O144" s="60">
        <v>11835</v>
      </c>
      <c r="P144" s="6">
        <v>-7.5950000000000002E-3</v>
      </c>
      <c r="Q144" s="6">
        <v>7.2644E-2</v>
      </c>
      <c r="R144" s="77">
        <f>((K144-D144)/D144)</f>
        <v>-7.3609423652458992E-3</v>
      </c>
      <c r="S144" s="77">
        <f>((N144-G144)/G144)</f>
        <v>-7.259528130671513E-3</v>
      </c>
      <c r="T144" s="77">
        <f>((O144-H144)/H144)</f>
        <v>0</v>
      </c>
      <c r="U144" s="77">
        <f>P144-I144</f>
        <v>-1.0975E-2</v>
      </c>
      <c r="V144" s="79">
        <f>Q144-J144</f>
        <v>-7.5950000000000045E-3</v>
      </c>
    </row>
    <row r="145" spans="1:24">
      <c r="A145" s="162">
        <v>122</v>
      </c>
      <c r="B145" s="131" t="s">
        <v>253</v>
      </c>
      <c r="C145" s="131" t="s">
        <v>252</v>
      </c>
      <c r="D145" s="4">
        <v>619039939.44074547</v>
      </c>
      <c r="E145" s="3">
        <f t="shared" si="48"/>
        <v>1.2511036405442164E-2</v>
      </c>
      <c r="F145" s="4">
        <v>1181.5511500832238</v>
      </c>
      <c r="G145" s="4">
        <v>1192.580406414311</v>
      </c>
      <c r="H145" s="60">
        <v>171</v>
      </c>
      <c r="I145" s="6">
        <v>2.1797894923945059E-3</v>
      </c>
      <c r="J145" s="6">
        <v>5.4614813925633464E-2</v>
      </c>
      <c r="K145" s="4">
        <v>619139611.10331535</v>
      </c>
      <c r="L145" s="16">
        <f t="shared" si="49"/>
        <v>1.2451531882115665E-2</v>
      </c>
      <c r="M145" s="4">
        <v>1182.0556631589845</v>
      </c>
      <c r="N145" s="4">
        <v>1193.0772572343033</v>
      </c>
      <c r="O145" s="60">
        <v>168</v>
      </c>
      <c r="P145" s="6">
        <v>4.2069272560064941E-4</v>
      </c>
      <c r="Q145" s="6">
        <v>5.5058482706162662E-2</v>
      </c>
      <c r="R145" s="77">
        <f>((K145-D145)/D145)</f>
        <v>1.6101006771861295E-4</v>
      </c>
      <c r="S145" s="77">
        <f>((N145-G145)/G145)</f>
        <v>4.1661829870750285E-4</v>
      </c>
      <c r="T145" s="77">
        <f>((O145-H145)/H145)</f>
        <v>-1.7543859649122806E-2</v>
      </c>
      <c r="U145" s="77">
        <f>P145-I145</f>
        <v>-1.7590967667938566E-3</v>
      </c>
      <c r="V145" s="79">
        <f>Q145-J145</f>
        <v>4.4366878052919806E-4</v>
      </c>
    </row>
    <row r="146" spans="1:24">
      <c r="A146" s="154">
        <v>123</v>
      </c>
      <c r="B146" s="131" t="s">
        <v>154</v>
      </c>
      <c r="C146" s="132" t="s">
        <v>21</v>
      </c>
      <c r="D146" s="4">
        <v>6216232757.3500004</v>
      </c>
      <c r="E146" s="3">
        <f t="shared" si="48"/>
        <v>0.12563246630285035</v>
      </c>
      <c r="F146" s="4">
        <v>741.08929999999998</v>
      </c>
      <c r="G146" s="4">
        <v>763.43370000000004</v>
      </c>
      <c r="H146" s="60">
        <v>21313</v>
      </c>
      <c r="I146" s="6">
        <v>-2.0722999999999998</v>
      </c>
      <c r="J146" s="6">
        <v>0.18970000000000001</v>
      </c>
      <c r="K146" s="4">
        <v>6351189895.2200003</v>
      </c>
      <c r="L146" s="16">
        <f t="shared" si="49"/>
        <v>0.12772893552841399</v>
      </c>
      <c r="M146" s="4">
        <v>736.69860000000006</v>
      </c>
      <c r="N146" s="4">
        <v>758.91060000000004</v>
      </c>
      <c r="O146" s="60">
        <v>21315</v>
      </c>
      <c r="P146" s="6">
        <v>-0.30980000000000002</v>
      </c>
      <c r="Q146" s="6">
        <v>0.17380000000000001</v>
      </c>
      <c r="R146" s="77">
        <f t="shared" ref="R146:R172" si="50">((K146-D146)/D146)</f>
        <v>2.1710438321413908E-2</v>
      </c>
      <c r="S146" s="77">
        <f t="shared" ref="S146:S172" si="51">((N146-G146)/G146)</f>
        <v>-5.924679510480084E-3</v>
      </c>
      <c r="T146" s="77">
        <f t="shared" ref="T146:T172" si="52">((O146-H146)/H146)</f>
        <v>9.3839440716933333E-5</v>
      </c>
      <c r="U146" s="77">
        <f t="shared" ref="U146:U172" si="53">P146-I146</f>
        <v>1.7624999999999997</v>
      </c>
      <c r="V146" s="79">
        <f t="shared" ref="V146:V172" si="54">Q146-J146</f>
        <v>-1.5899999999999997E-2</v>
      </c>
    </row>
    <row r="147" spans="1:24">
      <c r="A147" s="165">
        <v>124</v>
      </c>
      <c r="B147" s="131" t="s">
        <v>155</v>
      </c>
      <c r="C147" s="132" t="s">
        <v>91</v>
      </c>
      <c r="D147" s="4">
        <v>3682352680.3899999</v>
      </c>
      <c r="E147" s="3">
        <f t="shared" si="48"/>
        <v>7.4421770723965788E-2</v>
      </c>
      <c r="F147" s="4">
        <v>20.815200000000001</v>
      </c>
      <c r="G147" s="4">
        <v>21.0623</v>
      </c>
      <c r="H147" s="58">
        <v>6224</v>
      </c>
      <c r="I147" s="5">
        <v>1.61E-2</v>
      </c>
      <c r="J147" s="5">
        <v>0.12859999999999999</v>
      </c>
      <c r="K147" s="4">
        <v>3639886107.7600002</v>
      </c>
      <c r="L147" s="16">
        <f t="shared" si="49"/>
        <v>7.3201838656839976E-2</v>
      </c>
      <c r="M147" s="4">
        <v>20.496600000000001</v>
      </c>
      <c r="N147" s="4">
        <v>20.736499999999999</v>
      </c>
      <c r="O147" s="58">
        <v>6221</v>
      </c>
      <c r="P147" s="5">
        <v>-5.5999999999999999E-3</v>
      </c>
      <c r="Q147" s="5">
        <v>0.1113</v>
      </c>
      <c r="R147" s="77">
        <f t="shared" si="50"/>
        <v>-1.153245664277382E-2</v>
      </c>
      <c r="S147" s="77">
        <f t="shared" si="51"/>
        <v>-1.5468396139073177E-2</v>
      </c>
      <c r="T147" s="77">
        <f t="shared" si="52"/>
        <v>-4.820051413881748E-4</v>
      </c>
      <c r="U147" s="77">
        <f t="shared" si="53"/>
        <v>-2.1700000000000001E-2</v>
      </c>
      <c r="V147" s="79">
        <f t="shared" si="54"/>
        <v>-1.7299999999999996E-2</v>
      </c>
    </row>
    <row r="148" spans="1:24">
      <c r="A148" s="157">
        <v>125</v>
      </c>
      <c r="B148" s="131" t="s">
        <v>156</v>
      </c>
      <c r="C148" s="132" t="s">
        <v>101</v>
      </c>
      <c r="D148" s="2">
        <v>1651161253.2784126</v>
      </c>
      <c r="E148" s="3">
        <f t="shared" si="48"/>
        <v>3.3370607023650835E-2</v>
      </c>
      <c r="F148" s="4">
        <v>3.8854000000000002</v>
      </c>
      <c r="G148" s="4">
        <v>3.9830000000000001</v>
      </c>
      <c r="H148" s="58">
        <v>2748</v>
      </c>
      <c r="I148" s="5">
        <v>0.80920000000000003</v>
      </c>
      <c r="J148" s="5">
        <v>0.40250000000000002</v>
      </c>
      <c r="K148" s="2">
        <v>1659465822.9191074</v>
      </c>
      <c r="L148" s="16">
        <f t="shared" si="49"/>
        <v>3.337355780635165E-2</v>
      </c>
      <c r="M148" s="4">
        <v>3.9047000000000001</v>
      </c>
      <c r="N148" s="4">
        <v>4.0030000000000001</v>
      </c>
      <c r="O148" s="58">
        <v>2748</v>
      </c>
      <c r="P148" s="5">
        <v>0.26250000000000001</v>
      </c>
      <c r="Q148" s="5">
        <v>0.40029999999999999</v>
      </c>
      <c r="R148" s="77">
        <f t="shared" si="50"/>
        <v>5.0295327753155381E-3</v>
      </c>
      <c r="S148" s="77">
        <f t="shared" si="51"/>
        <v>5.0213406979663609E-3</v>
      </c>
      <c r="T148" s="77">
        <f t="shared" si="52"/>
        <v>0</v>
      </c>
      <c r="U148" s="77">
        <f t="shared" si="53"/>
        <v>-0.54669999999999996</v>
      </c>
      <c r="V148" s="79">
        <f t="shared" si="54"/>
        <v>-2.2000000000000353E-3</v>
      </c>
    </row>
    <row r="149" spans="1:24">
      <c r="A149" s="155">
        <v>126</v>
      </c>
      <c r="B149" s="131" t="s">
        <v>157</v>
      </c>
      <c r="C149" s="132" t="s">
        <v>56</v>
      </c>
      <c r="D149" s="4">
        <v>2889349110.6627998</v>
      </c>
      <c r="E149" s="3">
        <f t="shared" si="48"/>
        <v>5.839486212180723E-2</v>
      </c>
      <c r="F149" s="4">
        <v>6747.4634441366798</v>
      </c>
      <c r="G149" s="4">
        <v>6796.2757939977901</v>
      </c>
      <c r="H149" s="58">
        <v>867</v>
      </c>
      <c r="I149" s="5">
        <v>0.85403641252918583</v>
      </c>
      <c r="J149" s="5">
        <v>0.26510340873284777</v>
      </c>
      <c r="K149" s="4">
        <v>2990406591.0652499</v>
      </c>
      <c r="L149" s="16">
        <f t="shared" si="49"/>
        <v>6.014014019032677E-2</v>
      </c>
      <c r="M149" s="4">
        <v>6822.8661478041404</v>
      </c>
      <c r="N149" s="4">
        <v>6871.4303716362201</v>
      </c>
      <c r="O149" s="58">
        <v>870</v>
      </c>
      <c r="P149" s="5">
        <v>0.58429130486851533</v>
      </c>
      <c r="Q149" s="5">
        <v>0.27744549761553727</v>
      </c>
      <c r="R149" s="77">
        <f t="shared" si="50"/>
        <v>3.497586360523533E-2</v>
      </c>
      <c r="S149" s="77">
        <f t="shared" si="51"/>
        <v>1.105820009611789E-2</v>
      </c>
      <c r="T149" s="77">
        <f t="shared" si="52"/>
        <v>3.4602076124567475E-3</v>
      </c>
      <c r="U149" s="77">
        <f t="shared" si="53"/>
        <v>-0.2697451076606705</v>
      </c>
      <c r="V149" s="79">
        <f t="shared" si="54"/>
        <v>1.2342088882689506E-2</v>
      </c>
    </row>
    <row r="150" spans="1:24">
      <c r="A150" s="162">
        <v>127</v>
      </c>
      <c r="B150" s="131" t="s">
        <v>158</v>
      </c>
      <c r="C150" s="132" t="s">
        <v>58</v>
      </c>
      <c r="D150" s="4">
        <v>712480135.73000002</v>
      </c>
      <c r="E150" s="3">
        <f t="shared" si="48"/>
        <v>1.4399498882617153E-2</v>
      </c>
      <c r="F150" s="4">
        <v>176.56</v>
      </c>
      <c r="G150" s="4">
        <v>177.47</v>
      </c>
      <c r="H150" s="58">
        <v>673</v>
      </c>
      <c r="I150" s="5">
        <v>1.23E-2</v>
      </c>
      <c r="J150" s="5">
        <v>0.14360000000000001</v>
      </c>
      <c r="K150" s="4">
        <v>715939085.52999997</v>
      </c>
      <c r="L150" s="16">
        <f t="shared" si="49"/>
        <v>1.4398268483006115E-2</v>
      </c>
      <c r="M150" s="4">
        <v>177.51</v>
      </c>
      <c r="N150" s="4">
        <v>178.7</v>
      </c>
      <c r="O150" s="58">
        <v>674</v>
      </c>
      <c r="P150" s="5">
        <v>5.4000000000000003E-3</v>
      </c>
      <c r="Q150" s="5">
        <v>0.14910000000000001</v>
      </c>
      <c r="R150" s="77">
        <f t="shared" si="50"/>
        <v>4.854801736270088E-3</v>
      </c>
      <c r="S150" s="77">
        <f t="shared" si="51"/>
        <v>6.9307488589620209E-3</v>
      </c>
      <c r="T150" s="77">
        <f t="shared" si="52"/>
        <v>1.4858841010401188E-3</v>
      </c>
      <c r="U150" s="77">
        <f t="shared" si="53"/>
        <v>-6.8999999999999999E-3</v>
      </c>
      <c r="V150" s="79">
        <f t="shared" si="54"/>
        <v>5.5000000000000049E-3</v>
      </c>
    </row>
    <row r="151" spans="1:24">
      <c r="A151" s="163">
        <v>128</v>
      </c>
      <c r="B151" s="131" t="s">
        <v>159</v>
      </c>
      <c r="C151" s="132" t="s">
        <v>60</v>
      </c>
      <c r="D151" s="4">
        <v>3734808.11</v>
      </c>
      <c r="E151" s="3">
        <f t="shared" si="48"/>
        <v>7.5481915227899901E-5</v>
      </c>
      <c r="F151" s="4">
        <v>102.747</v>
      </c>
      <c r="G151" s="4">
        <v>102.99</v>
      </c>
      <c r="H151" s="58">
        <v>0</v>
      </c>
      <c r="I151" s="5">
        <v>0</v>
      </c>
      <c r="J151" s="5">
        <v>0</v>
      </c>
      <c r="K151" s="4">
        <v>3734808.11</v>
      </c>
      <c r="L151" s="16">
        <f t="shared" si="49"/>
        <v>7.5110817368603225E-5</v>
      </c>
      <c r="M151" s="4">
        <v>102.747</v>
      </c>
      <c r="N151" s="4">
        <v>102.99</v>
      </c>
      <c r="O151" s="58">
        <v>0</v>
      </c>
      <c r="P151" s="5">
        <v>0</v>
      </c>
      <c r="Q151" s="5">
        <v>0</v>
      </c>
      <c r="R151" s="77">
        <f t="shared" si="50"/>
        <v>0</v>
      </c>
      <c r="S151" s="77">
        <f t="shared" si="51"/>
        <v>0</v>
      </c>
      <c r="T151" s="77" t="e">
        <f t="shared" si="52"/>
        <v>#DIV/0!</v>
      </c>
      <c r="U151" s="77">
        <f t="shared" si="53"/>
        <v>0</v>
      </c>
      <c r="V151" s="79">
        <f t="shared" si="54"/>
        <v>0</v>
      </c>
    </row>
    <row r="152" spans="1:24">
      <c r="A152" s="163">
        <v>129</v>
      </c>
      <c r="B152" s="131" t="s">
        <v>160</v>
      </c>
      <c r="C152" s="132" t="s">
        <v>105</v>
      </c>
      <c r="D152" s="4">
        <v>194388637.30000001</v>
      </c>
      <c r="E152" s="3">
        <f t="shared" si="48"/>
        <v>3.9286694817489785E-3</v>
      </c>
      <c r="F152" s="4">
        <v>1.4659</v>
      </c>
      <c r="G152" s="4">
        <v>1.478</v>
      </c>
      <c r="H152" s="58">
        <v>331</v>
      </c>
      <c r="I152" s="5">
        <v>2.0000000000000001E-4</v>
      </c>
      <c r="J152" s="5">
        <v>1.4E-3</v>
      </c>
      <c r="K152" s="4">
        <v>195850100.12</v>
      </c>
      <c r="L152" s="16">
        <f t="shared" si="49"/>
        <v>3.9387461600365803E-3</v>
      </c>
      <c r="M152" s="4">
        <v>1.4590000000000001</v>
      </c>
      <c r="N152" s="4">
        <v>1.478</v>
      </c>
      <c r="O152" s="58">
        <v>347</v>
      </c>
      <c r="P152" s="5">
        <v>-4.7070059349204607E-3</v>
      </c>
      <c r="Q152" s="5">
        <v>-3.3472231709815725E-3</v>
      </c>
      <c r="R152" s="77">
        <f t="shared" si="50"/>
        <v>7.5182523027028433E-3</v>
      </c>
      <c r="S152" s="77">
        <f t="shared" si="51"/>
        <v>0</v>
      </c>
      <c r="T152" s="77">
        <f t="shared" si="52"/>
        <v>4.8338368580060423E-2</v>
      </c>
      <c r="U152" s="77">
        <f t="shared" si="53"/>
        <v>-4.9070059349204604E-3</v>
      </c>
      <c r="V152" s="79">
        <f t="shared" si="54"/>
        <v>-4.7472231709815727E-3</v>
      </c>
    </row>
    <row r="153" spans="1:24">
      <c r="A153" s="157">
        <v>130</v>
      </c>
      <c r="B153" s="131" t="s">
        <v>161</v>
      </c>
      <c r="C153" s="132" t="s">
        <v>25</v>
      </c>
      <c r="D153" s="9">
        <v>130475035.92</v>
      </c>
      <c r="E153" s="3">
        <f t="shared" si="48"/>
        <v>2.6369508983074999E-3</v>
      </c>
      <c r="F153" s="4">
        <v>147.7465</v>
      </c>
      <c r="G153" s="4">
        <v>148.34530000000001</v>
      </c>
      <c r="H153" s="58">
        <v>118</v>
      </c>
      <c r="I153" s="5">
        <v>4.0400000000000001E-4</v>
      </c>
      <c r="J153" s="5">
        <v>0.17749999999999999</v>
      </c>
      <c r="K153" s="9">
        <v>129857880.69</v>
      </c>
      <c r="L153" s="16">
        <f t="shared" si="49"/>
        <v>2.611575018878402E-3</v>
      </c>
      <c r="M153" s="4">
        <v>147.2748</v>
      </c>
      <c r="N153" s="4">
        <v>147.86760000000001</v>
      </c>
      <c r="O153" s="58">
        <v>118</v>
      </c>
      <c r="P153" s="5">
        <v>-3.5569999999999998E-3</v>
      </c>
      <c r="Q153" s="5">
        <v>0.16919999999999999</v>
      </c>
      <c r="R153" s="77">
        <f t="shared" si="50"/>
        <v>-4.7300636910988037E-3</v>
      </c>
      <c r="S153" s="77">
        <f t="shared" si="51"/>
        <v>-3.2201896521156965E-3</v>
      </c>
      <c r="T153" s="77">
        <f t="shared" si="52"/>
        <v>0</v>
      </c>
      <c r="U153" s="77">
        <f t="shared" si="53"/>
        <v>-3.9610000000000001E-3</v>
      </c>
      <c r="V153" s="79">
        <f t="shared" si="54"/>
        <v>-8.3000000000000018E-3</v>
      </c>
    </row>
    <row r="154" spans="1:24">
      <c r="A154" s="158">
        <v>131</v>
      </c>
      <c r="B154" s="131" t="s">
        <v>162</v>
      </c>
      <c r="C154" s="132" t="s">
        <v>64</v>
      </c>
      <c r="D154" s="9">
        <v>212910585.22999999</v>
      </c>
      <c r="E154" s="3">
        <f t="shared" si="48"/>
        <v>4.3030052072617507E-3</v>
      </c>
      <c r="F154" s="4">
        <v>114.09</v>
      </c>
      <c r="G154" s="4">
        <v>114.6</v>
      </c>
      <c r="H154" s="58">
        <v>27</v>
      </c>
      <c r="I154" s="5">
        <v>-1E-3</v>
      </c>
      <c r="J154" s="5">
        <v>0.15229999999999999</v>
      </c>
      <c r="K154" s="9">
        <v>213311846.62</v>
      </c>
      <c r="L154" s="16">
        <f t="shared" si="49"/>
        <v>4.2899197715500102E-3</v>
      </c>
      <c r="M154" s="4">
        <v>114.28</v>
      </c>
      <c r="N154" s="4">
        <v>114.87</v>
      </c>
      <c r="O154" s="58">
        <v>43</v>
      </c>
      <c r="P154" s="5">
        <v>-1.0500000000000001E-2</v>
      </c>
      <c r="Q154" s="5">
        <v>0.14180000000000001</v>
      </c>
      <c r="R154" s="77">
        <f t="shared" si="50"/>
        <v>1.8846474428058455E-3</v>
      </c>
      <c r="S154" s="77">
        <f t="shared" si="51"/>
        <v>2.3560209424084663E-3</v>
      </c>
      <c r="T154" s="77">
        <f t="shared" si="52"/>
        <v>0.59259259259259256</v>
      </c>
      <c r="U154" s="77">
        <f t="shared" si="53"/>
        <v>-9.5000000000000015E-3</v>
      </c>
      <c r="V154" s="79">
        <f t="shared" si="54"/>
        <v>-1.0499999999999982E-2</v>
      </c>
    </row>
    <row r="155" spans="1:24" ht="15.75" customHeight="1">
      <c r="A155" s="163">
        <v>132</v>
      </c>
      <c r="B155" s="131" t="s">
        <v>163</v>
      </c>
      <c r="C155" s="132" t="s">
        <v>67</v>
      </c>
      <c r="D155" s="2">
        <v>320317522.91000003</v>
      </c>
      <c r="E155" s="3">
        <f t="shared" si="48"/>
        <v>6.4737409254216035E-3</v>
      </c>
      <c r="F155" s="4">
        <v>1.2488999999999999</v>
      </c>
      <c r="G155" s="4">
        <v>1.2628999999999999</v>
      </c>
      <c r="H155" s="58">
        <v>109</v>
      </c>
      <c r="I155" s="5">
        <v>-5.6017925736247189E-4</v>
      </c>
      <c r="J155" s="5">
        <v>0.23534708892191425</v>
      </c>
      <c r="K155" s="2">
        <v>345265960.52999997</v>
      </c>
      <c r="L155" s="16">
        <f t="shared" si="49"/>
        <v>6.9436521880542343E-3</v>
      </c>
      <c r="M155" s="4">
        <v>1.2423</v>
      </c>
      <c r="N155" s="4">
        <v>1.2287999999999999</v>
      </c>
      <c r="O155" s="58">
        <v>109</v>
      </c>
      <c r="P155" s="5">
        <v>-1.6487999999999999E-2</v>
      </c>
      <c r="Q155" s="5">
        <v>6.6116999999999995E-2</v>
      </c>
      <c r="R155" s="77">
        <f t="shared" si="50"/>
        <v>7.7886583891352501E-2</v>
      </c>
      <c r="S155" s="77">
        <f t="shared" si="51"/>
        <v>-2.7001346108163769E-2</v>
      </c>
      <c r="T155" s="77">
        <f t="shared" si="52"/>
        <v>0</v>
      </c>
      <c r="U155" s="77">
        <f t="shared" si="53"/>
        <v>-1.5927820742637527E-2</v>
      </c>
      <c r="V155" s="79">
        <f t="shared" si="54"/>
        <v>-0.16923008892191427</v>
      </c>
      <c r="X155" s="101"/>
    </row>
    <row r="156" spans="1:24">
      <c r="A156" s="158">
        <v>133</v>
      </c>
      <c r="B156" s="131" t="s">
        <v>164</v>
      </c>
      <c r="C156" s="132" t="s">
        <v>27</v>
      </c>
      <c r="D156" s="4">
        <v>8695102613.2299995</v>
      </c>
      <c r="E156" s="3">
        <f t="shared" si="48"/>
        <v>0.17573138405488731</v>
      </c>
      <c r="F156" s="4">
        <v>319.57</v>
      </c>
      <c r="G156" s="4">
        <v>321.58</v>
      </c>
      <c r="H156" s="58">
        <v>5469</v>
      </c>
      <c r="I156" s="5">
        <v>3.7000000000000002E-3</v>
      </c>
      <c r="J156" s="5">
        <v>0.18179999999999999</v>
      </c>
      <c r="K156" s="4">
        <v>8726671227.5</v>
      </c>
      <c r="L156" s="16">
        <f t="shared" si="49"/>
        <v>0.17550229877930651</v>
      </c>
      <c r="M156" s="4">
        <v>320.91000000000003</v>
      </c>
      <c r="N156" s="4">
        <v>322.94</v>
      </c>
      <c r="O156" s="58">
        <v>5467</v>
      </c>
      <c r="P156" s="5">
        <v>4.1999999999999997E-3</v>
      </c>
      <c r="Q156" s="5">
        <v>0.18679999999999999</v>
      </c>
      <c r="R156" s="77">
        <f t="shared" si="50"/>
        <v>3.6306200943468287E-3</v>
      </c>
      <c r="S156" s="77">
        <f t="shared" si="51"/>
        <v>4.2291187262889912E-3</v>
      </c>
      <c r="T156" s="77">
        <f t="shared" si="52"/>
        <v>-3.6569756811117204E-4</v>
      </c>
      <c r="U156" s="77">
        <f t="shared" si="53"/>
        <v>4.9999999999999958E-4</v>
      </c>
      <c r="V156" s="79">
        <f t="shared" si="54"/>
        <v>5.0000000000000044E-3</v>
      </c>
    </row>
    <row r="157" spans="1:24">
      <c r="A157" s="156">
        <v>134</v>
      </c>
      <c r="B157" s="131" t="s">
        <v>165</v>
      </c>
      <c r="C157" s="132" t="s">
        <v>72</v>
      </c>
      <c r="D157" s="4">
        <v>2952002156.3099999</v>
      </c>
      <c r="E157" s="3">
        <f t="shared" si="48"/>
        <v>5.9661104386744289E-2</v>
      </c>
      <c r="F157" s="4">
        <v>2.0661999999999998</v>
      </c>
      <c r="G157" s="4">
        <v>2.1025999999999998</v>
      </c>
      <c r="H157" s="58">
        <v>10309</v>
      </c>
      <c r="I157" s="5">
        <v>-5.1999999999999998E-3</v>
      </c>
      <c r="J157" s="5">
        <v>0.1736</v>
      </c>
      <c r="K157" s="4">
        <v>2857701842.9400001</v>
      </c>
      <c r="L157" s="16">
        <f t="shared" si="49"/>
        <v>5.7471311750736033E-2</v>
      </c>
      <c r="M157" s="4">
        <v>2.0015999999999998</v>
      </c>
      <c r="N157" s="4">
        <v>2.0343</v>
      </c>
      <c r="O157" s="58">
        <v>10309</v>
      </c>
      <c r="P157" s="5">
        <v>-2.2700000000000001E-2</v>
      </c>
      <c r="Q157" s="5">
        <v>0.14699999999999999</v>
      </c>
      <c r="R157" s="77">
        <f t="shared" si="50"/>
        <v>-3.1944527265479777E-2</v>
      </c>
      <c r="S157" s="77">
        <f t="shared" si="51"/>
        <v>-3.2483591743555508E-2</v>
      </c>
      <c r="T157" s="77">
        <f t="shared" si="52"/>
        <v>0</v>
      </c>
      <c r="U157" s="77">
        <f t="shared" si="53"/>
        <v>-1.7500000000000002E-2</v>
      </c>
      <c r="V157" s="79">
        <f t="shared" si="54"/>
        <v>-2.6600000000000013E-2</v>
      </c>
    </row>
    <row r="158" spans="1:24">
      <c r="A158" s="155">
        <v>135</v>
      </c>
      <c r="B158" s="131" t="s">
        <v>166</v>
      </c>
      <c r="C158" s="132" t="s">
        <v>74</v>
      </c>
      <c r="D158" s="4">
        <v>189979378.98355374</v>
      </c>
      <c r="E158" s="3">
        <f t="shared" si="48"/>
        <v>3.8395566672060357E-3</v>
      </c>
      <c r="F158" s="4">
        <v>247.19032367017044</v>
      </c>
      <c r="G158" s="4">
        <v>255.53541789192658</v>
      </c>
      <c r="H158" s="58">
        <v>39</v>
      </c>
      <c r="I158" s="5">
        <v>-1.6862253230837898E-2</v>
      </c>
      <c r="J158" s="5">
        <v>1.9523999487131651E-2</v>
      </c>
      <c r="K158" s="4">
        <v>189979378.98355374</v>
      </c>
      <c r="L158" s="16">
        <f t="shared" si="49"/>
        <v>3.8206799434829233E-3</v>
      </c>
      <c r="M158" s="4">
        <v>247.62039258438156</v>
      </c>
      <c r="N158" s="4">
        <v>256.10723375072592</v>
      </c>
      <c r="O158" s="58">
        <v>39</v>
      </c>
      <c r="P158" s="5">
        <v>1.7398290832166818E-3</v>
      </c>
      <c r="Q158" s="5">
        <v>2.1593195456646695E-2</v>
      </c>
      <c r="R158" s="77">
        <f t="shared" si="50"/>
        <v>0</v>
      </c>
      <c r="S158" s="77">
        <f t="shared" si="51"/>
        <v>2.2377166481132478E-3</v>
      </c>
      <c r="T158" s="77">
        <f t="shared" si="52"/>
        <v>0</v>
      </c>
      <c r="U158" s="77">
        <f t="shared" si="53"/>
        <v>1.860208231405458E-2</v>
      </c>
      <c r="V158" s="79">
        <f t="shared" si="54"/>
        <v>2.069195969515044E-3</v>
      </c>
    </row>
    <row r="159" spans="1:24">
      <c r="A159" s="162">
        <v>136</v>
      </c>
      <c r="B159" s="131" t="s">
        <v>275</v>
      </c>
      <c r="C159" s="131" t="s">
        <v>255</v>
      </c>
      <c r="D159" s="4">
        <v>53909972.490000002</v>
      </c>
      <c r="E159" s="3">
        <f t="shared" si="48"/>
        <v>1.0895413776502152E-3</v>
      </c>
      <c r="F159" s="4">
        <v>1.0489999999999999</v>
      </c>
      <c r="G159" s="4">
        <v>1.0660000000000001</v>
      </c>
      <c r="H159" s="58">
        <v>20</v>
      </c>
      <c r="I159" s="5">
        <v>0.1</v>
      </c>
      <c r="J159" s="5">
        <v>7.8200000000000006E-2</v>
      </c>
      <c r="K159" s="4">
        <v>60313303.899999999</v>
      </c>
      <c r="L159" s="16">
        <f t="shared" si="49"/>
        <v>1.2129623318532328E-3</v>
      </c>
      <c r="M159" s="4">
        <v>1.1919999999999999</v>
      </c>
      <c r="N159" s="4">
        <v>1.171</v>
      </c>
      <c r="O159" s="58">
        <v>21</v>
      </c>
      <c r="P159" s="5">
        <v>9.0999999999999998E-2</v>
      </c>
      <c r="Q159" s="5">
        <v>0.20599999999999999</v>
      </c>
      <c r="R159" s="77">
        <f t="shared" ref="R159" si="55">((K159-D159)/D159)</f>
        <v>0.11877823553309694</v>
      </c>
      <c r="S159" s="77">
        <f t="shared" ref="S159" si="56">((N159-G159)/G159)</f>
        <v>9.8499061913696034E-2</v>
      </c>
      <c r="T159" s="77">
        <f t="shared" ref="T159" si="57">((O159-H159)/H159)</f>
        <v>0.05</v>
      </c>
      <c r="U159" s="77">
        <f t="shared" ref="U159" si="58">P159-I159</f>
        <v>-9.000000000000008E-3</v>
      </c>
      <c r="V159" s="79">
        <f t="shared" ref="V159" si="59">Q159-J159</f>
        <v>0.12779999999999997</v>
      </c>
    </row>
    <row r="160" spans="1:24" ht="13.5" customHeight="1">
      <c r="A160" s="157">
        <v>137</v>
      </c>
      <c r="B160" s="131" t="s">
        <v>238</v>
      </c>
      <c r="C160" s="132" t="s">
        <v>32</v>
      </c>
      <c r="D160" s="2">
        <v>2764571619.0900002</v>
      </c>
      <c r="E160" s="3">
        <f t="shared" si="48"/>
        <v>5.5873060796585182E-2</v>
      </c>
      <c r="F160" s="4">
        <v>3.9002680000000001</v>
      </c>
      <c r="G160" s="4">
        <v>4.0260470000000002</v>
      </c>
      <c r="H160" s="58">
        <v>2331</v>
      </c>
      <c r="I160" s="5">
        <v>-1.3250737496360854E-3</v>
      </c>
      <c r="J160" s="5">
        <v>7.2297583372281649E-2</v>
      </c>
      <c r="K160" s="2">
        <v>2782843658.8400002</v>
      </c>
      <c r="L160" s="16">
        <f t="shared" si="49"/>
        <v>5.5965836976965021E-2</v>
      </c>
      <c r="M160" s="4">
        <v>3.9279389999999998</v>
      </c>
      <c r="N160" s="4">
        <v>4.0562060000000004</v>
      </c>
      <c r="O160" s="58">
        <v>2332</v>
      </c>
      <c r="P160" s="5">
        <v>7.0946406759739844E-3</v>
      </c>
      <c r="Q160" s="5">
        <v>7.990514942402327E-2</v>
      </c>
      <c r="R160" s="77">
        <f t="shared" si="50"/>
        <v>6.6093566264760085E-3</v>
      </c>
      <c r="S160" s="77">
        <f t="shared" si="51"/>
        <v>7.4909706717284389E-3</v>
      </c>
      <c r="T160" s="77">
        <f t="shared" si="52"/>
        <v>4.29000429000429E-4</v>
      </c>
      <c r="U160" s="77">
        <f t="shared" si="53"/>
        <v>8.4197144256100698E-3</v>
      </c>
      <c r="V160" s="79">
        <f>Q160-J160</f>
        <v>7.607566051741621E-3</v>
      </c>
    </row>
    <row r="161" spans="1:22">
      <c r="A161" s="163">
        <v>138</v>
      </c>
      <c r="B161" s="131" t="s">
        <v>167</v>
      </c>
      <c r="C161" s="132" t="s">
        <v>114</v>
      </c>
      <c r="D161" s="2">
        <v>215164825.77000001</v>
      </c>
      <c r="E161" s="3">
        <f t="shared" si="48"/>
        <v>4.3485642797313605E-3</v>
      </c>
      <c r="F161" s="4">
        <v>184.27</v>
      </c>
      <c r="G161" s="4">
        <v>187.68</v>
      </c>
      <c r="H161" s="58">
        <v>139</v>
      </c>
      <c r="I161" s="5">
        <v>1.89E-2</v>
      </c>
      <c r="J161" s="5">
        <v>2.9100000000000001E-2</v>
      </c>
      <c r="K161" s="2">
        <v>214092580.21000001</v>
      </c>
      <c r="L161" s="16">
        <f t="shared" si="49"/>
        <v>4.3056211238992814E-3</v>
      </c>
      <c r="M161" s="4">
        <v>183.35</v>
      </c>
      <c r="N161" s="4">
        <v>186.84</v>
      </c>
      <c r="O161" s="58">
        <v>139</v>
      </c>
      <c r="P161" s="5">
        <v>1.8800000000000001E-2</v>
      </c>
      <c r="Q161" s="5">
        <v>2.9000000000000001E-2</v>
      </c>
      <c r="R161" s="77">
        <f t="shared" si="50"/>
        <v>-4.9833682441486832E-3</v>
      </c>
      <c r="S161" s="77">
        <f t="shared" si="51"/>
        <v>-4.4757033248082022E-3</v>
      </c>
      <c r="T161" s="77">
        <f t="shared" si="52"/>
        <v>0</v>
      </c>
      <c r="U161" s="77">
        <f t="shared" si="53"/>
        <v>-9.9999999999999395E-5</v>
      </c>
      <c r="V161" s="79">
        <f t="shared" si="54"/>
        <v>-9.9999999999999395E-5</v>
      </c>
    </row>
    <row r="162" spans="1:22">
      <c r="A162" s="162">
        <v>139</v>
      </c>
      <c r="B162" s="131" t="s">
        <v>168</v>
      </c>
      <c r="C162" s="132" t="s">
        <v>29</v>
      </c>
      <c r="D162" s="2">
        <v>1791607195.6099999</v>
      </c>
      <c r="E162" s="3">
        <f t="shared" si="48"/>
        <v>3.6209073793815209E-2</v>
      </c>
      <c r="F162" s="4">
        <v>552.22</v>
      </c>
      <c r="G162" s="4">
        <v>552.22</v>
      </c>
      <c r="H162" s="58">
        <v>823</v>
      </c>
      <c r="I162" s="5">
        <v>1.6299999999999999E-2</v>
      </c>
      <c r="J162" s="5">
        <v>0.14630000000000001</v>
      </c>
      <c r="K162" s="2">
        <v>1849869585.97</v>
      </c>
      <c r="L162" s="16">
        <f t="shared" si="49"/>
        <v>3.7202772548206323E-2</v>
      </c>
      <c r="M162" s="4">
        <v>552.22</v>
      </c>
      <c r="N162" s="4">
        <v>552.22</v>
      </c>
      <c r="O162" s="58">
        <v>823</v>
      </c>
      <c r="P162" s="5">
        <v>3.2500000000000001E-2</v>
      </c>
      <c r="Q162" s="5">
        <v>0.18329999999999999</v>
      </c>
      <c r="R162" s="77">
        <f t="shared" si="50"/>
        <v>3.2519622885396574E-2</v>
      </c>
      <c r="S162" s="77">
        <f t="shared" si="51"/>
        <v>0</v>
      </c>
      <c r="T162" s="77">
        <f t="shared" si="52"/>
        <v>0</v>
      </c>
      <c r="U162" s="77">
        <f t="shared" si="53"/>
        <v>1.6200000000000003E-2</v>
      </c>
      <c r="V162" s="79">
        <f t="shared" si="54"/>
        <v>3.6999999999999977E-2</v>
      </c>
    </row>
    <row r="163" spans="1:22">
      <c r="A163" s="162">
        <v>140</v>
      </c>
      <c r="B163" s="131" t="s">
        <v>169</v>
      </c>
      <c r="C163" s="132" t="s">
        <v>80</v>
      </c>
      <c r="D163" s="4">
        <v>27002541.120000001</v>
      </c>
      <c r="E163" s="3">
        <f t="shared" si="48"/>
        <v>5.4573179122654352E-4</v>
      </c>
      <c r="F163" s="4">
        <v>1.7</v>
      </c>
      <c r="G163" s="4">
        <v>1.7</v>
      </c>
      <c r="H163" s="58">
        <v>8</v>
      </c>
      <c r="I163" s="5">
        <v>1.2511E-2</v>
      </c>
      <c r="J163" s="5">
        <v>4.1651000000000001E-2</v>
      </c>
      <c r="K163" s="4">
        <v>26797675.359999999</v>
      </c>
      <c r="L163" s="16">
        <f t="shared" si="49"/>
        <v>5.3892870546114321E-4</v>
      </c>
      <c r="M163" s="4">
        <v>1.68</v>
      </c>
      <c r="N163" s="4">
        <v>1.68</v>
      </c>
      <c r="O163" s="58">
        <v>8</v>
      </c>
      <c r="P163" s="5">
        <v>-7.587E-3</v>
      </c>
      <c r="Q163" s="5">
        <v>3.3749000000000001E-2</v>
      </c>
      <c r="R163" s="77">
        <f t="shared" si="50"/>
        <v>-7.5869066948022713E-3</v>
      </c>
      <c r="S163" s="77">
        <f t="shared" si="51"/>
        <v>-1.1764705882352951E-2</v>
      </c>
      <c r="T163" s="77">
        <f t="shared" si="52"/>
        <v>0</v>
      </c>
      <c r="U163" s="77">
        <f t="shared" si="53"/>
        <v>-2.0097999999999998E-2</v>
      </c>
      <c r="V163" s="79">
        <f t="shared" si="54"/>
        <v>-7.9019999999999993E-3</v>
      </c>
    </row>
    <row r="164" spans="1:22">
      <c r="A164" s="158">
        <v>141</v>
      </c>
      <c r="B164" s="131" t="s">
        <v>170</v>
      </c>
      <c r="C164" s="132" t="s">
        <v>38</v>
      </c>
      <c r="D164" s="4">
        <v>284175183.32999998</v>
      </c>
      <c r="E164" s="3">
        <f t="shared" si="48"/>
        <v>5.7432902752232624E-3</v>
      </c>
      <c r="F164" s="4">
        <v>2.9</v>
      </c>
      <c r="G164" s="4">
        <v>2.95</v>
      </c>
      <c r="H164" s="58">
        <v>117</v>
      </c>
      <c r="I164" s="5">
        <v>0.14280000000000001</v>
      </c>
      <c r="J164" s="5">
        <v>0.24529999999999999</v>
      </c>
      <c r="K164" s="4">
        <v>272382582.32999998</v>
      </c>
      <c r="L164" s="16">
        <f t="shared" si="49"/>
        <v>5.4778927841026785E-3</v>
      </c>
      <c r="M164" s="4">
        <v>2.9961679999999999</v>
      </c>
      <c r="N164" s="4">
        <v>3.0499390000000002</v>
      </c>
      <c r="O164" s="58">
        <v>118</v>
      </c>
      <c r="P164" s="5">
        <v>5.3100000000000001E-2</v>
      </c>
      <c r="Q164" s="5">
        <v>0.28970000000000001</v>
      </c>
      <c r="R164" s="77">
        <f t="shared" si="50"/>
        <v>-4.1497645437623513E-2</v>
      </c>
      <c r="S164" s="77">
        <f t="shared" si="51"/>
        <v>3.3877627118644067E-2</v>
      </c>
      <c r="T164" s="77">
        <f t="shared" si="52"/>
        <v>8.5470085470085479E-3</v>
      </c>
      <c r="U164" s="77">
        <f t="shared" si="53"/>
        <v>-8.9700000000000002E-2</v>
      </c>
      <c r="V164" s="79">
        <f t="shared" si="54"/>
        <v>4.4400000000000023E-2</v>
      </c>
    </row>
    <row r="165" spans="1:22">
      <c r="A165" s="163">
        <v>142</v>
      </c>
      <c r="B165" s="131" t="s">
        <v>171</v>
      </c>
      <c r="C165" s="132" t="s">
        <v>42</v>
      </c>
      <c r="D165" s="2">
        <v>2635644753.9400001</v>
      </c>
      <c r="E165" s="3">
        <f t="shared" si="48"/>
        <v>5.3267399027833374E-2</v>
      </c>
      <c r="F165" s="4">
        <v>5647.89</v>
      </c>
      <c r="G165" s="4">
        <v>5711.35</v>
      </c>
      <c r="H165" s="58">
        <v>2253</v>
      </c>
      <c r="I165" s="5">
        <v>4.7999999999999996E-3</v>
      </c>
      <c r="J165" s="5">
        <v>0.13739999999999999</v>
      </c>
      <c r="K165" s="2">
        <v>2605295762.7800002</v>
      </c>
      <c r="L165" s="3">
        <f t="shared" si="49"/>
        <v>5.2395166891014505E-2</v>
      </c>
      <c r="M165" s="4">
        <v>5626.78</v>
      </c>
      <c r="N165" s="4">
        <v>5691.36</v>
      </c>
      <c r="O165" s="58">
        <v>2248</v>
      </c>
      <c r="P165" s="5">
        <v>-3.5000000000000001E-3</v>
      </c>
      <c r="Q165" s="5">
        <v>0.13350000000000001</v>
      </c>
      <c r="R165" s="77">
        <f t="shared" si="50"/>
        <v>-1.1514826159569279E-2</v>
      </c>
      <c r="S165" s="77">
        <f t="shared" si="51"/>
        <v>-3.5000481497370482E-3</v>
      </c>
      <c r="T165" s="77">
        <f t="shared" si="52"/>
        <v>-2.2192632046160675E-3</v>
      </c>
      <c r="U165" s="77">
        <f t="shared" si="53"/>
        <v>-8.3000000000000001E-3</v>
      </c>
      <c r="V165" s="79">
        <f t="shared" si="54"/>
        <v>-3.8999999999999868E-3</v>
      </c>
    </row>
    <row r="166" spans="1:22">
      <c r="A166" s="154">
        <v>143</v>
      </c>
      <c r="B166" s="131" t="s">
        <v>273</v>
      </c>
      <c r="C166" s="131" t="s">
        <v>271</v>
      </c>
      <c r="D166" s="2">
        <v>79219861.790000007</v>
      </c>
      <c r="E166" s="3">
        <f t="shared" si="48"/>
        <v>1.6010640214655439E-3</v>
      </c>
      <c r="F166" s="4">
        <v>1044.1099999999999</v>
      </c>
      <c r="G166" s="4">
        <v>1056.83</v>
      </c>
      <c r="H166" s="58">
        <v>4</v>
      </c>
      <c r="I166" s="5">
        <v>-3.1153638329838307E-3</v>
      </c>
      <c r="J166" s="5">
        <v>5.5399999999999998E-2</v>
      </c>
      <c r="K166" s="2">
        <v>79911099.079999998</v>
      </c>
      <c r="L166" s="3">
        <f t="shared" si="49"/>
        <v>1.6070940706836576E-3</v>
      </c>
      <c r="M166" s="4">
        <v>1046.3</v>
      </c>
      <c r="N166" s="4">
        <v>1059.6199999999999</v>
      </c>
      <c r="O166" s="58">
        <v>4</v>
      </c>
      <c r="P166" s="5">
        <v>8.7255553642893169E-3</v>
      </c>
      <c r="Q166" s="5">
        <v>5.8200000000000002E-2</v>
      </c>
      <c r="R166" s="77">
        <f>((K166-D166)/D166)</f>
        <v>8.7255553642893013E-3</v>
      </c>
      <c r="S166" s="77">
        <f>((N166-G166)/G166)</f>
        <v>2.6399704777494617E-3</v>
      </c>
      <c r="T166" s="77">
        <f t="shared" si="52"/>
        <v>0</v>
      </c>
      <c r="U166" s="77">
        <f>P166-I166</f>
        <v>1.1840919197273148E-2</v>
      </c>
      <c r="V166" s="79">
        <f>Q166-J166</f>
        <v>2.8000000000000039E-3</v>
      </c>
    </row>
    <row r="167" spans="1:22">
      <c r="A167" s="162">
        <v>144</v>
      </c>
      <c r="B167" s="131" t="s">
        <v>254</v>
      </c>
      <c r="C167" s="131" t="s">
        <v>255</v>
      </c>
      <c r="D167" s="2">
        <v>666679451.92999995</v>
      </c>
      <c r="E167" s="3">
        <f t="shared" si="48"/>
        <v>1.3473849363244268E-2</v>
      </c>
      <c r="F167" s="4">
        <v>1.2769999999999999</v>
      </c>
      <c r="G167" s="4">
        <v>1.2769999999999999</v>
      </c>
      <c r="H167" s="58">
        <v>40</v>
      </c>
      <c r="I167" s="5">
        <v>3.0999999999999999E-3</v>
      </c>
      <c r="J167" s="5">
        <v>0.19500000000000001</v>
      </c>
      <c r="K167" s="2">
        <v>668699485.84000003</v>
      </c>
      <c r="L167" s="3">
        <f t="shared" si="49"/>
        <v>1.3448231736705511E-2</v>
      </c>
      <c r="M167" s="4">
        <v>1.2809999999999999</v>
      </c>
      <c r="N167" s="4">
        <v>1.2809999999999999</v>
      </c>
      <c r="O167" s="58">
        <v>40</v>
      </c>
      <c r="P167" s="5">
        <v>3.0999999999999999E-3</v>
      </c>
      <c r="Q167" s="5">
        <v>0.2</v>
      </c>
      <c r="R167" s="77">
        <f>((K167-D167)/D167)</f>
        <v>3.0299927561172014E-3</v>
      </c>
      <c r="S167" s="77">
        <f>((N167-G167)/G167)</f>
        <v>3.1323414252153515E-3</v>
      </c>
      <c r="T167" s="77">
        <f>((O167-H167)/H167)</f>
        <v>0</v>
      </c>
      <c r="U167" s="77">
        <f>P167-I167</f>
        <v>0</v>
      </c>
      <c r="V167" s="79">
        <f>Q167-J167</f>
        <v>5.0000000000000044E-3</v>
      </c>
    </row>
    <row r="168" spans="1:22">
      <c r="A168" s="155">
        <v>145</v>
      </c>
      <c r="B168" s="131" t="s">
        <v>172</v>
      </c>
      <c r="C168" s="132" t="s">
        <v>45</v>
      </c>
      <c r="D168" s="4">
        <v>1770692464.52</v>
      </c>
      <c r="E168" s="3">
        <f t="shared" si="48"/>
        <v>3.5786378995942524E-2</v>
      </c>
      <c r="F168" s="4">
        <v>1.6674</v>
      </c>
      <c r="G168" s="4">
        <v>1.677</v>
      </c>
      <c r="H168" s="58">
        <v>2101</v>
      </c>
      <c r="I168" s="5">
        <v>2.5999999999999999E-3</v>
      </c>
      <c r="J168" s="5">
        <v>9.4500000000000001E-2</v>
      </c>
      <c r="K168" s="4">
        <v>1779495267.9200001</v>
      </c>
      <c r="L168" s="16">
        <f t="shared" si="49"/>
        <v>3.5787472914380281E-2</v>
      </c>
      <c r="M168" s="4">
        <v>1.6752</v>
      </c>
      <c r="N168" s="4">
        <v>1.6849000000000001</v>
      </c>
      <c r="O168" s="58">
        <v>2150</v>
      </c>
      <c r="P168" s="5">
        <v>4.7000000000000002E-3</v>
      </c>
      <c r="Q168" s="5">
        <v>9.8699999999999996E-2</v>
      </c>
      <c r="R168" s="77">
        <f t="shared" si="50"/>
        <v>4.9713903325309308E-3</v>
      </c>
      <c r="S168" s="77">
        <f t="shared" si="51"/>
        <v>4.7107930828861168E-3</v>
      </c>
      <c r="T168" s="77">
        <f t="shared" si="52"/>
        <v>2.3322227510709188E-2</v>
      </c>
      <c r="U168" s="77">
        <f t="shared" si="53"/>
        <v>2.1000000000000003E-3</v>
      </c>
      <c r="V168" s="79">
        <f t="shared" si="54"/>
        <v>4.1999999999999954E-3</v>
      </c>
    </row>
    <row r="169" spans="1:22">
      <c r="A169" s="155">
        <v>146</v>
      </c>
      <c r="B169" s="131" t="s">
        <v>173</v>
      </c>
      <c r="C169" s="132" t="s">
        <v>45</v>
      </c>
      <c r="D169" s="4">
        <v>1059597726.4</v>
      </c>
      <c r="E169" s="3">
        <f t="shared" si="48"/>
        <v>2.1414879534413424E-2</v>
      </c>
      <c r="F169" s="4">
        <v>1.3769</v>
      </c>
      <c r="G169" s="4">
        <v>1.3846000000000001</v>
      </c>
      <c r="H169" s="58">
        <v>398</v>
      </c>
      <c r="I169" s="5">
        <v>-8.8999999999999999E-3</v>
      </c>
      <c r="J169" s="5">
        <v>0.16</v>
      </c>
      <c r="K169" s="4">
        <v>1060916864.87</v>
      </c>
      <c r="L169" s="16">
        <f t="shared" si="49"/>
        <v>2.1336125052090475E-2</v>
      </c>
      <c r="M169" s="4">
        <v>1.3785000000000001</v>
      </c>
      <c r="N169" s="4">
        <v>1.3863000000000001</v>
      </c>
      <c r="O169" s="58">
        <v>746</v>
      </c>
      <c r="P169" s="5">
        <v>1.1999999999999999E-3</v>
      </c>
      <c r="Q169" s="5">
        <v>0.16109999999999999</v>
      </c>
      <c r="R169" s="77">
        <f t="shared" si="50"/>
        <v>1.2449427147053461E-3</v>
      </c>
      <c r="S169" s="77">
        <f t="shared" si="51"/>
        <v>1.2277914199046907E-3</v>
      </c>
      <c r="T169" s="77">
        <f t="shared" si="52"/>
        <v>0.87437185929648242</v>
      </c>
      <c r="U169" s="77">
        <f t="shared" si="53"/>
        <v>1.01E-2</v>
      </c>
      <c r="V169" s="79">
        <f t="shared" si="54"/>
        <v>1.0999999999999899E-3</v>
      </c>
    </row>
    <row r="170" spans="1:22">
      <c r="A170" s="158">
        <v>147</v>
      </c>
      <c r="B170" s="131" t="s">
        <v>174</v>
      </c>
      <c r="C170" s="132" t="s">
        <v>87</v>
      </c>
      <c r="D170" s="2">
        <v>8953573337.0300007</v>
      </c>
      <c r="E170" s="3">
        <f t="shared" si="48"/>
        <v>0.18095517726946442</v>
      </c>
      <c r="F170" s="4">
        <v>486.55</v>
      </c>
      <c r="G170" s="4">
        <v>491.65</v>
      </c>
      <c r="H170" s="58">
        <v>33</v>
      </c>
      <c r="I170" s="5">
        <v>3.7000000000000002E-3</v>
      </c>
      <c r="J170" s="5">
        <v>0.39810000000000001</v>
      </c>
      <c r="K170" s="2">
        <v>8977861832.8999996</v>
      </c>
      <c r="L170" s="16">
        <f t="shared" si="49"/>
        <v>0.18055399919636175</v>
      </c>
      <c r="M170" s="4">
        <v>487.59</v>
      </c>
      <c r="N170" s="4">
        <v>492.71</v>
      </c>
      <c r="O170" s="58">
        <v>34</v>
      </c>
      <c r="P170" s="5">
        <v>2.16E-3</v>
      </c>
      <c r="Q170" s="5">
        <v>0.40109</v>
      </c>
      <c r="R170" s="77">
        <f t="shared" si="50"/>
        <v>2.7127153546112233E-3</v>
      </c>
      <c r="S170" s="77">
        <f t="shared" si="51"/>
        <v>2.1560052883148628E-3</v>
      </c>
      <c r="T170" s="77">
        <f t="shared" si="52"/>
        <v>3.0303030303030304E-2</v>
      </c>
      <c r="U170" s="77">
        <f t="shared" si="53"/>
        <v>-1.5400000000000001E-3</v>
      </c>
      <c r="V170" s="79">
        <f t="shared" si="54"/>
        <v>2.9899999999999927E-3</v>
      </c>
    </row>
    <row r="171" spans="1:22">
      <c r="A171" s="162">
        <v>148</v>
      </c>
      <c r="B171" s="131" t="s">
        <v>175</v>
      </c>
      <c r="C171" s="132" t="s">
        <v>40</v>
      </c>
      <c r="D171" s="2">
        <v>465148888.11000001</v>
      </c>
      <c r="E171" s="3">
        <f t="shared" si="48"/>
        <v>9.4008387865128964E-3</v>
      </c>
      <c r="F171" s="4">
        <v>236.05</v>
      </c>
      <c r="G171" s="4">
        <v>239.33</v>
      </c>
      <c r="H171" s="58">
        <v>690</v>
      </c>
      <c r="I171" s="5">
        <v>-6.4999999999999997E-3</v>
      </c>
      <c r="J171" s="5">
        <v>0.22420000000000001</v>
      </c>
      <c r="K171" s="2">
        <v>465885236.66000003</v>
      </c>
      <c r="L171" s="16">
        <f t="shared" si="49"/>
        <v>9.3694294043657721E-3</v>
      </c>
      <c r="M171" s="4">
        <v>236.43</v>
      </c>
      <c r="N171" s="4">
        <v>239.7</v>
      </c>
      <c r="O171" s="58">
        <v>690</v>
      </c>
      <c r="P171" s="5">
        <v>-1E-4</v>
      </c>
      <c r="Q171" s="5">
        <v>0.22620000000000001</v>
      </c>
      <c r="R171" s="77">
        <f t="shared" si="50"/>
        <v>1.5830383965700842E-3</v>
      </c>
      <c r="S171" s="77">
        <f t="shared" si="51"/>
        <v>1.5459825345755906E-3</v>
      </c>
      <c r="T171" s="77">
        <f t="shared" si="52"/>
        <v>0</v>
      </c>
      <c r="U171" s="77">
        <f t="shared" si="53"/>
        <v>6.3999999999999994E-3</v>
      </c>
      <c r="V171" s="79">
        <f t="shared" si="54"/>
        <v>2.0000000000000018E-3</v>
      </c>
    </row>
    <row r="172" spans="1:22">
      <c r="A172" s="80"/>
      <c r="B172" s="129"/>
      <c r="C172" s="68" t="s">
        <v>46</v>
      </c>
      <c r="D172" s="69">
        <f>SUM(D144:D171)</f>
        <v>49479509081.395515</v>
      </c>
      <c r="E172" s="96">
        <f>(D172/$D$202)</f>
        <v>1.5085982922818661E-2</v>
      </c>
      <c r="F172" s="30"/>
      <c r="G172" s="36"/>
      <c r="H172" s="63">
        <f>SUM(H144:H171)</f>
        <v>69190</v>
      </c>
      <c r="I172" s="37"/>
      <c r="J172" s="37"/>
      <c r="K172" s="69">
        <f>SUM(K144:K171)</f>
        <v>49723971071.59124</v>
      </c>
      <c r="L172" s="96">
        <f>(K172/$K$202)</f>
        <v>1.497639847599859E-2</v>
      </c>
      <c r="M172" s="30"/>
      <c r="N172" s="36"/>
      <c r="O172" s="63">
        <f>SUM(O144:O171)</f>
        <v>69616</v>
      </c>
      <c r="P172" s="37"/>
      <c r="Q172" s="37"/>
      <c r="R172" s="77">
        <f t="shared" si="50"/>
        <v>4.940671294728814E-3</v>
      </c>
      <c r="S172" s="77" t="e">
        <f t="shared" si="51"/>
        <v>#DIV/0!</v>
      </c>
      <c r="T172" s="77">
        <f t="shared" si="52"/>
        <v>6.1569590981355683E-3</v>
      </c>
      <c r="U172" s="77">
        <f t="shared" si="53"/>
        <v>0</v>
      </c>
      <c r="V172" s="79">
        <f t="shared" si="54"/>
        <v>0</v>
      </c>
    </row>
    <row r="173" spans="1:22" ht="8.25" customHeight="1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</row>
    <row r="174" spans="1:22" ht="15" customHeight="1">
      <c r="A174" s="174" t="s">
        <v>176</v>
      </c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</row>
    <row r="175" spans="1:22">
      <c r="A175" s="154">
        <v>149</v>
      </c>
      <c r="B175" s="131" t="s">
        <v>177</v>
      </c>
      <c r="C175" s="132" t="s">
        <v>21</v>
      </c>
      <c r="D175" s="17">
        <v>919791174.34000003</v>
      </c>
      <c r="E175" s="3">
        <f>(D175/$D$178)</f>
        <v>0.17280784187944587</v>
      </c>
      <c r="F175" s="17">
        <v>63.642299999999999</v>
      </c>
      <c r="G175" s="17">
        <v>65.561199999999999</v>
      </c>
      <c r="H175" s="60">
        <v>1583</v>
      </c>
      <c r="I175" s="6">
        <v>-1.5840000000000001</v>
      </c>
      <c r="J175" s="6">
        <v>0.26719999999999999</v>
      </c>
      <c r="K175" s="17">
        <v>953147881.96000004</v>
      </c>
      <c r="L175" s="16">
        <f>(K175/$K$178)</f>
        <v>0.18103628423354098</v>
      </c>
      <c r="M175" s="17">
        <v>63.374299999999998</v>
      </c>
      <c r="N175" s="17">
        <v>65.2851</v>
      </c>
      <c r="O175" s="60">
        <v>1589</v>
      </c>
      <c r="P175" s="6">
        <v>-0.22020000000000001</v>
      </c>
      <c r="Q175" s="6">
        <v>0.25159999999999999</v>
      </c>
      <c r="R175" s="77">
        <f>((K175-D175)/D175)</f>
        <v>3.6265522599665354E-2</v>
      </c>
      <c r="S175" s="77">
        <f t="shared" ref="S175:T178" si="60">((N175-G175)/G175)</f>
        <v>-4.2113323124042812E-3</v>
      </c>
      <c r="T175" s="77">
        <f t="shared" si="60"/>
        <v>3.7902716361339229E-3</v>
      </c>
      <c r="U175" s="77">
        <f t="shared" ref="U175:V178" si="61">P175-I175</f>
        <v>1.3638000000000001</v>
      </c>
      <c r="V175" s="79">
        <f t="shared" si="61"/>
        <v>-1.5600000000000003E-2</v>
      </c>
    </row>
    <row r="176" spans="1:22">
      <c r="A176" s="166">
        <v>150</v>
      </c>
      <c r="B176" s="131" t="s">
        <v>178</v>
      </c>
      <c r="C176" s="132" t="s">
        <v>179</v>
      </c>
      <c r="D176" s="94">
        <v>915713314.57000005</v>
      </c>
      <c r="E176" s="3">
        <f>(D176/$D$178)</f>
        <v>0.17204170477572081</v>
      </c>
      <c r="F176" s="17">
        <v>26.029800000000002</v>
      </c>
      <c r="G176" s="17">
        <v>26.283300000000001</v>
      </c>
      <c r="H176" s="58">
        <v>1492</v>
      </c>
      <c r="I176" s="5">
        <v>1.77E-2</v>
      </c>
      <c r="J176" s="5">
        <v>0.19489999999999999</v>
      </c>
      <c r="K176" s="94">
        <v>917445806.09000003</v>
      </c>
      <c r="L176" s="16">
        <f>(K176/$K$178)</f>
        <v>0.1742552051614899</v>
      </c>
      <c r="M176" s="17">
        <v>26.0365</v>
      </c>
      <c r="N176" s="17">
        <v>26.290199999999999</v>
      </c>
      <c r="O176" s="58">
        <v>1490</v>
      </c>
      <c r="P176" s="5">
        <v>7.1000000000000004E-3</v>
      </c>
      <c r="Q176" s="5">
        <v>7.1900000000000006E-2</v>
      </c>
      <c r="R176" s="77">
        <f>((K176-D176)/D176)</f>
        <v>1.8919584245791195E-3</v>
      </c>
      <c r="S176" s="77">
        <f t="shared" si="60"/>
        <v>2.6252411226893615E-4</v>
      </c>
      <c r="T176" s="77">
        <f t="shared" si="60"/>
        <v>-1.3404825737265416E-3</v>
      </c>
      <c r="U176" s="77">
        <f t="shared" si="61"/>
        <v>-1.06E-2</v>
      </c>
      <c r="V176" s="79">
        <f t="shared" si="61"/>
        <v>-0.12299999999999998</v>
      </c>
    </row>
    <row r="177" spans="1:24">
      <c r="A177" s="163">
        <v>151</v>
      </c>
      <c r="B177" s="131" t="s">
        <v>180</v>
      </c>
      <c r="C177" s="132" t="s">
        <v>42</v>
      </c>
      <c r="D177" s="9">
        <v>3487119556.02</v>
      </c>
      <c r="E177" s="3">
        <f>(D177/$D$178)</f>
        <v>0.65515045334483324</v>
      </c>
      <c r="F177" s="17">
        <v>2.5299999999999998</v>
      </c>
      <c r="G177" s="17">
        <v>2.56</v>
      </c>
      <c r="H177" s="58">
        <v>10122</v>
      </c>
      <c r="I177" s="5">
        <v>3.8999999999999998E-3</v>
      </c>
      <c r="J177" s="5">
        <v>0.23080000000000001</v>
      </c>
      <c r="K177" s="9">
        <v>3394361268.3299999</v>
      </c>
      <c r="L177" s="16">
        <f>(K177/$K$178)</f>
        <v>0.64470851060496914</v>
      </c>
      <c r="M177" s="17">
        <v>2.4700000000000002</v>
      </c>
      <c r="N177" s="17">
        <v>2.5</v>
      </c>
      <c r="O177" s="58">
        <v>10128</v>
      </c>
      <c r="P177" s="5">
        <v>-2.3400000000000001E-2</v>
      </c>
      <c r="Q177" s="5">
        <v>0.2019</v>
      </c>
      <c r="R177" s="77">
        <f>((K177-D177)/D177)</f>
        <v>-2.6600260243405331E-2</v>
      </c>
      <c r="S177" s="77">
        <f t="shared" si="60"/>
        <v>-2.3437500000000021E-2</v>
      </c>
      <c r="T177" s="77">
        <f t="shared" si="60"/>
        <v>5.9276822762299936E-4</v>
      </c>
      <c r="U177" s="77">
        <f t="shared" si="61"/>
        <v>-2.7300000000000001E-2</v>
      </c>
      <c r="V177" s="79">
        <f t="shared" si="61"/>
        <v>-2.8900000000000009E-2</v>
      </c>
    </row>
    <row r="178" spans="1:24">
      <c r="A178" s="71"/>
      <c r="B178" s="129"/>
      <c r="C178" s="64" t="s">
        <v>46</v>
      </c>
      <c r="D178" s="69">
        <f>SUM(D175:D177)</f>
        <v>5322624044.9300003</v>
      </c>
      <c r="E178" s="96">
        <f>(D178/$D$202)</f>
        <v>1.6228337131297438E-3</v>
      </c>
      <c r="F178" s="30"/>
      <c r="G178" s="36"/>
      <c r="H178" s="63">
        <f>SUM(H175:H177)</f>
        <v>13197</v>
      </c>
      <c r="I178" s="37"/>
      <c r="J178" s="37"/>
      <c r="K178" s="69">
        <f>SUM(K175:K177)</f>
        <v>5264954956.3800001</v>
      </c>
      <c r="L178" s="96">
        <f>(K178/$K$202)</f>
        <v>1.5857555558345178E-3</v>
      </c>
      <c r="M178" s="30"/>
      <c r="N178" s="36"/>
      <c r="O178" s="63">
        <f>SUM(O175:O177)</f>
        <v>13207</v>
      </c>
      <c r="P178" s="37"/>
      <c r="Q178" s="37"/>
      <c r="R178" s="77">
        <f>((K178-D178)/D178)</f>
        <v>-1.0834710109749752E-2</v>
      </c>
      <c r="S178" s="77" t="e">
        <f t="shared" si="60"/>
        <v>#DIV/0!</v>
      </c>
      <c r="T178" s="77">
        <f t="shared" si="60"/>
        <v>7.5774797302417211E-4</v>
      </c>
      <c r="U178" s="77">
        <f t="shared" si="61"/>
        <v>0</v>
      </c>
      <c r="V178" s="79">
        <f t="shared" si="61"/>
        <v>0</v>
      </c>
    </row>
    <row r="179" spans="1:24" ht="6" customHeight="1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</row>
    <row r="180" spans="1:24" ht="15" customHeight="1">
      <c r="A180" s="174" t="s">
        <v>181</v>
      </c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</row>
    <row r="181" spans="1:24">
      <c r="A181" s="178" t="s">
        <v>230</v>
      </c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</row>
    <row r="182" spans="1:24">
      <c r="A182" s="155">
        <v>152</v>
      </c>
      <c r="B182" s="131" t="s">
        <v>182</v>
      </c>
      <c r="C182" s="132" t="s">
        <v>183</v>
      </c>
      <c r="D182" s="13">
        <v>4318232415.25</v>
      </c>
      <c r="E182" s="3">
        <f>(D182/$D$201)</f>
        <v>8.515258524879761E-2</v>
      </c>
      <c r="F182" s="18">
        <v>2.0299999999999998</v>
      </c>
      <c r="G182" s="18">
        <v>2.0699999999999998</v>
      </c>
      <c r="H182" s="59">
        <v>14993</v>
      </c>
      <c r="I182" s="12">
        <v>3.5000000000000001E-3</v>
      </c>
      <c r="J182" s="12">
        <v>0.12520000000000001</v>
      </c>
      <c r="K182" s="13">
        <v>4346171629.0699997</v>
      </c>
      <c r="L182" s="3">
        <f>(K182/$K$201)</f>
        <v>8.5163332213781556E-2</v>
      </c>
      <c r="M182" s="18">
        <v>2.04</v>
      </c>
      <c r="N182" s="18">
        <v>2.08</v>
      </c>
      <c r="O182" s="59">
        <v>14986</v>
      </c>
      <c r="P182" s="12">
        <v>5.1999999999999998E-3</v>
      </c>
      <c r="Q182" s="12">
        <v>0.13100000000000001</v>
      </c>
      <c r="R182" s="77">
        <f>((K182-D182)/D182)</f>
        <v>6.470057915672003E-3</v>
      </c>
      <c r="S182" s="77">
        <f>((N182-G182)/G182)</f>
        <v>4.8309178743962469E-3</v>
      </c>
      <c r="T182" s="77">
        <f>((O182-H182)/H182)</f>
        <v>-4.6688454612152337E-4</v>
      </c>
      <c r="U182" s="77">
        <f>P182-I182</f>
        <v>1.6999999999999997E-3</v>
      </c>
      <c r="V182" s="79">
        <f>Q182-J182</f>
        <v>5.7999999999999996E-3</v>
      </c>
    </row>
    <row r="183" spans="1:24">
      <c r="A183" s="163">
        <v>153</v>
      </c>
      <c r="B183" s="131" t="s">
        <v>184</v>
      </c>
      <c r="C183" s="132" t="s">
        <v>42</v>
      </c>
      <c r="D183" s="13">
        <v>685694535.07000005</v>
      </c>
      <c r="E183" s="3">
        <f>(D183/$D$201)</f>
        <v>1.3521426532296195E-2</v>
      </c>
      <c r="F183" s="18">
        <v>439.99</v>
      </c>
      <c r="G183" s="18">
        <v>445.43</v>
      </c>
      <c r="H183" s="59">
        <v>843</v>
      </c>
      <c r="I183" s="12">
        <v>8.9999999999999993E-3</v>
      </c>
      <c r="J183" s="12">
        <v>0.16639999999999999</v>
      </c>
      <c r="K183" s="13">
        <v>647274901.38</v>
      </c>
      <c r="L183" s="3">
        <f>(K183/$K$201)</f>
        <v>1.2683366457772211E-2</v>
      </c>
      <c r="M183" s="18">
        <v>430.95</v>
      </c>
      <c r="N183" s="18">
        <v>436.43</v>
      </c>
      <c r="O183" s="59">
        <v>840</v>
      </c>
      <c r="P183" s="12">
        <v>-2.0199999999999999E-2</v>
      </c>
      <c r="Q183" s="12">
        <v>0.1429</v>
      </c>
      <c r="R183" s="77">
        <f>((K183-D183)/D183)</f>
        <v>-5.603024630505176E-2</v>
      </c>
      <c r="S183" s="77">
        <f>((N183-G183)/G183)</f>
        <v>-2.0205194980131558E-2</v>
      </c>
      <c r="T183" s="77">
        <f>((O183-H183)/H183)</f>
        <v>-3.5587188612099642E-3</v>
      </c>
      <c r="U183" s="77">
        <f>P183-I183</f>
        <v>-2.9199999999999997E-2</v>
      </c>
      <c r="V183" s="79">
        <f>Q183-J183</f>
        <v>-2.3499999999999993E-2</v>
      </c>
    </row>
    <row r="184" spans="1:24" ht="6" customHeight="1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</row>
    <row r="185" spans="1:24" ht="15" customHeight="1">
      <c r="A185" s="178" t="s">
        <v>229</v>
      </c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</row>
    <row r="186" spans="1:24">
      <c r="A186" s="162">
        <v>154</v>
      </c>
      <c r="B186" s="131" t="s">
        <v>185</v>
      </c>
      <c r="C186" s="132" t="s">
        <v>186</v>
      </c>
      <c r="D186" s="2">
        <v>407585283.01999998</v>
      </c>
      <c r="E186" s="3">
        <f t="shared" ref="E186:E197" si="62">(D186/$D$201)</f>
        <v>8.0373025861106943E-3</v>
      </c>
      <c r="F186" s="2">
        <v>1043.96</v>
      </c>
      <c r="G186" s="2">
        <v>1043.96</v>
      </c>
      <c r="H186" s="58">
        <v>22</v>
      </c>
      <c r="I186" s="5">
        <v>2.3999999999999998E-3</v>
      </c>
      <c r="J186" s="5">
        <v>7.6499999999999999E-2</v>
      </c>
      <c r="K186" s="2">
        <v>408465163.76999998</v>
      </c>
      <c r="L186" s="3">
        <f t="shared" ref="L186:L197" si="63">(K186/$K$201)</f>
        <v>8.0038842017255574E-3</v>
      </c>
      <c r="M186" s="2">
        <v>1046.21</v>
      </c>
      <c r="N186" s="2">
        <v>1046.21</v>
      </c>
      <c r="O186" s="58">
        <v>22</v>
      </c>
      <c r="P186" s="5">
        <v>2.5000000000000001E-3</v>
      </c>
      <c r="Q186" s="5">
        <v>7.9000000000000001E-2</v>
      </c>
      <c r="R186" s="77">
        <f>((K186-D186)/D186)</f>
        <v>2.1587647706034193E-3</v>
      </c>
      <c r="S186" s="77">
        <f>((N186-G186)/G186)</f>
        <v>2.1552549906126671E-3</v>
      </c>
      <c r="T186" s="77">
        <f>((O186-H186)/H186)</f>
        <v>0</v>
      </c>
      <c r="U186" s="77">
        <f>P186-I186</f>
        <v>1.0000000000000026E-4</v>
      </c>
      <c r="V186" s="79">
        <f>Q186-J186</f>
        <v>2.5000000000000022E-3</v>
      </c>
      <c r="X186" s="67"/>
    </row>
    <row r="187" spans="1:24">
      <c r="A187" s="162">
        <v>155</v>
      </c>
      <c r="B187" s="131" t="s">
        <v>187</v>
      </c>
      <c r="C187" s="132" t="s">
        <v>58</v>
      </c>
      <c r="D187" s="2">
        <v>127272330.42</v>
      </c>
      <c r="E187" s="3">
        <f t="shared" si="62"/>
        <v>2.5097231746093402E-3</v>
      </c>
      <c r="F187" s="17">
        <v>114.47</v>
      </c>
      <c r="G187" s="17">
        <v>114.47</v>
      </c>
      <c r="H187" s="58">
        <v>75</v>
      </c>
      <c r="I187" s="5">
        <v>1.1599999999999999E-2</v>
      </c>
      <c r="J187" s="5">
        <v>0.1474</v>
      </c>
      <c r="K187" s="2">
        <v>127818759.34</v>
      </c>
      <c r="L187" s="3">
        <f t="shared" si="63"/>
        <v>2.5046115049890713E-3</v>
      </c>
      <c r="M187" s="17">
        <v>114.69</v>
      </c>
      <c r="N187" s="17">
        <v>114.69</v>
      </c>
      <c r="O187" s="58">
        <v>75</v>
      </c>
      <c r="P187" s="5">
        <v>1.9E-3</v>
      </c>
      <c r="Q187" s="5">
        <v>0.14599999999999999</v>
      </c>
      <c r="R187" s="77">
        <f t="shared" ref="R187:R202" si="64">((K187-D187)/D187)</f>
        <v>4.2933834730359754E-3</v>
      </c>
      <c r="S187" s="77">
        <f t="shared" ref="S187:S201" si="65">((N187-G187)/G187)</f>
        <v>1.9219009347427175E-3</v>
      </c>
      <c r="T187" s="77">
        <f t="shared" ref="T187:T201" si="66">((O187-H187)/H187)</f>
        <v>0</v>
      </c>
      <c r="U187" s="77">
        <f t="shared" ref="U187:U201" si="67">P187-I187</f>
        <v>-9.6999999999999986E-3</v>
      </c>
      <c r="V187" s="79">
        <f t="shared" ref="V187:V201" si="68">Q187-J187</f>
        <v>-1.4000000000000123E-3</v>
      </c>
    </row>
    <row r="188" spans="1:24">
      <c r="A188" s="158">
        <v>156</v>
      </c>
      <c r="B188" s="161" t="s">
        <v>188</v>
      </c>
      <c r="C188" s="132" t="s">
        <v>64</v>
      </c>
      <c r="D188" s="9">
        <v>58339956.859999999</v>
      </c>
      <c r="E188" s="3">
        <f t="shared" si="62"/>
        <v>1.1504239865340177E-3</v>
      </c>
      <c r="F188" s="17">
        <v>104.07</v>
      </c>
      <c r="G188" s="17">
        <v>107.03</v>
      </c>
      <c r="H188" s="58">
        <v>13</v>
      </c>
      <c r="I188" s="5">
        <v>1.8E-3</v>
      </c>
      <c r="J188" s="5">
        <v>9.4899999999999998E-2</v>
      </c>
      <c r="K188" s="9">
        <v>58522287.109999999</v>
      </c>
      <c r="L188" s="3">
        <f t="shared" si="63"/>
        <v>1.1467455508943419E-3</v>
      </c>
      <c r="M188" s="17">
        <v>104.24</v>
      </c>
      <c r="N188" s="17">
        <v>107.32</v>
      </c>
      <c r="O188" s="58">
        <v>15</v>
      </c>
      <c r="P188" s="5">
        <v>2.0999999999999999E-3</v>
      </c>
      <c r="Q188" s="5">
        <v>9.7000000000000003E-2</v>
      </c>
      <c r="R188" s="77">
        <f t="shared" si="64"/>
        <v>3.1253065619767754E-3</v>
      </c>
      <c r="S188" s="77">
        <f t="shared" si="65"/>
        <v>2.7095206951321315E-3</v>
      </c>
      <c r="T188" s="77">
        <f t="shared" si="66"/>
        <v>0.15384615384615385</v>
      </c>
      <c r="U188" s="77">
        <f t="shared" si="67"/>
        <v>2.9999999999999992E-4</v>
      </c>
      <c r="V188" s="79">
        <f t="shared" si="68"/>
        <v>2.1000000000000046E-3</v>
      </c>
    </row>
    <row r="189" spans="1:24">
      <c r="A189" s="163">
        <v>157</v>
      </c>
      <c r="B189" s="131" t="s">
        <v>280</v>
      </c>
      <c r="C189" s="132" t="s">
        <v>67</v>
      </c>
      <c r="D189" s="9">
        <v>55516743.219999999</v>
      </c>
      <c r="E189" s="3">
        <v>0</v>
      </c>
      <c r="F189" s="17">
        <v>1.0029999999999999</v>
      </c>
      <c r="G189" s="17">
        <v>1.0029999999999999</v>
      </c>
      <c r="H189" s="58">
        <v>22</v>
      </c>
      <c r="I189" s="5">
        <v>1.1000000000000001E-3</v>
      </c>
      <c r="J189" s="5">
        <v>0</v>
      </c>
      <c r="K189" s="9">
        <v>59624056.75</v>
      </c>
      <c r="L189" s="3">
        <f t="shared" si="63"/>
        <v>1.1683347521230234E-3</v>
      </c>
      <c r="M189" s="17">
        <v>1.0041</v>
      </c>
      <c r="N189" s="17">
        <v>1.0056</v>
      </c>
      <c r="O189" s="58">
        <v>21</v>
      </c>
      <c r="P189" s="5">
        <v>1.5939999999999999E-3</v>
      </c>
      <c r="Q189" s="5">
        <v>5.9839999999999997E-2</v>
      </c>
      <c r="R189" s="77">
        <f t="shared" ref="R189" si="69">((K189-D189)/D189)</f>
        <v>7.3983329924878133E-2</v>
      </c>
      <c r="S189" s="77">
        <f t="shared" ref="S189" si="70">((N189-G189)/G189)</f>
        <v>2.5922233300101276E-3</v>
      </c>
      <c r="T189" s="77">
        <f t="shared" ref="T189" si="71">((O189-H189)/H189)</f>
        <v>-4.5454545454545456E-2</v>
      </c>
      <c r="U189" s="77">
        <f t="shared" ref="U189" si="72">P189-I189</f>
        <v>4.9399999999999986E-4</v>
      </c>
      <c r="V189" s="79">
        <f t="shared" ref="V189" si="73">Q189-J189</f>
        <v>5.9839999999999997E-2</v>
      </c>
    </row>
    <row r="190" spans="1:24">
      <c r="A190" s="158">
        <v>158</v>
      </c>
      <c r="B190" s="131" t="s">
        <v>189</v>
      </c>
      <c r="C190" s="132" t="s">
        <v>27</v>
      </c>
      <c r="D190" s="2">
        <v>8600640695.6800003</v>
      </c>
      <c r="E190" s="3">
        <f t="shared" si="62"/>
        <v>0.16959874309840026</v>
      </c>
      <c r="F190" s="17">
        <v>146.08000000000001</v>
      </c>
      <c r="G190" s="17">
        <v>146.08000000000001</v>
      </c>
      <c r="H190" s="58">
        <v>695</v>
      </c>
      <c r="I190" s="5">
        <v>2.8999999999999998E-3</v>
      </c>
      <c r="J190" s="5">
        <v>9.2499999999999999E-2</v>
      </c>
      <c r="K190" s="2">
        <v>8660322016.1399994</v>
      </c>
      <c r="L190" s="3">
        <f>(K190/$K$201)</f>
        <v>0.16969920746012454</v>
      </c>
      <c r="M190" s="17">
        <v>146.54</v>
      </c>
      <c r="N190" s="17">
        <v>146.54</v>
      </c>
      <c r="O190" s="58">
        <v>695</v>
      </c>
      <c r="P190" s="5">
        <v>3.0999999999999999E-3</v>
      </c>
      <c r="Q190" s="5">
        <v>9.6000000000000002E-2</v>
      </c>
      <c r="R190" s="77">
        <f>((K190-D190)/D190)</f>
        <v>6.9391714607931832E-3</v>
      </c>
      <c r="S190" s="77">
        <f>((N190-G190)/G190)</f>
        <v>3.1489594742605386E-3</v>
      </c>
      <c r="T190" s="77">
        <f t="shared" si="66"/>
        <v>0</v>
      </c>
      <c r="U190" s="77">
        <f t="shared" si="67"/>
        <v>2.0000000000000009E-4</v>
      </c>
      <c r="V190" s="79">
        <f t="shared" si="68"/>
        <v>3.5000000000000031E-3</v>
      </c>
    </row>
    <row r="191" spans="1:24">
      <c r="A191" s="155">
        <v>159</v>
      </c>
      <c r="B191" s="131" t="s">
        <v>247</v>
      </c>
      <c r="C191" s="132" t="s">
        <v>56</v>
      </c>
      <c r="D191" s="2">
        <v>310173121.98140001</v>
      </c>
      <c r="E191" s="3">
        <f t="shared" si="62"/>
        <v>6.1164014975506513E-3</v>
      </c>
      <c r="F191" s="17">
        <v>1116.87932843914</v>
      </c>
      <c r="G191" s="17">
        <v>1116.87932843914</v>
      </c>
      <c r="H191" s="58">
        <v>86</v>
      </c>
      <c r="I191" s="5">
        <v>0.14825910992935207</v>
      </c>
      <c r="J191" s="5">
        <v>0.13598523133144047</v>
      </c>
      <c r="K191" s="2">
        <v>313469185.68445599</v>
      </c>
      <c r="L191" s="3">
        <f t="shared" si="63"/>
        <v>6.1424358441503546E-3</v>
      </c>
      <c r="M191" s="17">
        <v>1120.09885197111</v>
      </c>
      <c r="N191" s="17">
        <v>1120.09885197111</v>
      </c>
      <c r="O191" s="58">
        <v>86</v>
      </c>
      <c r="P191" s="5">
        <v>0.15071913611649523</v>
      </c>
      <c r="Q191" s="5">
        <v>0.13680261895455897</v>
      </c>
      <c r="R191" s="77">
        <f t="shared" si="64"/>
        <v>1.0626529088015663E-2</v>
      </c>
      <c r="S191" s="77">
        <f t="shared" si="65"/>
        <v>2.8826064284575587E-3</v>
      </c>
      <c r="T191" s="77">
        <f t="shared" si="66"/>
        <v>0</v>
      </c>
      <c r="U191" s="77">
        <f t="shared" si="67"/>
        <v>2.4600261871431661E-3</v>
      </c>
      <c r="V191" s="79">
        <f t="shared" si="68"/>
        <v>8.1738762311850399E-4</v>
      </c>
    </row>
    <row r="192" spans="1:24">
      <c r="A192" s="155">
        <v>160</v>
      </c>
      <c r="B192" s="131" t="s">
        <v>190</v>
      </c>
      <c r="C192" s="132" t="s">
        <v>183</v>
      </c>
      <c r="D192" s="2">
        <v>23784877860.639999</v>
      </c>
      <c r="E192" s="3">
        <f t="shared" si="62"/>
        <v>0.46902149882155686</v>
      </c>
      <c r="F192" s="7">
        <v>1224.83</v>
      </c>
      <c r="G192" s="7">
        <v>1224.83</v>
      </c>
      <c r="H192" s="58">
        <v>8919</v>
      </c>
      <c r="I192" s="5">
        <v>2.5999999999999999E-3</v>
      </c>
      <c r="J192" s="5">
        <v>9.0499999999999997E-2</v>
      </c>
      <c r="K192" s="2">
        <v>23862005236.580002</v>
      </c>
      <c r="L192" s="3">
        <f t="shared" si="63"/>
        <v>0.46757653693595719</v>
      </c>
      <c r="M192" s="7">
        <v>1228.96</v>
      </c>
      <c r="N192" s="7">
        <v>1228.96</v>
      </c>
      <c r="O192" s="58">
        <v>8949</v>
      </c>
      <c r="P192" s="5">
        <v>3.3999999999999998E-3</v>
      </c>
      <c r="Q192" s="5">
        <v>9.3899999999999997E-2</v>
      </c>
      <c r="R192" s="77">
        <f t="shared" si="64"/>
        <v>3.2427064116917485E-3</v>
      </c>
      <c r="S192" s="77">
        <f t="shared" si="65"/>
        <v>3.3718965080869259E-3</v>
      </c>
      <c r="T192" s="77">
        <f t="shared" si="66"/>
        <v>3.3636057854019509E-3</v>
      </c>
      <c r="U192" s="77">
        <f t="shared" si="67"/>
        <v>7.9999999999999993E-4</v>
      </c>
      <c r="V192" s="79">
        <f t="shared" si="68"/>
        <v>3.4000000000000002E-3</v>
      </c>
    </row>
    <row r="193" spans="1:22">
      <c r="A193" s="162">
        <v>161</v>
      </c>
      <c r="B193" s="131" t="s">
        <v>194</v>
      </c>
      <c r="C193" s="132" t="s">
        <v>195</v>
      </c>
      <c r="D193" s="2">
        <v>383530438.60000002</v>
      </c>
      <c r="E193" s="3">
        <f t="shared" si="62"/>
        <v>7.5629575316650717E-3</v>
      </c>
      <c r="F193" s="18">
        <v>121.7749</v>
      </c>
      <c r="G193" s="18">
        <v>122.4477</v>
      </c>
      <c r="H193" s="59">
        <v>167</v>
      </c>
      <c r="I193" s="5">
        <v>1.2328E-2</v>
      </c>
      <c r="J193" s="5">
        <v>0.24876000000000001</v>
      </c>
      <c r="K193" s="2">
        <v>389196531.68000001</v>
      </c>
      <c r="L193" s="3">
        <f t="shared" si="63"/>
        <v>7.6263149163779981E-3</v>
      </c>
      <c r="M193" s="18">
        <v>123.5885</v>
      </c>
      <c r="N193" s="18">
        <v>124.2812</v>
      </c>
      <c r="O193" s="59">
        <v>167</v>
      </c>
      <c r="P193" s="5">
        <v>-2.4939999999999999E-4</v>
      </c>
      <c r="Q193" s="5">
        <v>0.24845</v>
      </c>
      <c r="R193" s="77">
        <f>((K193-D193)/D193)</f>
        <v>1.4773516023090384E-2</v>
      </c>
      <c r="S193" s="77">
        <f>((N193-G193)/G193)</f>
        <v>1.4973739808914343E-2</v>
      </c>
      <c r="T193" s="77">
        <f>((O193-H193)/H193)</f>
        <v>0</v>
      </c>
      <c r="U193" s="77">
        <f>P193-I193</f>
        <v>-1.2577400000000001E-2</v>
      </c>
      <c r="V193" s="79">
        <f>Q193-J193</f>
        <v>-3.1000000000000472E-4</v>
      </c>
    </row>
    <row r="194" spans="1:22">
      <c r="A194" s="162">
        <v>162</v>
      </c>
      <c r="B194" s="131" t="s">
        <v>242</v>
      </c>
      <c r="C194" s="132" t="s">
        <v>195</v>
      </c>
      <c r="D194" s="2">
        <v>147932359.84</v>
      </c>
      <c r="E194" s="3">
        <f t="shared" si="62"/>
        <v>2.9171248026959484E-3</v>
      </c>
      <c r="F194" s="18">
        <v>107.19280000000001</v>
      </c>
      <c r="G194" s="18">
        <v>107.19280000000001</v>
      </c>
      <c r="H194" s="59">
        <v>71</v>
      </c>
      <c r="I194" s="5">
        <v>-4.7260000000000002E-3</v>
      </c>
      <c r="J194" s="5">
        <v>6.9510000000000002E-2</v>
      </c>
      <c r="K194" s="2">
        <v>148011954.69</v>
      </c>
      <c r="L194" s="3">
        <f t="shared" si="63"/>
        <v>2.9002976285068915E-3</v>
      </c>
      <c r="M194" s="18">
        <v>107.178</v>
      </c>
      <c r="N194" s="18">
        <v>107.178</v>
      </c>
      <c r="O194" s="59">
        <v>73</v>
      </c>
      <c r="P194" s="5">
        <v>-1.381E-4</v>
      </c>
      <c r="Q194" s="5">
        <v>6.9360000000000005E-2</v>
      </c>
      <c r="R194" s="77">
        <f>((K194-D194)/D194)</f>
        <v>5.3804894403146049E-4</v>
      </c>
      <c r="S194" s="77">
        <f>((N194-G194)/G194)</f>
        <v>-1.3806897478196427E-4</v>
      </c>
      <c r="T194" s="77">
        <f>((O194-H194)/H194)</f>
        <v>2.8169014084507043E-2</v>
      </c>
      <c r="U194" s="77">
        <f>P194-I194</f>
        <v>4.5878999999999998E-3</v>
      </c>
      <c r="V194" s="79">
        <f>Q194-J194</f>
        <v>-1.4999999999999736E-4</v>
      </c>
    </row>
    <row r="195" spans="1:22" ht="13.5" customHeight="1">
      <c r="A195" s="157">
        <v>163</v>
      </c>
      <c r="B195" s="131" t="s">
        <v>191</v>
      </c>
      <c r="C195" s="132" t="s">
        <v>78</v>
      </c>
      <c r="D195" s="2">
        <v>1045018734.83</v>
      </c>
      <c r="E195" s="3">
        <f t="shared" si="62"/>
        <v>2.0607053615258095E-2</v>
      </c>
      <c r="F195" s="14">
        <v>104.19</v>
      </c>
      <c r="G195" s="14">
        <v>104.19</v>
      </c>
      <c r="H195" s="58">
        <v>567</v>
      </c>
      <c r="I195" s="5">
        <v>2.3E-3</v>
      </c>
      <c r="J195" s="5">
        <v>7.3899999999999993E-2</v>
      </c>
      <c r="K195" s="2">
        <v>1041099941.98</v>
      </c>
      <c r="L195" s="3">
        <f t="shared" si="63"/>
        <v>2.0400377112020265E-2</v>
      </c>
      <c r="M195" s="14">
        <v>104.47</v>
      </c>
      <c r="N195" s="14">
        <v>104.47</v>
      </c>
      <c r="O195" s="58">
        <v>567</v>
      </c>
      <c r="P195" s="5">
        <v>2.7000000000000001E-3</v>
      </c>
      <c r="Q195" s="5">
        <v>7.6600000000000001E-2</v>
      </c>
      <c r="R195" s="77">
        <f t="shared" si="64"/>
        <v>-3.749973775003679E-3</v>
      </c>
      <c r="S195" s="77">
        <f t="shared" si="65"/>
        <v>2.6873980228428944E-3</v>
      </c>
      <c r="T195" s="77">
        <f t="shared" si="66"/>
        <v>0</v>
      </c>
      <c r="U195" s="77">
        <f t="shared" si="67"/>
        <v>4.0000000000000018E-4</v>
      </c>
      <c r="V195" s="79">
        <f t="shared" si="68"/>
        <v>2.7000000000000079E-3</v>
      </c>
    </row>
    <row r="196" spans="1:22" ht="15.75" customHeight="1">
      <c r="A196" s="163">
        <v>164</v>
      </c>
      <c r="B196" s="131" t="s">
        <v>192</v>
      </c>
      <c r="C196" s="132" t="s">
        <v>42</v>
      </c>
      <c r="D196" s="2">
        <v>6982853999.8999996</v>
      </c>
      <c r="E196" s="3">
        <f t="shared" si="62"/>
        <v>0.13769709763803156</v>
      </c>
      <c r="F196" s="14">
        <v>131.44</v>
      </c>
      <c r="G196" s="14">
        <v>131.44</v>
      </c>
      <c r="H196" s="58">
        <v>1225</v>
      </c>
      <c r="I196" s="5">
        <v>1.6999999999999999E-3</v>
      </c>
      <c r="J196" s="5">
        <v>2.46E-2</v>
      </c>
      <c r="K196" s="2">
        <v>6982048575.6899996</v>
      </c>
      <c r="L196" s="3">
        <f t="shared" si="63"/>
        <v>0.13681340111078041</v>
      </c>
      <c r="M196" s="14">
        <v>131.63999999999999</v>
      </c>
      <c r="N196" s="14">
        <v>131.63999999999999</v>
      </c>
      <c r="O196" s="58">
        <v>1226</v>
      </c>
      <c r="P196" s="5">
        <v>1.5E-3</v>
      </c>
      <c r="Q196" s="5">
        <v>2.6100000000000002E-2</v>
      </c>
      <c r="R196" s="77">
        <f t="shared" si="64"/>
        <v>-1.1534312617900539E-4</v>
      </c>
      <c r="S196" s="77">
        <f t="shared" si="65"/>
        <v>1.5216068167984529E-3</v>
      </c>
      <c r="T196" s="77">
        <f t="shared" si="66"/>
        <v>8.1632653061224493E-4</v>
      </c>
      <c r="U196" s="77">
        <f t="shared" si="67"/>
        <v>-1.9999999999999987E-4</v>
      </c>
      <c r="V196" s="79">
        <f t="shared" si="68"/>
        <v>1.5000000000000013E-3</v>
      </c>
    </row>
    <row r="197" spans="1:22">
      <c r="A197" s="155">
        <v>165</v>
      </c>
      <c r="B197" s="131" t="s">
        <v>193</v>
      </c>
      <c r="C197" s="132" t="s">
        <v>45</v>
      </c>
      <c r="D197" s="2">
        <v>3804032204.5100002</v>
      </c>
      <c r="E197" s="3">
        <f t="shared" si="62"/>
        <v>7.5012909319045085E-2</v>
      </c>
      <c r="F197" s="14">
        <v>1.1717</v>
      </c>
      <c r="G197" s="14">
        <v>1.1717</v>
      </c>
      <c r="H197" s="58">
        <v>705</v>
      </c>
      <c r="I197" s="5">
        <v>9.8100000000000007E-2</v>
      </c>
      <c r="J197" s="5">
        <v>9.8299999999999998E-2</v>
      </c>
      <c r="K197" s="2">
        <v>3804700032.4299998</v>
      </c>
      <c r="L197" s="3">
        <f t="shared" si="63"/>
        <v>7.4553183925908609E-2</v>
      </c>
      <c r="M197" s="14">
        <v>1.1738</v>
      </c>
      <c r="N197" s="14">
        <v>1.1738</v>
      </c>
      <c r="O197" s="58">
        <v>862</v>
      </c>
      <c r="P197" s="5">
        <v>9.7900000000000001E-2</v>
      </c>
      <c r="Q197" s="5">
        <v>9.8100000000000007E-2</v>
      </c>
      <c r="R197" s="77">
        <f t="shared" si="64"/>
        <v>1.7555790384945566E-4</v>
      </c>
      <c r="S197" s="77">
        <f t="shared" si="65"/>
        <v>1.7922676453016905E-3</v>
      </c>
      <c r="T197" s="77">
        <f t="shared" si="66"/>
        <v>0.2226950354609929</v>
      </c>
      <c r="U197" s="77">
        <f t="shared" si="67"/>
        <v>-2.0000000000000573E-4</v>
      </c>
      <c r="V197" s="79">
        <f t="shared" si="68"/>
        <v>-1.9999999999999185E-4</v>
      </c>
    </row>
    <row r="198" spans="1:22" ht="6" customHeight="1">
      <c r="A198" s="180"/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181"/>
      <c r="T198" s="181"/>
      <c r="U198" s="181"/>
      <c r="V198" s="182"/>
    </row>
    <row r="199" spans="1:22">
      <c r="A199" s="178" t="s">
        <v>287</v>
      </c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8"/>
    </row>
    <row r="200" spans="1:22">
      <c r="A200" s="155">
        <v>166</v>
      </c>
      <c r="B200" s="131" t="s">
        <v>288</v>
      </c>
      <c r="C200" s="132" t="s">
        <v>183</v>
      </c>
      <c r="D200" s="2">
        <v>0</v>
      </c>
      <c r="E200" s="3">
        <f t="shared" ref="E200" si="74">(D200/$D$201)</f>
        <v>0</v>
      </c>
      <c r="F200" s="7">
        <v>0</v>
      </c>
      <c r="G200" s="7">
        <v>0</v>
      </c>
      <c r="H200" s="58">
        <v>0</v>
      </c>
      <c r="I200" s="5">
        <v>0</v>
      </c>
      <c r="J200" s="5">
        <v>0</v>
      </c>
      <c r="K200" s="2">
        <v>184637212.19999999</v>
      </c>
      <c r="L200" s="3">
        <f t="shared" ref="L200" si="75">(K200/$K$201)</f>
        <v>3.6179703848878593E-3</v>
      </c>
      <c r="M200" s="7">
        <v>1005.92</v>
      </c>
      <c r="N200" s="7">
        <v>1005.92</v>
      </c>
      <c r="O200" s="58">
        <v>63</v>
      </c>
      <c r="P200" s="5">
        <v>-4.3E-3</v>
      </c>
      <c r="Q200" s="5">
        <v>5.8999999999999999E-3</v>
      </c>
      <c r="R200" s="77" t="e">
        <f t="shared" ref="R200" si="76">((K200-D200)/D200)</f>
        <v>#DIV/0!</v>
      </c>
      <c r="S200" s="77" t="e">
        <f t="shared" ref="S200" si="77">((N200-G200)/G200)</f>
        <v>#DIV/0!</v>
      </c>
      <c r="T200" s="77" t="e">
        <f t="shared" ref="T200" si="78">((O200-H200)/H200)</f>
        <v>#DIV/0!</v>
      </c>
      <c r="U200" s="77">
        <f t="shared" ref="U200" si="79">P200-I200</f>
        <v>-4.3E-3</v>
      </c>
      <c r="V200" s="79">
        <f t="shared" ref="V200" si="80">Q200-J200</f>
        <v>5.8999999999999999E-3</v>
      </c>
    </row>
    <row r="201" spans="1:22">
      <c r="A201" s="81"/>
      <c r="B201" s="129"/>
      <c r="C201" s="64" t="s">
        <v>46</v>
      </c>
      <c r="D201" s="57">
        <f>SUM(D182:D200)</f>
        <v>50711700679.821404</v>
      </c>
      <c r="E201" s="96">
        <f>(D201/$D$202)</f>
        <v>1.5461670187235823E-2</v>
      </c>
      <c r="F201" s="30"/>
      <c r="G201" s="34"/>
      <c r="H201" s="57">
        <f>SUM(H182:H200)</f>
        <v>28403</v>
      </c>
      <c r="I201" s="35"/>
      <c r="J201" s="35"/>
      <c r="K201" s="57">
        <f>SUM(K182:K200)</f>
        <v>51033367484.494461</v>
      </c>
      <c r="L201" s="96">
        <f>(K201/$K$202)</f>
        <v>1.5370776519828754E-2</v>
      </c>
      <c r="M201" s="30"/>
      <c r="N201" s="34"/>
      <c r="O201" s="57">
        <f>SUM(O182:O200)</f>
        <v>28647</v>
      </c>
      <c r="P201" s="35"/>
      <c r="Q201" s="35"/>
      <c r="R201" s="77">
        <f t="shared" si="64"/>
        <v>6.3430490470821731E-3</v>
      </c>
      <c r="S201" s="77" t="e">
        <f t="shared" si="65"/>
        <v>#DIV/0!</v>
      </c>
      <c r="T201" s="77">
        <f t="shared" si="66"/>
        <v>8.5906418336091257E-3</v>
      </c>
      <c r="U201" s="77">
        <f t="shared" si="67"/>
        <v>0</v>
      </c>
      <c r="V201" s="79">
        <f t="shared" si="68"/>
        <v>0</v>
      </c>
    </row>
    <row r="202" spans="1:22">
      <c r="A202" s="82"/>
      <c r="B202" s="38"/>
      <c r="C202" s="65" t="s">
        <v>196</v>
      </c>
      <c r="D202" s="66">
        <f>SUM(D23,D61,D99,D133,D141,D172,D178,D201)</f>
        <v>3279833295220.9639</v>
      </c>
      <c r="E202" s="39"/>
      <c r="F202" s="39"/>
      <c r="G202" s="40"/>
      <c r="H202" s="66">
        <f>SUM(H23,H61,H99,H133,H141,H172,H178,H201)</f>
        <v>754579</v>
      </c>
      <c r="I202" s="41"/>
      <c r="J202" s="41"/>
      <c r="K202" s="66">
        <f>SUM(K23,K61,K99,K133,K141,K172,K178,K201)</f>
        <v>3320155453347.4556</v>
      </c>
      <c r="L202" s="39"/>
      <c r="M202" s="39"/>
      <c r="N202" s="40"/>
      <c r="O202" s="66">
        <f>SUM(O23,O61,O99,O133,O141,O172,O178,O201)</f>
        <v>762168</v>
      </c>
      <c r="P202" s="42"/>
      <c r="Q202" s="66"/>
      <c r="R202" s="25">
        <f t="shared" si="64"/>
        <v>1.2293965728454859E-2</v>
      </c>
      <c r="S202" s="25"/>
      <c r="T202" s="25"/>
      <c r="U202" s="25"/>
      <c r="V202" s="25"/>
    </row>
    <row r="203" spans="1:22" ht="6.75" customHeight="1">
      <c r="A203" s="167"/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9"/>
    </row>
    <row r="204" spans="1:22" ht="15.75">
      <c r="A204" s="174" t="s">
        <v>197</v>
      </c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</row>
    <row r="205" spans="1:22">
      <c r="A205" s="162">
        <v>1</v>
      </c>
      <c r="B205" s="131" t="s">
        <v>198</v>
      </c>
      <c r="C205" s="132" t="s">
        <v>199</v>
      </c>
      <c r="D205" s="2">
        <v>103175705234</v>
      </c>
      <c r="E205" s="3">
        <f>(D205/$D$207)</f>
        <v>0.93477369261731602</v>
      </c>
      <c r="F205" s="14">
        <v>107.39</v>
      </c>
      <c r="G205" s="14">
        <v>107.39</v>
      </c>
      <c r="H205" s="62">
        <v>0</v>
      </c>
      <c r="I205" s="20">
        <v>0</v>
      </c>
      <c r="J205" s="20">
        <v>0.13800000000000001</v>
      </c>
      <c r="K205" s="2">
        <v>103175705234</v>
      </c>
      <c r="L205" s="3">
        <f>(K205/$K$207)</f>
        <v>0.93454614666707403</v>
      </c>
      <c r="M205" s="14">
        <v>107.39</v>
      </c>
      <c r="N205" s="14">
        <v>107.39</v>
      </c>
      <c r="O205" s="62">
        <v>0</v>
      </c>
      <c r="P205" s="20">
        <v>0</v>
      </c>
      <c r="Q205" s="20">
        <v>0.13800000000000001</v>
      </c>
      <c r="R205" s="77">
        <f>((K205-D205)/D205)</f>
        <v>0</v>
      </c>
      <c r="S205" s="77">
        <f>((N205-G205)/G205)</f>
        <v>0</v>
      </c>
      <c r="T205" s="77" t="e">
        <f>((O205-H205)/H205)</f>
        <v>#DIV/0!</v>
      </c>
      <c r="U205" s="77">
        <f>P205-I205</f>
        <v>0</v>
      </c>
      <c r="V205" s="79">
        <f>Q205-J205</f>
        <v>0</v>
      </c>
    </row>
    <row r="206" spans="1:22">
      <c r="A206" s="155">
        <v>2</v>
      </c>
      <c r="B206" s="131" t="s">
        <v>200</v>
      </c>
      <c r="C206" s="132" t="s">
        <v>45</v>
      </c>
      <c r="D206" s="2">
        <v>7199357788.0600004</v>
      </c>
      <c r="E206" s="3">
        <f>(D206/$D$207)</f>
        <v>6.5226307382683965E-2</v>
      </c>
      <c r="F206" s="21">
        <v>1000000</v>
      </c>
      <c r="G206" s="21">
        <v>1000000</v>
      </c>
      <c r="H206" s="62">
        <v>0</v>
      </c>
      <c r="I206" s="20">
        <v>0.19040000000000001</v>
      </c>
      <c r="J206" s="20">
        <v>0.19040000000000001</v>
      </c>
      <c r="K206" s="2">
        <v>7226232221.9099998</v>
      </c>
      <c r="L206" s="3">
        <f>(K206/$K$207)</f>
        <v>6.5453853332925971E-2</v>
      </c>
      <c r="M206" s="21">
        <v>1000000</v>
      </c>
      <c r="N206" s="21">
        <v>1000000</v>
      </c>
      <c r="O206" s="62">
        <v>0</v>
      </c>
      <c r="P206" s="20">
        <v>0.18970000000000001</v>
      </c>
      <c r="Q206" s="20">
        <v>0.18970000000000001</v>
      </c>
      <c r="R206" s="77">
        <f>((K206-D206)/D206)</f>
        <v>3.7328932164713596E-3</v>
      </c>
      <c r="S206" s="77">
        <f>((N206-G206)/G206)</f>
        <v>0</v>
      </c>
      <c r="T206" s="77" t="e">
        <f>((O206-H206)/H206)</f>
        <v>#DIV/0!</v>
      </c>
      <c r="U206" s="77">
        <f>P206-I206</f>
        <v>-7.0000000000000617E-4</v>
      </c>
      <c r="V206" s="79">
        <f>Q206-J206</f>
        <v>-7.0000000000000617E-4</v>
      </c>
    </row>
    <row r="207" spans="1:22">
      <c r="A207" s="38"/>
      <c r="B207" s="38"/>
      <c r="C207" s="65" t="s">
        <v>201</v>
      </c>
      <c r="D207" s="70">
        <f>SUM(D205:D206)</f>
        <v>110375063022.06</v>
      </c>
      <c r="E207" s="24"/>
      <c r="F207" s="22"/>
      <c r="G207" s="22"/>
      <c r="H207" s="70">
        <f>SUM(H205:H206)</f>
        <v>0</v>
      </c>
      <c r="I207" s="23"/>
      <c r="J207" s="23"/>
      <c r="K207" s="70">
        <f>SUM(K205:K206)</f>
        <v>110401937455.91</v>
      </c>
      <c r="L207" s="24"/>
      <c r="M207" s="22"/>
      <c r="N207" s="22"/>
      <c r="O207" s="23"/>
      <c r="P207" s="23"/>
      <c r="Q207" s="70"/>
      <c r="R207" s="25">
        <f>((K207-D207)/D207)</f>
        <v>2.4348284036435723E-4</v>
      </c>
      <c r="S207" s="26"/>
      <c r="T207" s="26"/>
      <c r="U207" s="25"/>
      <c r="V207" s="83"/>
    </row>
    <row r="208" spans="1:22" ht="8.25" customHeight="1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</row>
    <row r="209" spans="1:22" ht="15.75">
      <c r="A209" s="174" t="s">
        <v>202</v>
      </c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</row>
    <row r="210" spans="1:22">
      <c r="A210" s="155">
        <v>1</v>
      </c>
      <c r="B210" s="131" t="s">
        <v>203</v>
      </c>
      <c r="C210" s="132" t="s">
        <v>74</v>
      </c>
      <c r="D210" s="27">
        <v>930630494.49764609</v>
      </c>
      <c r="E210" s="10">
        <f t="shared" ref="E210:E221" si="81">(D210/$D$222)</f>
        <v>7.6790537284241872E-2</v>
      </c>
      <c r="F210" s="21">
        <v>219.30729221106307</v>
      </c>
      <c r="G210" s="21">
        <v>223.88859007658769</v>
      </c>
      <c r="H210" s="61">
        <v>61</v>
      </c>
      <c r="I210" s="28">
        <v>-1.7308364874028426E-2</v>
      </c>
      <c r="J210" s="28">
        <v>0.25275501091661745</v>
      </c>
      <c r="K210" s="27">
        <v>930630494.49764609</v>
      </c>
      <c r="L210" s="10">
        <f t="shared" ref="L210:L221" si="82">(K210/$K$222)</f>
        <v>7.7411057108356163E-2</v>
      </c>
      <c r="M210" s="21">
        <v>215.73</v>
      </c>
      <c r="N210" s="21">
        <v>220.41615705903143</v>
      </c>
      <c r="O210" s="61">
        <v>61</v>
      </c>
      <c r="P210" s="28">
        <v>-1.6311779581046792E-2</v>
      </c>
      <c r="Q210" s="28">
        <v>0.23233989061512061</v>
      </c>
      <c r="R210" s="77">
        <f>((K210-D210)/D210)</f>
        <v>0</v>
      </c>
      <c r="S210" s="77">
        <f>((N210-G210)/G210)</f>
        <v>-1.5509647081025467E-2</v>
      </c>
      <c r="T210" s="77">
        <f>((O210-H210)/H210)</f>
        <v>0</v>
      </c>
      <c r="U210" s="77">
        <f>P210-I210</f>
        <v>9.9658529298163323E-4</v>
      </c>
      <c r="V210" s="79">
        <f>Q210-J210</f>
        <v>-2.0415120301496836E-2</v>
      </c>
    </row>
    <row r="211" spans="1:22">
      <c r="A211" s="155">
        <v>2</v>
      </c>
      <c r="B211" s="131" t="s">
        <v>204</v>
      </c>
      <c r="C211" s="132" t="s">
        <v>183</v>
      </c>
      <c r="D211" s="27">
        <v>1011816249.4</v>
      </c>
      <c r="E211" s="10">
        <f t="shared" si="81"/>
        <v>8.3489541642726595E-2</v>
      </c>
      <c r="F211" s="21">
        <v>28.78</v>
      </c>
      <c r="G211" s="21">
        <v>31.81</v>
      </c>
      <c r="H211" s="61">
        <v>212</v>
      </c>
      <c r="I211" s="28">
        <v>5.1999999999999998E-3</v>
      </c>
      <c r="J211" s="28">
        <v>0.34260000000000002</v>
      </c>
      <c r="K211" s="27">
        <v>992832473.54999995</v>
      </c>
      <c r="L211" s="10">
        <f t="shared" si="82"/>
        <v>8.2585098772737411E-2</v>
      </c>
      <c r="M211" s="21">
        <v>28.24</v>
      </c>
      <c r="N211" s="21">
        <v>31.75</v>
      </c>
      <c r="O211" s="61">
        <v>212</v>
      </c>
      <c r="P211" s="28">
        <v>-1.8800000000000001E-2</v>
      </c>
      <c r="Q211" s="28">
        <v>0.3175</v>
      </c>
      <c r="R211" s="77">
        <f t="shared" ref="R211:R222" si="83">((K211-D211)/D211)</f>
        <v>-1.8762078451751759E-2</v>
      </c>
      <c r="S211" s="77">
        <f t="shared" ref="S211:S222" si="84">((N211-G211)/G211)</f>
        <v>-1.8861993083935469E-3</v>
      </c>
      <c r="T211" s="77">
        <f t="shared" ref="T211:T222" si="85">((O211-H211)/H211)</f>
        <v>0</v>
      </c>
      <c r="U211" s="77">
        <f t="shared" ref="U211:U222" si="86">P211-I211</f>
        <v>-2.4E-2</v>
      </c>
      <c r="V211" s="79">
        <f t="shared" ref="V211:V222" si="87">Q211-J211</f>
        <v>-2.5100000000000011E-2</v>
      </c>
    </row>
    <row r="212" spans="1:22">
      <c r="A212" s="157">
        <v>3</v>
      </c>
      <c r="B212" s="131" t="s">
        <v>205</v>
      </c>
      <c r="C212" s="132" t="s">
        <v>36</v>
      </c>
      <c r="D212" s="27">
        <v>274781621.06999999</v>
      </c>
      <c r="E212" s="10">
        <f t="shared" si="81"/>
        <v>2.2673476146072739E-2</v>
      </c>
      <c r="F212" s="21">
        <v>20.472591999999999</v>
      </c>
      <c r="G212" s="21">
        <v>20.861507</v>
      </c>
      <c r="H212" s="61">
        <v>143</v>
      </c>
      <c r="I212" s="28">
        <v>-5.4502232259497463E-2</v>
      </c>
      <c r="J212" s="28">
        <v>-0.12730752594429728</v>
      </c>
      <c r="K212" s="27">
        <v>278490260.41000003</v>
      </c>
      <c r="L212" s="10">
        <f t="shared" si="82"/>
        <v>2.3165182723092061E-2</v>
      </c>
      <c r="M212" s="21">
        <v>20.472591999999999</v>
      </c>
      <c r="N212" s="21">
        <v>21.23</v>
      </c>
      <c r="O212" s="61">
        <v>143</v>
      </c>
      <c r="P212" s="28">
        <v>-5.4502232259497463E-2</v>
      </c>
      <c r="Q212" s="28">
        <v>-0.1071</v>
      </c>
      <c r="R212" s="77">
        <f t="shared" si="83"/>
        <v>1.3496679019355759E-2</v>
      </c>
      <c r="S212" s="77">
        <f t="shared" si="84"/>
        <v>1.7663776638955225E-2</v>
      </c>
      <c r="T212" s="77">
        <f t="shared" si="85"/>
        <v>0</v>
      </c>
      <c r="U212" s="77">
        <f t="shared" si="86"/>
        <v>0</v>
      </c>
      <c r="V212" s="79">
        <f t="shared" si="87"/>
        <v>2.0207525944297283E-2</v>
      </c>
    </row>
    <row r="213" spans="1:22">
      <c r="A213" s="157">
        <v>4</v>
      </c>
      <c r="B213" s="131" t="s">
        <v>206</v>
      </c>
      <c r="C213" s="132" t="s">
        <v>36</v>
      </c>
      <c r="D213" s="27">
        <v>614148699.29999995</v>
      </c>
      <c r="E213" s="10">
        <f t="shared" si="81"/>
        <v>5.0676190894779004E-2</v>
      </c>
      <c r="F213" s="21">
        <v>46.016886</v>
      </c>
      <c r="G213" s="21">
        <v>46.475931000000003</v>
      </c>
      <c r="H213" s="61">
        <v>122</v>
      </c>
      <c r="I213" s="28">
        <v>-5.3036812573749037E-3</v>
      </c>
      <c r="J213" s="28">
        <v>0.22091407656140238</v>
      </c>
      <c r="K213" s="27">
        <v>615785934.97000003</v>
      </c>
      <c r="L213" s="10">
        <f t="shared" si="82"/>
        <v>5.1221876416393038E-2</v>
      </c>
      <c r="M213" s="21">
        <v>46.08</v>
      </c>
      <c r="N213" s="21">
        <v>46.34</v>
      </c>
      <c r="O213" s="61">
        <v>122</v>
      </c>
      <c r="P213" s="28">
        <v>-5.3036812573749037E-3</v>
      </c>
      <c r="Q213" s="28">
        <v>0.22</v>
      </c>
      <c r="R213" s="77">
        <f t="shared" si="83"/>
        <v>2.6658619840214262E-3</v>
      </c>
      <c r="S213" s="77">
        <f t="shared" si="84"/>
        <v>-2.9247612059670057E-3</v>
      </c>
      <c r="T213" s="77">
        <f t="shared" si="85"/>
        <v>0</v>
      </c>
      <c r="U213" s="77">
        <f t="shared" si="86"/>
        <v>0</v>
      </c>
      <c r="V213" s="79">
        <f t="shared" si="87"/>
        <v>-9.1407656140238269E-4</v>
      </c>
    </row>
    <row r="214" spans="1:22">
      <c r="A214" s="162">
        <v>5</v>
      </c>
      <c r="B214" s="131" t="s">
        <v>207</v>
      </c>
      <c r="C214" s="132" t="s">
        <v>208</v>
      </c>
      <c r="D214" s="27">
        <v>1231117620.1800001</v>
      </c>
      <c r="E214" s="10">
        <f t="shared" si="81"/>
        <v>0.10158509104599144</v>
      </c>
      <c r="F214" s="21">
        <v>34550</v>
      </c>
      <c r="G214" s="21">
        <v>40150</v>
      </c>
      <c r="H214" s="61">
        <v>226</v>
      </c>
      <c r="I214" s="28">
        <v>0.02</v>
      </c>
      <c r="J214" s="28">
        <v>1.1100000000000001</v>
      </c>
      <c r="K214" s="27">
        <v>1231856112.54</v>
      </c>
      <c r="L214" s="10">
        <f t="shared" si="82"/>
        <v>0.10246739650261134</v>
      </c>
      <c r="M214" s="21">
        <v>34800</v>
      </c>
      <c r="N214" s="21">
        <v>40450</v>
      </c>
      <c r="O214" s="61">
        <v>226</v>
      </c>
      <c r="P214" s="28">
        <v>0</v>
      </c>
      <c r="Q214" s="28">
        <v>1.1100000000000001</v>
      </c>
      <c r="R214" s="77">
        <f t="shared" si="83"/>
        <v>5.9985524363782654E-4</v>
      </c>
      <c r="S214" s="77">
        <f t="shared" si="84"/>
        <v>7.4719800747198011E-3</v>
      </c>
      <c r="T214" s="77">
        <f t="shared" si="85"/>
        <v>0</v>
      </c>
      <c r="U214" s="77">
        <f t="shared" si="86"/>
        <v>-0.02</v>
      </c>
      <c r="V214" s="79">
        <f t="shared" si="87"/>
        <v>0</v>
      </c>
    </row>
    <row r="215" spans="1:22">
      <c r="A215" s="163">
        <v>6</v>
      </c>
      <c r="B215" s="131" t="s">
        <v>209</v>
      </c>
      <c r="C215" s="132" t="s">
        <v>210</v>
      </c>
      <c r="D215" s="27">
        <v>1057867505.23</v>
      </c>
      <c r="E215" s="10">
        <f t="shared" si="81"/>
        <v>8.7289439345099515E-2</v>
      </c>
      <c r="F215" s="21">
        <v>1078.97</v>
      </c>
      <c r="G215" s="21">
        <v>1078.97</v>
      </c>
      <c r="H215" s="61">
        <v>122</v>
      </c>
      <c r="I215" s="28">
        <v>-6.8999999999999999E-3</v>
      </c>
      <c r="J215" s="28">
        <v>0.12429999999999999</v>
      </c>
      <c r="K215" s="27">
        <v>1055829943.16</v>
      </c>
      <c r="L215" s="10">
        <f t="shared" si="82"/>
        <v>8.7825310378197519E-2</v>
      </c>
      <c r="M215" s="21">
        <v>1068.18</v>
      </c>
      <c r="N215" s="21">
        <v>1068.18</v>
      </c>
      <c r="O215" s="61">
        <v>122</v>
      </c>
      <c r="P215" s="28">
        <v>-1.8E-3</v>
      </c>
      <c r="Q215" s="28">
        <v>0.12239999999999999</v>
      </c>
      <c r="R215" s="77">
        <f t="shared" si="83"/>
        <v>-1.9261032784602347E-3</v>
      </c>
      <c r="S215" s="77">
        <f t="shared" si="84"/>
        <v>-1.0000278042948334E-2</v>
      </c>
      <c r="T215" s="77">
        <f t="shared" si="85"/>
        <v>0</v>
      </c>
      <c r="U215" s="77">
        <f t="shared" si="86"/>
        <v>5.1000000000000004E-3</v>
      </c>
      <c r="V215" s="79">
        <f t="shared" si="87"/>
        <v>-1.8999999999999989E-3</v>
      </c>
    </row>
    <row r="216" spans="1:22">
      <c r="A216" s="163">
        <v>7</v>
      </c>
      <c r="B216" s="131" t="s">
        <v>211</v>
      </c>
      <c r="C216" s="132" t="s">
        <v>210</v>
      </c>
      <c r="D216" s="27">
        <v>863152520.30999994</v>
      </c>
      <c r="E216" s="10">
        <f t="shared" si="81"/>
        <v>7.1222624000335757E-2</v>
      </c>
      <c r="F216" s="21">
        <v>491</v>
      </c>
      <c r="G216" s="21">
        <v>491</v>
      </c>
      <c r="H216" s="61">
        <v>572</v>
      </c>
      <c r="I216" s="28">
        <v>-9.7000000000000003E-3</v>
      </c>
      <c r="J216" s="28">
        <v>0.29270000000000002</v>
      </c>
      <c r="K216" s="27">
        <v>850801781.99000001</v>
      </c>
      <c r="L216" s="10">
        <f t="shared" si="82"/>
        <v>7.0770800788202276E-2</v>
      </c>
      <c r="M216" s="21">
        <v>588.02</v>
      </c>
      <c r="N216" s="21">
        <v>588.02</v>
      </c>
      <c r="O216" s="61">
        <v>572</v>
      </c>
      <c r="P216" s="28">
        <v>-1.4200000000000001E-2</v>
      </c>
      <c r="Q216" s="28">
        <v>0.27450000000000002</v>
      </c>
      <c r="R216" s="77">
        <f t="shared" si="83"/>
        <v>-1.4308871293759512E-2</v>
      </c>
      <c r="S216" s="77">
        <f t="shared" si="84"/>
        <v>0.19759674134419547</v>
      </c>
      <c r="T216" s="77">
        <f t="shared" si="85"/>
        <v>0</v>
      </c>
      <c r="U216" s="77">
        <f t="shared" si="86"/>
        <v>-4.5000000000000005E-3</v>
      </c>
      <c r="V216" s="79">
        <f t="shared" si="87"/>
        <v>-1.8199999999999994E-2</v>
      </c>
    </row>
    <row r="217" spans="1:22">
      <c r="A217" s="158">
        <v>8</v>
      </c>
      <c r="B217" s="131" t="s">
        <v>212</v>
      </c>
      <c r="C217" s="132" t="s">
        <v>213</v>
      </c>
      <c r="D217" s="27">
        <v>50992577.649999999</v>
      </c>
      <c r="E217" s="10">
        <f t="shared" si="81"/>
        <v>4.2076285468870675E-3</v>
      </c>
      <c r="F217" s="21">
        <v>15.39</v>
      </c>
      <c r="G217" s="21">
        <v>15.49</v>
      </c>
      <c r="H217" s="61">
        <v>61</v>
      </c>
      <c r="I217" s="28">
        <v>0</v>
      </c>
      <c r="J217" s="28">
        <v>0.43230000000000002</v>
      </c>
      <c r="K217" s="27">
        <v>49562163.060000002</v>
      </c>
      <c r="L217" s="10">
        <f t="shared" si="82"/>
        <v>4.1226453009390665E-3</v>
      </c>
      <c r="M217" s="21">
        <v>15.17</v>
      </c>
      <c r="N217" s="21">
        <v>15.27</v>
      </c>
      <c r="O217" s="61">
        <v>61</v>
      </c>
      <c r="P217" s="28">
        <v>0</v>
      </c>
      <c r="Q217" s="28">
        <v>0.43230000000000002</v>
      </c>
      <c r="R217" s="77">
        <f t="shared" si="83"/>
        <v>-2.8051427402199507E-2</v>
      </c>
      <c r="S217" s="77">
        <f t="shared" si="84"/>
        <v>-1.4202711426726961E-2</v>
      </c>
      <c r="T217" s="77">
        <f t="shared" si="85"/>
        <v>0</v>
      </c>
      <c r="U217" s="77">
        <f t="shared" si="86"/>
        <v>0</v>
      </c>
      <c r="V217" s="79">
        <f t="shared" si="87"/>
        <v>0</v>
      </c>
    </row>
    <row r="218" spans="1:22">
      <c r="A218" s="158">
        <v>9</v>
      </c>
      <c r="B218" s="131" t="s">
        <v>214</v>
      </c>
      <c r="C218" s="132" t="s">
        <v>213</v>
      </c>
      <c r="D218" s="29">
        <v>522629420.50999999</v>
      </c>
      <c r="E218" s="10">
        <f t="shared" si="81"/>
        <v>4.3124520675822738E-2</v>
      </c>
      <c r="F218" s="21">
        <v>8.33</v>
      </c>
      <c r="G218" s="21">
        <v>8.43</v>
      </c>
      <c r="H218" s="61">
        <v>102</v>
      </c>
      <c r="I218" s="28">
        <v>0</v>
      </c>
      <c r="J218" s="28">
        <v>-3.1699999999999999E-2</v>
      </c>
      <c r="K218" s="29">
        <v>525378736.17000002</v>
      </c>
      <c r="L218" s="10">
        <f t="shared" si="82"/>
        <v>4.370168782307695E-2</v>
      </c>
      <c r="M218" s="21">
        <v>8.36</v>
      </c>
      <c r="N218" s="21">
        <v>8.4600000000000009</v>
      </c>
      <c r="O218" s="61">
        <v>101</v>
      </c>
      <c r="P218" s="28">
        <v>0</v>
      </c>
      <c r="Q218" s="28">
        <v>-3.1699999999999999E-2</v>
      </c>
      <c r="R218" s="77">
        <f t="shared" si="83"/>
        <v>5.2605451436644121E-3</v>
      </c>
      <c r="S218" s="77">
        <f t="shared" si="84"/>
        <v>3.5587188612100995E-3</v>
      </c>
      <c r="T218" s="77">
        <f t="shared" si="85"/>
        <v>-9.8039215686274508E-3</v>
      </c>
      <c r="U218" s="77">
        <f t="shared" si="86"/>
        <v>0</v>
      </c>
      <c r="V218" s="79">
        <f t="shared" si="87"/>
        <v>0</v>
      </c>
    </row>
    <row r="219" spans="1:22" ht="15" customHeight="1">
      <c r="A219" s="158">
        <v>10</v>
      </c>
      <c r="B219" s="131" t="s">
        <v>215</v>
      </c>
      <c r="C219" s="132" t="s">
        <v>213</v>
      </c>
      <c r="D219" s="27">
        <v>430485313.08999997</v>
      </c>
      <c r="E219" s="10">
        <f t="shared" si="81"/>
        <v>3.5521293016516117E-2</v>
      </c>
      <c r="F219" s="21">
        <v>121.28</v>
      </c>
      <c r="G219" s="21">
        <v>121.28</v>
      </c>
      <c r="H219" s="61">
        <v>260</v>
      </c>
      <c r="I219" s="28">
        <v>8.8200000000000001E-2</v>
      </c>
      <c r="J219" s="28">
        <v>0.25</v>
      </c>
      <c r="K219" s="27">
        <v>431526499.05000001</v>
      </c>
      <c r="L219" s="10">
        <f t="shared" si="82"/>
        <v>3.5894936453549714E-2</v>
      </c>
      <c r="M219" s="21">
        <v>121.58</v>
      </c>
      <c r="N219" s="21">
        <v>123.58</v>
      </c>
      <c r="O219" s="61">
        <v>265</v>
      </c>
      <c r="P219" s="28">
        <v>8.1600000000000006E-2</v>
      </c>
      <c r="Q219" s="28">
        <v>0.35199999999999998</v>
      </c>
      <c r="R219" s="77">
        <f t="shared" si="83"/>
        <v>2.4186329436571537E-3</v>
      </c>
      <c r="S219" s="77">
        <f t="shared" si="84"/>
        <v>1.8964379947229527E-2</v>
      </c>
      <c r="T219" s="77">
        <f t="shared" si="85"/>
        <v>1.9230769230769232E-2</v>
      </c>
      <c r="U219" s="77">
        <f t="shared" si="86"/>
        <v>-6.5999999999999948E-3</v>
      </c>
      <c r="V219" s="79">
        <f t="shared" si="87"/>
        <v>0.10199999999999998</v>
      </c>
    </row>
    <row r="220" spans="1:22">
      <c r="A220" s="158">
        <v>11</v>
      </c>
      <c r="B220" s="131" t="s">
        <v>216</v>
      </c>
      <c r="C220" s="132" t="s">
        <v>213</v>
      </c>
      <c r="D220" s="27">
        <v>5062511435.96</v>
      </c>
      <c r="E220" s="10">
        <f t="shared" si="81"/>
        <v>0.41773074864136694</v>
      </c>
      <c r="F220" s="21">
        <v>36.229999999999997</v>
      </c>
      <c r="G220" s="21">
        <v>36.43</v>
      </c>
      <c r="H220" s="61">
        <v>278</v>
      </c>
      <c r="I220" s="28">
        <v>0</v>
      </c>
      <c r="J220" s="28">
        <v>0.3296</v>
      </c>
      <c r="K220" s="27">
        <v>4993555743.0200005</v>
      </c>
      <c r="L220" s="10">
        <f t="shared" si="82"/>
        <v>0.41537047311709269</v>
      </c>
      <c r="M220" s="21">
        <v>35.76</v>
      </c>
      <c r="N220" s="21">
        <v>35.96</v>
      </c>
      <c r="O220" s="61">
        <v>279</v>
      </c>
      <c r="P220" s="28">
        <v>8.3999999999999995E-3</v>
      </c>
      <c r="Q220" s="28">
        <v>0.31850000000000001</v>
      </c>
      <c r="R220" s="77">
        <f t="shared" si="83"/>
        <v>-1.3620846848896761E-2</v>
      </c>
      <c r="S220" s="77">
        <f t="shared" si="84"/>
        <v>-1.2901454844908011E-2</v>
      </c>
      <c r="T220" s="77">
        <f t="shared" si="85"/>
        <v>3.5971223021582736E-3</v>
      </c>
      <c r="U220" s="77">
        <f t="shared" si="86"/>
        <v>8.3999999999999995E-3</v>
      </c>
      <c r="V220" s="79">
        <f t="shared" si="87"/>
        <v>-1.1099999999999999E-2</v>
      </c>
    </row>
    <row r="221" spans="1:22">
      <c r="A221" s="158">
        <v>12</v>
      </c>
      <c r="B221" s="131" t="s">
        <v>217</v>
      </c>
      <c r="C221" s="132" t="s">
        <v>213</v>
      </c>
      <c r="D221" s="29">
        <v>68944327.775999993</v>
      </c>
      <c r="E221" s="10">
        <f t="shared" si="81"/>
        <v>5.688908760160245E-3</v>
      </c>
      <c r="F221" s="21">
        <v>40.42</v>
      </c>
      <c r="G221" s="21">
        <v>40.619999999999997</v>
      </c>
      <c r="H221" s="61">
        <v>57</v>
      </c>
      <c r="I221" s="28">
        <v>0</v>
      </c>
      <c r="J221" s="28">
        <v>0.81130000000000002</v>
      </c>
      <c r="K221" s="29">
        <v>65682243.740000002</v>
      </c>
      <c r="L221" s="10">
        <f t="shared" si="82"/>
        <v>5.4635346157518054E-3</v>
      </c>
      <c r="M221" s="21">
        <v>38.42</v>
      </c>
      <c r="N221" s="21">
        <v>38.619999999999997</v>
      </c>
      <c r="O221" s="61">
        <v>57</v>
      </c>
      <c r="P221" s="28">
        <v>0</v>
      </c>
      <c r="Q221" s="28">
        <v>0.81130000000000002</v>
      </c>
      <c r="R221" s="77">
        <f t="shared" si="83"/>
        <v>-4.7314755850524741E-2</v>
      </c>
      <c r="S221" s="77">
        <f t="shared" si="84"/>
        <v>-4.9236829148202856E-2</v>
      </c>
      <c r="T221" s="77">
        <f t="shared" si="85"/>
        <v>0</v>
      </c>
      <c r="U221" s="77">
        <f t="shared" si="86"/>
        <v>0</v>
      </c>
      <c r="V221" s="79">
        <f t="shared" si="87"/>
        <v>0</v>
      </c>
    </row>
    <row r="222" spans="1:22">
      <c r="A222" s="127"/>
      <c r="B222" s="127"/>
      <c r="C222" s="128" t="s">
        <v>218</v>
      </c>
      <c r="D222" s="70">
        <f>SUM(D210:D221)</f>
        <v>12119077784.973646</v>
      </c>
      <c r="E222" s="24"/>
      <c r="F222" s="24"/>
      <c r="G222" s="22"/>
      <c r="H222" s="70">
        <f>SUM(H210:H221)</f>
        <v>2216</v>
      </c>
      <c r="I222" s="23"/>
      <c r="J222" s="23"/>
      <c r="K222" s="70">
        <f>SUM(K210:K221)</f>
        <v>12021932386.157646</v>
      </c>
      <c r="L222" s="24"/>
      <c r="M222" s="24"/>
      <c r="N222" s="22"/>
      <c r="O222" s="70">
        <f>SUM(O210:O221)</f>
        <v>2221</v>
      </c>
      <c r="P222" s="23"/>
      <c r="Q222" s="23"/>
      <c r="R222" s="77">
        <f t="shared" si="83"/>
        <v>-8.0159068651617892E-3</v>
      </c>
      <c r="S222" s="77" t="e">
        <f t="shared" si="84"/>
        <v>#DIV/0!</v>
      </c>
      <c r="T222" s="77">
        <f t="shared" si="85"/>
        <v>2.2563176895306859E-3</v>
      </c>
      <c r="U222" s="77">
        <f t="shared" si="86"/>
        <v>0</v>
      </c>
      <c r="V222" s="79">
        <f t="shared" si="87"/>
        <v>0</v>
      </c>
    </row>
    <row r="223" spans="1:22">
      <c r="A223" s="84"/>
      <c r="B223" s="84"/>
      <c r="C223" s="85" t="s">
        <v>219</v>
      </c>
      <c r="D223" s="86">
        <f>SUM(D202,D207,D222)</f>
        <v>3402327436027.9976</v>
      </c>
      <c r="E223" s="87"/>
      <c r="F223" s="87"/>
      <c r="G223" s="88"/>
      <c r="H223" s="86">
        <f>SUM(H202,H207,H222)</f>
        <v>756795</v>
      </c>
      <c r="I223" s="89"/>
      <c r="J223" s="89"/>
      <c r="K223" s="86">
        <f>SUM(K202,K207,K222)</f>
        <v>3442579323189.5234</v>
      </c>
      <c r="L223" s="87"/>
      <c r="M223" s="87"/>
      <c r="N223" s="88"/>
      <c r="O223" s="86">
        <f>SUM(O202,O207,O222)</f>
        <v>764389</v>
      </c>
      <c r="P223" s="90"/>
      <c r="Q223" s="86"/>
      <c r="R223" s="91"/>
      <c r="S223" s="92"/>
      <c r="T223" s="92"/>
      <c r="U223" s="93"/>
      <c r="V223" s="93"/>
    </row>
    <row r="224" spans="1:22">
      <c r="A224" s="105" t="s">
        <v>248</v>
      </c>
      <c r="B224" s="106" t="s">
        <v>289</v>
      </c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</row>
    <row r="226" spans="2:11">
      <c r="B226" s="109"/>
      <c r="C226" s="109"/>
      <c r="D226" s="108"/>
      <c r="K226" s="108"/>
    </row>
    <row r="227" spans="2:11">
      <c r="B227" s="121"/>
      <c r="C227" s="122"/>
      <c r="D227" s="123"/>
      <c r="F227" s="124"/>
      <c r="G227" s="124"/>
      <c r="I227" s="125"/>
      <c r="J227" s="126"/>
    </row>
    <row r="230" spans="2:11">
      <c r="B230" s="109"/>
    </row>
  </sheetData>
  <sheetProtection password="CA3B" sheet="1" objects="1" scenarios="1"/>
  <mergeCells count="33">
    <mergeCell ref="A208:V208"/>
    <mergeCell ref="A209:V209"/>
    <mergeCell ref="A181:V181"/>
    <mergeCell ref="A184:V184"/>
    <mergeCell ref="A185:V185"/>
    <mergeCell ref="A203:U203"/>
    <mergeCell ref="A204:V204"/>
    <mergeCell ref="A199:V199"/>
    <mergeCell ref="A198:V198"/>
    <mergeCell ref="A180:V180"/>
    <mergeCell ref="A101:V101"/>
    <mergeCell ref="A102:V102"/>
    <mergeCell ref="A118:V118"/>
    <mergeCell ref="A119:V119"/>
    <mergeCell ref="A134:V134"/>
    <mergeCell ref="A135:V135"/>
    <mergeCell ref="A142:V142"/>
    <mergeCell ref="A143:V143"/>
    <mergeCell ref="A173:V173"/>
    <mergeCell ref="A174:V174"/>
    <mergeCell ref="A179:V179"/>
    <mergeCell ref="A100:V100"/>
    <mergeCell ref="A1:V1"/>
    <mergeCell ref="U2:V2"/>
    <mergeCell ref="A4:V4"/>
    <mergeCell ref="A5:V5"/>
    <mergeCell ref="A24:V24"/>
    <mergeCell ref="A25:V25"/>
    <mergeCell ref="A62:V62"/>
    <mergeCell ref="A63:V63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6 E86 E68" formula="1"/>
    <ignoredError sqref="S141 S23 T35 S61 S99 S133 T151 S172 S178 S201 S222 T205:T20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G6" sqref="G6"/>
    </sheetView>
  </sheetViews>
  <sheetFormatPr defaultRowHeight="15"/>
  <cols>
    <col min="1" max="1" width="34" customWidth="1"/>
    <col min="2" max="2" width="16.85546875" customWidth="1"/>
    <col min="3" max="3" width="17.42578125" customWidth="1"/>
  </cols>
  <sheetData>
    <row r="1" spans="1:5">
      <c r="A1" s="95"/>
      <c r="B1" s="95"/>
      <c r="C1" s="95"/>
      <c r="D1" s="95"/>
    </row>
    <row r="2" spans="1:5" ht="33">
      <c r="A2" s="138" t="s">
        <v>220</v>
      </c>
      <c r="B2" s="146" t="s">
        <v>283</v>
      </c>
      <c r="C2" s="146" t="s">
        <v>290</v>
      </c>
      <c r="D2" s="95"/>
    </row>
    <row r="3" spans="1:5" ht="16.5">
      <c r="A3" s="147" t="s">
        <v>15</v>
      </c>
      <c r="B3" s="141">
        <f t="shared" ref="B3:C10" si="0">B13</f>
        <v>27.391940327104201</v>
      </c>
      <c r="C3" s="141">
        <f t="shared" si="0"/>
        <v>27.464171302260002</v>
      </c>
      <c r="D3" s="95"/>
    </row>
    <row r="4" spans="1:5" ht="17.25" customHeight="1">
      <c r="A4" s="140" t="s">
        <v>47</v>
      </c>
      <c r="B4" s="143">
        <f t="shared" si="0"/>
        <v>1238.3912475964694</v>
      </c>
      <c r="C4" s="143">
        <f t="shared" si="0"/>
        <v>1261.9333830539299</v>
      </c>
      <c r="D4" s="95"/>
    </row>
    <row r="5" spans="1:5" ht="19.5" customHeight="1">
      <c r="A5" s="140" t="s">
        <v>221</v>
      </c>
      <c r="B5" s="141">
        <f t="shared" si="0"/>
        <v>217.81903895914166</v>
      </c>
      <c r="C5" s="141">
        <f t="shared" si="0"/>
        <v>216.79604916953281</v>
      </c>
      <c r="D5" s="95"/>
    </row>
    <row r="6" spans="1:5" ht="16.5">
      <c r="A6" s="140" t="s">
        <v>128</v>
      </c>
      <c r="B6" s="143">
        <f t="shared" si="0"/>
        <v>1593.0375569956129</v>
      </c>
      <c r="C6" s="143">
        <f t="shared" si="0"/>
        <v>1610.2141655640437</v>
      </c>
      <c r="D6" s="95"/>
    </row>
    <row r="7" spans="1:5" ht="16.5">
      <c r="A7" s="140" t="s">
        <v>222</v>
      </c>
      <c r="B7" s="141">
        <f t="shared" si="0"/>
        <v>97.679677536488839</v>
      </c>
      <c r="C7" s="141">
        <f t="shared" si="0"/>
        <v>97.725390745223066</v>
      </c>
      <c r="D7" s="95"/>
    </row>
    <row r="8" spans="1:5" ht="16.5">
      <c r="A8" s="140" t="s">
        <v>152</v>
      </c>
      <c r="B8" s="142">
        <f t="shared" si="0"/>
        <v>49.479509081395513</v>
      </c>
      <c r="C8" s="142">
        <f t="shared" si="0"/>
        <v>49.723971071591237</v>
      </c>
      <c r="D8" s="95"/>
    </row>
    <row r="9" spans="1:5" ht="16.5">
      <c r="A9" s="140" t="s">
        <v>176</v>
      </c>
      <c r="B9" s="141">
        <f t="shared" si="0"/>
        <v>5.3226240449300004</v>
      </c>
      <c r="C9" s="141">
        <f t="shared" si="0"/>
        <v>5.2649549563800004</v>
      </c>
      <c r="D9" s="95"/>
    </row>
    <row r="10" spans="1:5" ht="16.5">
      <c r="A10" s="140" t="s">
        <v>223</v>
      </c>
      <c r="B10" s="141">
        <f t="shared" si="0"/>
        <v>50.711700679821405</v>
      </c>
      <c r="C10" s="141">
        <f t="shared" si="0"/>
        <v>51.033367484494462</v>
      </c>
      <c r="D10" s="95"/>
    </row>
    <row r="11" spans="1:5" ht="16.5">
      <c r="A11" s="144"/>
      <c r="B11" s="145"/>
      <c r="C11" s="145"/>
      <c r="D11" s="95"/>
    </row>
    <row r="12" spans="1:5">
      <c r="A12" s="95"/>
      <c r="B12" s="95"/>
      <c r="C12" s="95"/>
      <c r="D12" s="95"/>
    </row>
    <row r="13" spans="1:5">
      <c r="A13" s="148" t="s">
        <v>15</v>
      </c>
      <c r="B13" s="149">
        <f>'Weekly Valuation'!D23/1000000000</f>
        <v>27.391940327104201</v>
      </c>
      <c r="C13" s="150">
        <f>'Weekly Valuation'!K23/1000000000</f>
        <v>27.464171302260002</v>
      </c>
      <c r="D13" s="95"/>
      <c r="E13" s="97"/>
    </row>
    <row r="14" spans="1:5">
      <c r="A14" s="151" t="s">
        <v>47</v>
      </c>
      <c r="B14" s="149">
        <f>'Weekly Valuation'!D61/1000000000</f>
        <v>1238.3912475964694</v>
      </c>
      <c r="C14" s="152">
        <f>'Weekly Valuation'!K61/1000000000</f>
        <v>1261.9333830539299</v>
      </c>
      <c r="D14" s="95"/>
      <c r="E14" s="97"/>
    </row>
    <row r="15" spans="1:5">
      <c r="A15" s="151" t="s">
        <v>221</v>
      </c>
      <c r="B15" s="149">
        <f>'Weekly Valuation'!D99/1000000000</f>
        <v>217.81903895914166</v>
      </c>
      <c r="C15" s="150">
        <f>'Weekly Valuation'!K99/1000000000</f>
        <v>216.79604916953281</v>
      </c>
      <c r="D15" s="95"/>
      <c r="E15" s="97"/>
    </row>
    <row r="16" spans="1:5">
      <c r="A16" s="151" t="s">
        <v>128</v>
      </c>
      <c r="B16" s="149">
        <f>'Weekly Valuation'!D133/1000000000</f>
        <v>1593.0375569956129</v>
      </c>
      <c r="C16" s="152">
        <f>'Weekly Valuation'!K133/1000000000</f>
        <v>1610.2141655640437</v>
      </c>
      <c r="D16" s="95"/>
      <c r="E16" s="97"/>
    </row>
    <row r="17" spans="1:5">
      <c r="A17" s="151" t="s">
        <v>222</v>
      </c>
      <c r="B17" s="149">
        <f>'Weekly Valuation'!D141/1000000000</f>
        <v>97.679677536488839</v>
      </c>
      <c r="C17" s="150">
        <f>'Weekly Valuation'!K141/1000000000</f>
        <v>97.725390745223066</v>
      </c>
      <c r="D17" s="95"/>
      <c r="E17" s="97"/>
    </row>
    <row r="18" spans="1:5">
      <c r="A18" s="151" t="s">
        <v>152</v>
      </c>
      <c r="B18" s="149">
        <f>'Weekly Valuation'!D172/1000000000</f>
        <v>49.479509081395513</v>
      </c>
      <c r="C18" s="153">
        <f>'Weekly Valuation'!K172/1000000000</f>
        <v>49.723971071591237</v>
      </c>
      <c r="D18" s="95"/>
      <c r="E18" s="97"/>
    </row>
    <row r="19" spans="1:5">
      <c r="A19" s="151" t="s">
        <v>176</v>
      </c>
      <c r="B19" s="149">
        <f>'Weekly Valuation'!D178/1000000000</f>
        <v>5.3226240449300004</v>
      </c>
      <c r="C19" s="150">
        <f>'Weekly Valuation'!K178/1000000000</f>
        <v>5.2649549563800004</v>
      </c>
      <c r="D19" s="95"/>
      <c r="E19" s="97"/>
    </row>
    <row r="20" spans="1:5">
      <c r="A20" s="151" t="s">
        <v>223</v>
      </c>
      <c r="B20" s="149">
        <f>'Weekly Valuation'!D201/1000000000</f>
        <v>50.711700679821405</v>
      </c>
      <c r="C20" s="150">
        <f>'Weekly Valuation'!K201/1000000000</f>
        <v>51.033367484494462</v>
      </c>
      <c r="D20" s="95"/>
      <c r="E20" s="97"/>
    </row>
    <row r="21" spans="1:5" ht="16.5">
      <c r="A21" s="111"/>
      <c r="B21" s="97"/>
      <c r="C21" s="114"/>
      <c r="D21" s="97"/>
      <c r="E21" s="97"/>
    </row>
    <row r="22" spans="1:5" ht="16.5">
      <c r="A22" s="111"/>
      <c r="B22" s="97"/>
      <c r="C22" s="102"/>
      <c r="D22" s="97"/>
      <c r="E22" s="97"/>
    </row>
    <row r="23" spans="1:5" ht="16.5">
      <c r="A23" s="111"/>
      <c r="B23" s="102"/>
      <c r="C23" s="184"/>
      <c r="D23" s="97"/>
      <c r="E23" s="97"/>
    </row>
    <row r="24" spans="1:5" ht="16.5">
      <c r="A24" s="111"/>
      <c r="B24" s="102"/>
      <c r="C24" s="102"/>
      <c r="D24" s="97"/>
      <c r="E24" s="97"/>
    </row>
    <row r="25" spans="1:5" ht="16.5">
      <c r="A25" s="111"/>
      <c r="B25" s="102"/>
      <c r="C25" s="102"/>
      <c r="D25" s="97"/>
      <c r="E25" s="97"/>
    </row>
    <row r="26" spans="1:5" ht="16.5">
      <c r="A26" s="111"/>
      <c r="B26" s="102"/>
      <c r="C26" s="102"/>
      <c r="D26" s="97"/>
      <c r="E26" s="97"/>
    </row>
    <row r="27" spans="1:5" ht="16.5">
      <c r="A27" s="111"/>
      <c r="B27" s="102"/>
      <c r="C27" s="102"/>
      <c r="D27" s="97"/>
      <c r="E27" s="97"/>
    </row>
    <row r="28" spans="1:5">
      <c r="A28" s="97"/>
      <c r="B28" s="97"/>
      <c r="C28" s="97"/>
      <c r="D28" s="97"/>
    </row>
    <row r="29" spans="1:5">
      <c r="B29" s="97"/>
      <c r="C29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6" sqref="K6"/>
    </sheetView>
  </sheetViews>
  <sheetFormatPr defaultRowHeight="15"/>
  <cols>
    <col min="1" max="1" width="26.7109375" customWidth="1"/>
    <col min="2" max="2" width="17.42578125" customWidth="1"/>
  </cols>
  <sheetData>
    <row r="1" spans="1:6" ht="16.5">
      <c r="A1" s="138" t="s">
        <v>220</v>
      </c>
      <c r="B1" s="139">
        <v>45527</v>
      </c>
      <c r="C1" s="97"/>
      <c r="D1" s="97"/>
    </row>
    <row r="2" spans="1:6" ht="16.5">
      <c r="A2" s="140" t="s">
        <v>176</v>
      </c>
      <c r="B2" s="141">
        <f>'Weekly Valuation'!K178</f>
        <v>5264954956.3800001</v>
      </c>
      <c r="C2" s="97"/>
      <c r="D2" s="97"/>
    </row>
    <row r="3" spans="1:6" ht="16.5">
      <c r="A3" s="140" t="s">
        <v>15</v>
      </c>
      <c r="B3" s="141">
        <f>'Weekly Valuation'!K23</f>
        <v>27464171302.260002</v>
      </c>
      <c r="C3" s="97"/>
      <c r="D3" s="97"/>
    </row>
    <row r="4" spans="1:6" ht="16.5">
      <c r="A4" s="140" t="s">
        <v>152</v>
      </c>
      <c r="B4" s="142">
        <f>'Weekly Valuation'!K172</f>
        <v>49723971071.59124</v>
      </c>
      <c r="C4" s="97"/>
      <c r="D4" s="97"/>
    </row>
    <row r="5" spans="1:6" ht="16.5">
      <c r="A5" s="140" t="s">
        <v>223</v>
      </c>
      <c r="B5" s="141">
        <f>'Weekly Valuation'!K201</f>
        <v>51033367484.494461</v>
      </c>
      <c r="C5" s="97"/>
      <c r="D5" s="97"/>
    </row>
    <row r="6" spans="1:6" ht="16.5">
      <c r="A6" s="140" t="s">
        <v>222</v>
      </c>
      <c r="B6" s="141">
        <f>'Weekly Valuation'!K141</f>
        <v>97725390745.223068</v>
      </c>
      <c r="C6" s="97"/>
      <c r="D6" s="97"/>
    </row>
    <row r="7" spans="1:6" ht="16.5">
      <c r="A7" s="140" t="s">
        <v>221</v>
      </c>
      <c r="B7" s="141">
        <f>'Weekly Valuation'!K99</f>
        <v>216796049169.53281</v>
      </c>
      <c r="C7" s="97"/>
      <c r="D7" s="97"/>
    </row>
    <row r="8" spans="1:6" ht="16.5">
      <c r="A8" s="140" t="s">
        <v>47</v>
      </c>
      <c r="B8" s="143">
        <f>'Weekly Valuation'!K61</f>
        <v>1261933383053.9299</v>
      </c>
      <c r="C8" s="97"/>
      <c r="D8" s="97"/>
    </row>
    <row r="9" spans="1:6" ht="16.5">
      <c r="A9" s="140" t="s">
        <v>128</v>
      </c>
      <c r="B9" s="143">
        <f>'Weekly Valuation'!K133</f>
        <v>1610214165564.0437</v>
      </c>
      <c r="C9" s="97"/>
      <c r="D9" s="97"/>
      <c r="F9" t="s">
        <v>284</v>
      </c>
    </row>
    <row r="10" spans="1:6">
      <c r="A10" s="95"/>
      <c r="B10" s="95"/>
      <c r="C10" s="97"/>
      <c r="D10" s="97"/>
    </row>
    <row r="11" spans="1:6" ht="16.5">
      <c r="A11" s="111"/>
      <c r="B11" s="117"/>
      <c r="C11" s="97"/>
      <c r="D11" s="97"/>
    </row>
    <row r="12" spans="1:6" ht="16.5">
      <c r="A12" s="102"/>
      <c r="B12" s="97"/>
      <c r="C12" s="97"/>
      <c r="D12" s="97"/>
    </row>
    <row r="13" spans="1:6" ht="16.5">
      <c r="A13" s="102"/>
      <c r="B13" s="102"/>
      <c r="C13" s="97"/>
      <c r="D13" s="97"/>
    </row>
    <row r="14" spans="1:6" ht="16.5">
      <c r="A14" s="102"/>
      <c r="B14" s="102"/>
      <c r="C14" s="97"/>
      <c r="D14" s="97"/>
    </row>
    <row r="15" spans="1:6" ht="16.5" customHeight="1">
      <c r="A15" s="184"/>
      <c r="B15" s="184"/>
      <c r="C15" s="97"/>
      <c r="D15" s="97"/>
    </row>
    <row r="16" spans="1:6" ht="16.5">
      <c r="A16" s="102"/>
      <c r="B16" s="102"/>
      <c r="C16" s="97"/>
      <c r="D16" s="97"/>
    </row>
    <row r="17" spans="1:17" ht="16.5">
      <c r="A17" s="102"/>
      <c r="B17" s="102"/>
      <c r="C17" s="97"/>
    </row>
    <row r="18" spans="1:17" ht="16.5">
      <c r="A18" s="114"/>
      <c r="B18" s="102"/>
      <c r="C18" s="97"/>
    </row>
    <row r="19" spans="1:17" ht="16.5">
      <c r="A19" s="114"/>
      <c r="B19" s="114"/>
      <c r="C19" s="97"/>
    </row>
    <row r="20" spans="1:17" ht="16.5">
      <c r="A20" s="114"/>
      <c r="B20" s="114"/>
      <c r="C20" s="97"/>
    </row>
    <row r="21" spans="1:17" ht="16.5">
      <c r="A21" s="111"/>
      <c r="B21" s="114"/>
      <c r="C21" s="97"/>
    </row>
    <row r="22" spans="1:17" ht="16.5">
      <c r="A22" s="97"/>
      <c r="B22" s="114"/>
      <c r="C22" s="97"/>
    </row>
    <row r="23" spans="1:17">
      <c r="A23" s="97"/>
      <c r="B23" s="97"/>
      <c r="C23" s="97"/>
    </row>
    <row r="24" spans="1:17">
      <c r="A24" s="97"/>
      <c r="B24" s="97"/>
      <c r="C24" s="97"/>
    </row>
    <row r="25" spans="1:17">
      <c r="A25" s="97"/>
      <c r="B25" s="97"/>
      <c r="C25" s="97"/>
    </row>
    <row r="26" spans="1:17">
      <c r="A26" s="97"/>
      <c r="B26" s="97"/>
    </row>
    <row r="32" spans="1:17" ht="16.5" customHeight="1">
      <c r="A32" s="183" t="s">
        <v>291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03"/>
    </row>
    <row r="33" spans="1:17" ht="15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03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F8" sqref="F8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  <c r="M1" s="97"/>
    </row>
    <row r="2" spans="1:13">
      <c r="A2" s="133" t="s">
        <v>231</v>
      </c>
      <c r="B2" s="134">
        <v>45478</v>
      </c>
      <c r="C2" s="134">
        <v>45485</v>
      </c>
      <c r="D2" s="134">
        <v>45492</v>
      </c>
      <c r="E2" s="134">
        <v>45499</v>
      </c>
      <c r="F2" s="134">
        <v>45506</v>
      </c>
      <c r="G2" s="134">
        <v>45513</v>
      </c>
      <c r="H2" s="134">
        <v>45520</v>
      </c>
      <c r="I2" s="134">
        <v>45527</v>
      </c>
      <c r="J2" s="95"/>
      <c r="K2" s="97"/>
      <c r="L2" s="97"/>
      <c r="M2" s="97"/>
    </row>
    <row r="3" spans="1:13">
      <c r="A3" s="133" t="s">
        <v>232</v>
      </c>
      <c r="B3" s="135">
        <f t="shared" ref="B3:I3" si="0">B4</f>
        <v>3047.0187418823903</v>
      </c>
      <c r="C3" s="135">
        <f t="shared" si="0"/>
        <v>3097.1617711497356</v>
      </c>
      <c r="D3" s="135">
        <f t="shared" si="0"/>
        <v>3161.8406486109188</v>
      </c>
      <c r="E3" s="135">
        <f t="shared" si="0"/>
        <v>3212.3863205334346</v>
      </c>
      <c r="F3" s="135">
        <f t="shared" si="0"/>
        <v>3251.4108261292827</v>
      </c>
      <c r="G3" s="135">
        <f t="shared" si="0"/>
        <v>3244.6913921078954</v>
      </c>
      <c r="H3" s="135">
        <f t="shared" si="0"/>
        <v>3279.8332952209639</v>
      </c>
      <c r="I3" s="135">
        <f t="shared" si="0"/>
        <v>3320.1554533474555</v>
      </c>
      <c r="J3" s="95"/>
      <c r="K3" s="97"/>
      <c r="L3" s="97"/>
      <c r="M3" s="97"/>
    </row>
    <row r="4" spans="1:13">
      <c r="A4" s="95"/>
      <c r="B4" s="136">
        <f>'NAV Trend'!C10/1000000000</f>
        <v>3047.0187418823903</v>
      </c>
      <c r="C4" s="136">
        <f>'NAV Trend'!D10/1000000000</f>
        <v>3097.1617711497356</v>
      </c>
      <c r="D4" s="136">
        <f>'NAV Trend'!E10/1000000000</f>
        <v>3161.8406486109188</v>
      </c>
      <c r="E4" s="136">
        <f>'NAV Trend'!F10/1000000000</f>
        <v>3212.3863205334346</v>
      </c>
      <c r="F4" s="136">
        <f>'NAV Trend'!G10/1000000000</f>
        <v>3251.4108261292827</v>
      </c>
      <c r="G4" s="136">
        <f>'NAV Trend'!H10/1000000000</f>
        <v>3244.6913921078954</v>
      </c>
      <c r="H4" s="137">
        <f>'NAV Trend'!I10/1000000000</f>
        <v>3279.8332952209639</v>
      </c>
      <c r="I4" s="137">
        <f>'NAV Trend'!J10/1000000000</f>
        <v>3320.1554533474555</v>
      </c>
      <c r="J4" s="95"/>
      <c r="K4" s="97"/>
      <c r="L4" s="97"/>
      <c r="M4" s="97"/>
    </row>
    <row r="5" spans="1:13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3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7"/>
  <sheetViews>
    <sheetView workbookViewId="0">
      <selection activeCell="H7" sqref="H7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7"/>
      <c r="K1" s="97"/>
      <c r="L1" s="97"/>
    </row>
    <row r="2" spans="1:12">
      <c r="A2" s="133" t="s">
        <v>231</v>
      </c>
      <c r="B2" s="134">
        <v>45478</v>
      </c>
      <c r="C2" s="134">
        <v>45485</v>
      </c>
      <c r="D2" s="134">
        <v>45492</v>
      </c>
      <c r="E2" s="134">
        <v>45499</v>
      </c>
      <c r="F2" s="134">
        <v>45506</v>
      </c>
      <c r="G2" s="134">
        <v>45513</v>
      </c>
      <c r="H2" s="134">
        <v>45520</v>
      </c>
      <c r="I2" s="134">
        <v>45527</v>
      </c>
      <c r="J2" s="97"/>
      <c r="K2" s="97"/>
      <c r="L2" s="97"/>
    </row>
    <row r="3" spans="1:12">
      <c r="A3" s="133" t="s">
        <v>263</v>
      </c>
      <c r="B3" s="135">
        <f t="shared" ref="B3:I3" si="0">B4</f>
        <v>12.187736015745237</v>
      </c>
      <c r="C3" s="135">
        <f t="shared" si="0"/>
        <v>12.34693280092509</v>
      </c>
      <c r="D3" s="135">
        <f t="shared" si="0"/>
        <v>12.398936333326033</v>
      </c>
      <c r="E3" s="135">
        <f t="shared" si="0"/>
        <v>12.157713481032657</v>
      </c>
      <c r="F3" s="135">
        <f t="shared" si="0"/>
        <v>12.159294190102655</v>
      </c>
      <c r="G3" s="135">
        <f t="shared" si="0"/>
        <v>12.203531382445654</v>
      </c>
      <c r="H3" s="135">
        <f t="shared" si="0"/>
        <v>12.119077784973646</v>
      </c>
      <c r="I3" s="135">
        <f t="shared" si="0"/>
        <v>12.021932386157646</v>
      </c>
      <c r="J3" s="97"/>
      <c r="K3" s="97"/>
      <c r="L3" s="97"/>
    </row>
    <row r="4" spans="1:12">
      <c r="A4" s="95"/>
      <c r="B4" s="136">
        <f>'NAV Trend'!C16/1000000000</f>
        <v>12.187736015745237</v>
      </c>
      <c r="C4" s="136">
        <f>'NAV Trend'!D16/1000000000</f>
        <v>12.34693280092509</v>
      </c>
      <c r="D4" s="136">
        <f>'NAV Trend'!E16/1000000000</f>
        <v>12.398936333326033</v>
      </c>
      <c r="E4" s="136">
        <f>'NAV Trend'!F16/1000000000</f>
        <v>12.157713481032657</v>
      </c>
      <c r="F4" s="136">
        <f>'NAV Trend'!G16/1000000000</f>
        <v>12.159294190102655</v>
      </c>
      <c r="G4" s="136">
        <f>'NAV Trend'!H16/1000000000</f>
        <v>12.203531382445654</v>
      </c>
      <c r="H4" s="136">
        <f>'NAV Trend'!I16/1000000000</f>
        <v>12.119077784973646</v>
      </c>
      <c r="I4" s="137">
        <f>'NAV Trend'!J16/1000000000</f>
        <v>12.021932386157646</v>
      </c>
      <c r="J4" s="97"/>
      <c r="K4" s="97"/>
      <c r="L4" s="97"/>
    </row>
    <row r="5" spans="1:1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220</v>
      </c>
      <c r="B1" s="44">
        <v>45471</v>
      </c>
      <c r="C1" s="44">
        <v>45478</v>
      </c>
      <c r="D1" s="44">
        <v>45485</v>
      </c>
      <c r="E1" s="44">
        <v>45492</v>
      </c>
      <c r="F1" s="44">
        <v>45499</v>
      </c>
      <c r="G1" s="44">
        <v>45506</v>
      </c>
      <c r="H1" s="44">
        <v>45513</v>
      </c>
      <c r="I1" s="44">
        <v>45520</v>
      </c>
      <c r="J1" s="44">
        <v>45527</v>
      </c>
    </row>
    <row r="2" spans="1:11" ht="16.5">
      <c r="A2" s="45" t="s">
        <v>15</v>
      </c>
      <c r="B2" s="120">
        <v>28745543118.100006</v>
      </c>
      <c r="C2" s="120">
        <v>28719008525.705399</v>
      </c>
      <c r="D2" s="120">
        <v>28668185801.740002</v>
      </c>
      <c r="E2" s="120">
        <v>27374223550.790398</v>
      </c>
      <c r="F2" s="120">
        <v>26986311220.071198</v>
      </c>
      <c r="G2" s="120">
        <v>27041982230.700104</v>
      </c>
      <c r="H2" s="120">
        <v>27433680041.348602</v>
      </c>
      <c r="I2" s="120">
        <v>27391940327.104202</v>
      </c>
      <c r="J2" s="120">
        <v>27464171302.260002</v>
      </c>
    </row>
    <row r="3" spans="1:11" ht="16.5">
      <c r="A3" s="45" t="s">
        <v>47</v>
      </c>
      <c r="B3" s="120">
        <v>1064964007608.8696</v>
      </c>
      <c r="C3" s="120">
        <v>1119081554645.3997</v>
      </c>
      <c r="D3" s="120">
        <v>1142921312773.24</v>
      </c>
      <c r="E3" s="120">
        <v>1166722877285.0798</v>
      </c>
      <c r="F3" s="120">
        <v>1182826404297.3062</v>
      </c>
      <c r="G3" s="120">
        <v>1197584357066.3213</v>
      </c>
      <c r="H3" s="120">
        <v>1218572512276.3979</v>
      </c>
      <c r="I3" s="120">
        <v>1238391247596.4695</v>
      </c>
      <c r="J3" s="120">
        <v>1261933383053.9299</v>
      </c>
    </row>
    <row r="4" spans="1:11" ht="16.5">
      <c r="A4" s="45" t="s">
        <v>221</v>
      </c>
      <c r="B4" s="119">
        <v>232706729235.12198</v>
      </c>
      <c r="C4" s="119">
        <v>231541169667.96704</v>
      </c>
      <c r="D4" s="119">
        <v>234509456399.79123</v>
      </c>
      <c r="E4" s="119">
        <v>231629021027.44598</v>
      </c>
      <c r="F4" s="119">
        <v>227274142538.3446</v>
      </c>
      <c r="G4" s="119">
        <v>222265413610.996</v>
      </c>
      <c r="H4" s="119">
        <v>220342612965.04529</v>
      </c>
      <c r="I4" s="119">
        <v>217819038959.14166</v>
      </c>
      <c r="J4" s="119">
        <v>216796049169.53281</v>
      </c>
    </row>
    <row r="5" spans="1:11" ht="16.5">
      <c r="A5" s="45" t="s">
        <v>128</v>
      </c>
      <c r="B5" s="120">
        <v>1440746247502.9666</v>
      </c>
      <c r="C5" s="120">
        <v>1462330955935.3621</v>
      </c>
      <c r="D5" s="120">
        <v>1488355338715.866</v>
      </c>
      <c r="E5" s="120">
        <v>1533129708414.949</v>
      </c>
      <c r="F5" s="120">
        <v>1572548889455.8511</v>
      </c>
      <c r="G5" s="120">
        <v>1602267920125.6169</v>
      </c>
      <c r="H5" s="120">
        <v>1574721850668.9399</v>
      </c>
      <c r="I5" s="120">
        <v>1593037556995.613</v>
      </c>
      <c r="J5" s="120">
        <v>1610214165564.0437</v>
      </c>
    </row>
    <row r="6" spans="1:11" ht="16.5">
      <c r="A6" s="45" t="s">
        <v>222</v>
      </c>
      <c r="B6" s="46">
        <v>98610688317.905182</v>
      </c>
      <c r="C6" s="46">
        <v>100344953021.42615</v>
      </c>
      <c r="D6" s="46">
        <v>98677642489.274277</v>
      </c>
      <c r="E6" s="46">
        <v>98890361757.442917</v>
      </c>
      <c r="F6" s="46">
        <v>98354700217.78096</v>
      </c>
      <c r="G6" s="46">
        <v>98122255921.538315</v>
      </c>
      <c r="H6" s="46">
        <v>98421099303.410858</v>
      </c>
      <c r="I6" s="46">
        <v>97679677536.488846</v>
      </c>
      <c r="J6" s="46">
        <v>97725390745.223068</v>
      </c>
    </row>
    <row r="7" spans="1:11" ht="16.5">
      <c r="A7" s="45" t="s">
        <v>152</v>
      </c>
      <c r="B7" s="47">
        <v>50394267994.968483</v>
      </c>
      <c r="C7" s="47">
        <v>50184242132.945633</v>
      </c>
      <c r="D7" s="47">
        <v>49261704634.470764</v>
      </c>
      <c r="E7" s="47">
        <v>49152903684.924065</v>
      </c>
      <c r="F7" s="47">
        <v>48792555116.379303</v>
      </c>
      <c r="G7" s="47">
        <v>48930496510.281784</v>
      </c>
      <c r="H7" s="47">
        <v>49553288389.12748</v>
      </c>
      <c r="I7" s="47">
        <v>49479509081.395515</v>
      </c>
      <c r="J7" s="47">
        <v>49723971071.59124</v>
      </c>
    </row>
    <row r="8" spans="1:11" ht="16.5">
      <c r="A8" s="45" t="s">
        <v>176</v>
      </c>
      <c r="B8" s="46">
        <v>5189379175.1599998</v>
      </c>
      <c r="C8" s="46">
        <v>5228361973.7299995</v>
      </c>
      <c r="D8" s="46">
        <v>5224194854.3199997</v>
      </c>
      <c r="E8" s="46">
        <v>5245977844.9799995</v>
      </c>
      <c r="F8" s="46">
        <v>5211618372.9899998</v>
      </c>
      <c r="G8" s="46">
        <v>5230729086.9300003</v>
      </c>
      <c r="H8" s="46">
        <v>5343194037.2600002</v>
      </c>
      <c r="I8" s="46">
        <v>5322624044.9300003</v>
      </c>
      <c r="J8" s="46">
        <v>5264954956.3800001</v>
      </c>
    </row>
    <row r="9" spans="1:11" ht="16.5">
      <c r="A9" s="45" t="s">
        <v>223</v>
      </c>
      <c r="B9" s="46">
        <v>49625885988.275536</v>
      </c>
      <c r="C9" s="46">
        <v>49588495979.853813</v>
      </c>
      <c r="D9" s="46">
        <v>49543935481.033516</v>
      </c>
      <c r="E9" s="46">
        <v>49695575045.307137</v>
      </c>
      <c r="F9" s="46">
        <v>50391699314.71109</v>
      </c>
      <c r="G9" s="46">
        <v>49967671576.897987</v>
      </c>
      <c r="H9" s="46">
        <v>50303154426.365845</v>
      </c>
      <c r="I9" s="46">
        <v>50711700679.821404</v>
      </c>
      <c r="J9" s="46">
        <v>51033367484.494461</v>
      </c>
    </row>
    <row r="10" spans="1:11" ht="15.75">
      <c r="A10" s="48" t="s">
        <v>224</v>
      </c>
      <c r="B10" s="49">
        <f t="shared" ref="B10:I10" si="0">SUM(B2:B9)</f>
        <v>2970982748941.3672</v>
      </c>
      <c r="C10" s="49">
        <f t="shared" si="0"/>
        <v>3047018741882.3901</v>
      </c>
      <c r="D10" s="49">
        <f t="shared" si="0"/>
        <v>3097161771149.7358</v>
      </c>
      <c r="E10" s="49">
        <f t="shared" si="0"/>
        <v>3161840648610.9189</v>
      </c>
      <c r="F10" s="49">
        <f t="shared" si="0"/>
        <v>3212386320533.4346</v>
      </c>
      <c r="G10" s="49">
        <f t="shared" si="0"/>
        <v>3251410826129.2827</v>
      </c>
      <c r="H10" s="49">
        <f t="shared" si="0"/>
        <v>3244691392107.8955</v>
      </c>
      <c r="I10" s="49">
        <f t="shared" si="0"/>
        <v>3279833295220.9639</v>
      </c>
      <c r="J10" s="49">
        <f>SUM(J2:J9)</f>
        <v>3320155453347.4556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225</v>
      </c>
      <c r="B12" s="53" t="s">
        <v>226</v>
      </c>
      <c r="C12" s="54">
        <f>(B10+C10)/2</f>
        <v>3009000745411.8789</v>
      </c>
      <c r="D12" s="55">
        <f t="shared" ref="D12:J12" si="1">(C10+D10)/2</f>
        <v>3072090256516.063</v>
      </c>
      <c r="E12" s="55">
        <f t="shared" si="1"/>
        <v>3129501209880.3271</v>
      </c>
      <c r="F12" s="55">
        <f t="shared" si="1"/>
        <v>3187113484572.1768</v>
      </c>
      <c r="G12" s="55">
        <f>(F10+G10)/2</f>
        <v>3231898573331.3584</v>
      </c>
      <c r="H12" s="55">
        <f t="shared" si="1"/>
        <v>3248051109118.5889</v>
      </c>
      <c r="I12" s="55">
        <f t="shared" si="1"/>
        <v>3262262343664.4297</v>
      </c>
      <c r="J12" s="55">
        <f t="shared" si="1"/>
        <v>3299994374284.21</v>
      </c>
    </row>
    <row r="13" spans="1:11">
      <c r="C13" s="97"/>
      <c r="D13" s="97"/>
      <c r="E13" s="97"/>
      <c r="F13" s="97"/>
      <c r="G13" s="97"/>
      <c r="H13" s="97"/>
      <c r="I13" s="97"/>
      <c r="J13" s="97"/>
      <c r="K13" s="97"/>
    </row>
    <row r="14" spans="1:1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ht="16.5">
      <c r="A15" s="97"/>
      <c r="B15" s="44">
        <v>45471</v>
      </c>
      <c r="C15" s="44">
        <v>45478</v>
      </c>
      <c r="D15" s="44">
        <v>45485</v>
      </c>
      <c r="E15" s="44">
        <v>45492</v>
      </c>
      <c r="F15" s="44">
        <v>45499</v>
      </c>
      <c r="G15" s="44">
        <v>45506</v>
      </c>
      <c r="H15" s="44">
        <v>45513</v>
      </c>
      <c r="I15" s="44">
        <v>45520</v>
      </c>
      <c r="J15" s="44">
        <v>45527</v>
      </c>
      <c r="K15" s="97"/>
    </row>
    <row r="16" spans="1:11" ht="16.5">
      <c r="A16" s="116" t="s">
        <v>262</v>
      </c>
      <c r="B16" s="118">
        <v>12263967010.065977</v>
      </c>
      <c r="C16" s="118">
        <v>12187736015.745237</v>
      </c>
      <c r="D16" s="118">
        <v>12346932800.925091</v>
      </c>
      <c r="E16" s="118">
        <v>12398936333.326033</v>
      </c>
      <c r="F16" s="118">
        <v>12157713481.032656</v>
      </c>
      <c r="G16" s="118">
        <v>12159294190.102655</v>
      </c>
      <c r="H16" s="118">
        <v>12203531382.445654</v>
      </c>
      <c r="I16" s="118">
        <v>12119077784.973646</v>
      </c>
      <c r="J16" s="118">
        <v>12021932386.157646</v>
      </c>
      <c r="K16" s="97"/>
    </row>
    <row r="17" spans="1:1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>
      <c r="A18" s="97"/>
      <c r="B18" s="97"/>
      <c r="C18" s="117"/>
      <c r="D18" s="117"/>
      <c r="E18" s="117"/>
      <c r="F18" s="117"/>
      <c r="G18" s="117"/>
      <c r="H18" s="117"/>
      <c r="I18" s="117"/>
      <c r="J18" s="117"/>
      <c r="K18" s="97"/>
    </row>
    <row r="19" spans="1:1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</row>
    <row r="21" spans="1:11"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2" spans="1:11">
      <c r="B22" s="97"/>
      <c r="C22" s="97"/>
      <c r="D22" s="97"/>
      <c r="E22" s="97"/>
      <c r="F22" s="97"/>
      <c r="G22" s="97"/>
      <c r="H22" s="97"/>
      <c r="I22" s="97"/>
      <c r="J22" s="97"/>
      <c r="K22" s="9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2024-08-29T12:16:54Z</dcterms:modified>
</cp:coreProperties>
</file>