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FE3A1641-1366-491C-9A38-6532FBA40A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0" i="1" l="1"/>
  <c r="M130" i="1"/>
  <c r="K130" i="1"/>
  <c r="R210" i="1"/>
  <c r="N120" i="1"/>
  <c r="M120" i="1"/>
  <c r="K120" i="1"/>
  <c r="N124" i="1"/>
  <c r="M124" i="1"/>
  <c r="K124" i="1"/>
  <c r="R161" i="1"/>
  <c r="N126" i="1"/>
  <c r="M126" i="1"/>
  <c r="N107" i="1" l="1"/>
  <c r="M107" i="1"/>
  <c r="K107" i="1"/>
  <c r="K105" i="1" l="1"/>
  <c r="N105" i="1"/>
  <c r="M105" i="1"/>
  <c r="G105" i="1"/>
  <c r="F105" i="1"/>
  <c r="N129" i="1"/>
  <c r="M129" i="1"/>
  <c r="N128" i="1"/>
  <c r="M128" i="1"/>
  <c r="N113" i="1"/>
  <c r="M113" i="1"/>
  <c r="K113" i="1"/>
  <c r="N104" i="1"/>
  <c r="M104" i="1"/>
  <c r="K104" i="1"/>
  <c r="N103" i="1"/>
  <c r="M103" i="1"/>
  <c r="K103" i="1"/>
  <c r="N125" i="1"/>
  <c r="M125" i="1"/>
  <c r="N112" i="1"/>
  <c r="M112" i="1"/>
  <c r="K112" i="1"/>
  <c r="K106" i="1"/>
  <c r="N106" i="1"/>
  <c r="M106" i="1"/>
  <c r="N114" i="1"/>
  <c r="M114" i="1"/>
  <c r="K114" i="1"/>
  <c r="N102" i="1" l="1"/>
  <c r="M102" i="1"/>
  <c r="N123" i="1"/>
  <c r="M123" i="1"/>
  <c r="N108" i="1"/>
  <c r="M108" i="1"/>
  <c r="K108" i="1"/>
  <c r="D120" i="1"/>
  <c r="G130" i="1"/>
  <c r="F130" i="1"/>
  <c r="G129" i="1"/>
  <c r="F129" i="1"/>
  <c r="G128" i="1"/>
  <c r="F128" i="1"/>
  <c r="G126" i="1"/>
  <c r="F126" i="1"/>
  <c r="G125" i="1"/>
  <c r="F125" i="1"/>
  <c r="G124" i="1"/>
  <c r="F124" i="1"/>
  <c r="G123" i="1"/>
  <c r="F123" i="1"/>
  <c r="G120" i="1"/>
  <c r="F120" i="1"/>
  <c r="D130" i="1"/>
  <c r="D124" i="1"/>
  <c r="G115" i="1"/>
  <c r="F115" i="1"/>
  <c r="G114" i="1"/>
  <c r="F114" i="1"/>
  <c r="G113" i="1"/>
  <c r="F113" i="1"/>
  <c r="G112" i="1"/>
  <c r="F112" i="1"/>
  <c r="G108" i="1"/>
  <c r="F108" i="1"/>
  <c r="G107" i="1"/>
  <c r="F107" i="1"/>
  <c r="G106" i="1"/>
  <c r="F106" i="1"/>
  <c r="G104" i="1"/>
  <c r="F104" i="1"/>
  <c r="G103" i="1"/>
  <c r="F103" i="1"/>
  <c r="G102" i="1"/>
  <c r="F102" i="1"/>
  <c r="D115" i="1"/>
  <c r="D114" i="1"/>
  <c r="D113" i="1"/>
  <c r="D112" i="1"/>
  <c r="D108" i="1"/>
  <c r="D107" i="1"/>
  <c r="D106" i="1"/>
  <c r="D105" i="1"/>
  <c r="D104" i="1"/>
  <c r="D103" i="1"/>
  <c r="R102" i="1" l="1"/>
  <c r="R157" i="1"/>
  <c r="S157" i="1"/>
  <c r="T157" i="1"/>
  <c r="U157" i="1"/>
  <c r="V157" i="1"/>
  <c r="N115" i="1" l="1"/>
  <c r="M115" i="1"/>
  <c r="K115" i="1"/>
  <c r="R81" i="1" l="1"/>
  <c r="V191" i="1"/>
  <c r="U191" i="1"/>
  <c r="T191" i="1"/>
  <c r="S191" i="1"/>
  <c r="R191" i="1"/>
  <c r="V190" i="1"/>
  <c r="U190" i="1"/>
  <c r="T190" i="1"/>
  <c r="S190" i="1"/>
  <c r="R190" i="1"/>
  <c r="R51" i="1" l="1"/>
  <c r="V51" i="1"/>
  <c r="U51" i="1"/>
  <c r="T51" i="1"/>
  <c r="S51" i="1"/>
  <c r="K60" i="1"/>
  <c r="L40" i="1" s="1"/>
  <c r="C14" i="2"/>
  <c r="L38" i="1" l="1"/>
  <c r="L57" i="1"/>
  <c r="E51" i="1"/>
  <c r="L51" i="1"/>
  <c r="U164" i="1" l="1"/>
  <c r="V164" i="1"/>
  <c r="R164" i="1"/>
  <c r="S164" i="1"/>
  <c r="T164" i="1"/>
  <c r="R53" i="1"/>
  <c r="V53" i="1"/>
  <c r="U53" i="1"/>
  <c r="T53" i="1"/>
  <c r="S53" i="1"/>
  <c r="V175" i="1" l="1"/>
  <c r="R106" i="1" l="1"/>
  <c r="S106" i="1"/>
  <c r="T106" i="1"/>
  <c r="U106" i="1"/>
  <c r="V106" i="1"/>
  <c r="R32" i="1"/>
  <c r="R69" i="1"/>
  <c r="S69" i="1"/>
  <c r="T69" i="1"/>
  <c r="U69" i="1"/>
  <c r="V69" i="1"/>
  <c r="V32" i="1"/>
  <c r="U32" i="1"/>
  <c r="T32" i="1"/>
  <c r="S32" i="1"/>
  <c r="T103" i="1" l="1"/>
  <c r="U103" i="1"/>
  <c r="V103" i="1"/>
  <c r="S103" i="1"/>
  <c r="R103" i="1"/>
  <c r="R88" i="1" l="1"/>
  <c r="O131" i="1" l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5" i="1"/>
  <c r="S105" i="1"/>
  <c r="T105" i="1"/>
  <c r="U105" i="1"/>
  <c r="V105" i="1"/>
  <c r="R156" i="1" l="1"/>
  <c r="S58" i="1" l="1"/>
  <c r="D139" i="1" l="1"/>
  <c r="I4" i="6"/>
  <c r="H4" i="6"/>
  <c r="G4" i="6"/>
  <c r="F4" i="6"/>
  <c r="E4" i="6"/>
  <c r="D4" i="6"/>
  <c r="C4" i="6"/>
  <c r="B4" i="6"/>
  <c r="I3" i="6"/>
  <c r="H3" i="6"/>
  <c r="G3" i="6"/>
  <c r="F3" i="6"/>
  <c r="E3" i="6"/>
  <c r="D3" i="6"/>
  <c r="C3" i="6"/>
  <c r="B3" i="6"/>
  <c r="R108" i="1" l="1"/>
  <c r="S108" i="1"/>
  <c r="T108" i="1"/>
  <c r="U108" i="1"/>
  <c r="V108" i="1"/>
  <c r="R109" i="1"/>
  <c r="S109" i="1"/>
  <c r="T109" i="1"/>
  <c r="U109" i="1"/>
  <c r="V109" i="1"/>
  <c r="V129" i="1" l="1"/>
  <c r="U129" i="1"/>
  <c r="T129" i="1"/>
  <c r="R129" i="1"/>
  <c r="R96" i="1"/>
  <c r="S96" i="1"/>
  <c r="T96" i="1"/>
  <c r="U96" i="1"/>
  <c r="V96" i="1"/>
  <c r="R58" i="1"/>
  <c r="V58" i="1"/>
  <c r="U58" i="1"/>
  <c r="T58" i="1"/>
  <c r="R186" i="1"/>
  <c r="S129" i="1" l="1"/>
  <c r="R145" i="1" l="1"/>
  <c r="R124" i="1" l="1"/>
  <c r="S124" i="1"/>
  <c r="T124" i="1"/>
  <c r="U124" i="1"/>
  <c r="V124" i="1"/>
  <c r="R82" i="1"/>
  <c r="S82" i="1"/>
  <c r="T82" i="1"/>
  <c r="U82" i="1"/>
  <c r="V82" i="1"/>
  <c r="V200" i="1" l="1"/>
  <c r="T162" i="1"/>
  <c r="S162" i="1"/>
  <c r="R127" i="1" l="1"/>
  <c r="V158" i="1" l="1"/>
  <c r="T149" i="1" l="1"/>
  <c r="R143" i="1"/>
  <c r="S143" i="1"/>
  <c r="T143" i="1"/>
  <c r="U143" i="1"/>
  <c r="V143" i="1"/>
  <c r="R165" i="1"/>
  <c r="S165" i="1"/>
  <c r="T165" i="1"/>
  <c r="U165" i="1"/>
  <c r="V165" i="1"/>
  <c r="R123" i="1" l="1"/>
  <c r="S123" i="1"/>
  <c r="S187" i="1" l="1"/>
  <c r="V123" i="1"/>
  <c r="U123" i="1"/>
  <c r="T123" i="1"/>
  <c r="R71" i="1" l="1"/>
  <c r="V79" i="1" l="1"/>
  <c r="U79" i="1"/>
  <c r="T79" i="1"/>
  <c r="S79" i="1"/>
  <c r="R79" i="1"/>
  <c r="V85" i="1" l="1"/>
  <c r="U85" i="1"/>
  <c r="T85" i="1"/>
  <c r="S85" i="1"/>
  <c r="R85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88" i="1"/>
  <c r="U188" i="1"/>
  <c r="T188" i="1"/>
  <c r="S188" i="1"/>
  <c r="R188" i="1"/>
  <c r="T34" i="1" l="1"/>
  <c r="S22" i="1" l="1"/>
  <c r="T22" i="1"/>
  <c r="V107" i="1" l="1"/>
  <c r="R107" i="1"/>
  <c r="S107" i="1"/>
  <c r="T107" i="1"/>
  <c r="U107" i="1"/>
  <c r="R13" i="1" l="1"/>
  <c r="R50" i="1" l="1"/>
  <c r="V50" i="1"/>
  <c r="U50" i="1"/>
  <c r="T50" i="1"/>
  <c r="S50" i="1"/>
  <c r="V135" i="1" l="1"/>
  <c r="U135" i="1"/>
  <c r="T135" i="1"/>
  <c r="S135" i="1"/>
  <c r="R135" i="1"/>
  <c r="R76" i="1" l="1"/>
  <c r="S181" i="1" l="1"/>
  <c r="D176" i="1" l="1"/>
  <c r="B19" i="2" s="1"/>
  <c r="B9" i="2" s="1"/>
  <c r="D131" i="1"/>
  <c r="E106" i="1" s="1"/>
  <c r="E105" i="1" l="1"/>
  <c r="E103" i="1"/>
  <c r="E129" i="1"/>
  <c r="B16" i="2"/>
  <c r="B6" i="2" s="1"/>
  <c r="E120" i="1"/>
  <c r="E124" i="1"/>
  <c r="E108" i="1"/>
  <c r="E123" i="1"/>
  <c r="R95" i="1"/>
  <c r="S95" i="1"/>
  <c r="T95" i="1"/>
  <c r="U95" i="1"/>
  <c r="V95" i="1"/>
  <c r="D216" i="1"/>
  <c r="D195" i="1"/>
  <c r="D60" i="1"/>
  <c r="B20" i="2" l="1"/>
  <c r="B10" i="2" s="1"/>
  <c r="E191" i="1"/>
  <c r="E190" i="1"/>
  <c r="B14" i="2"/>
  <c r="B4" i="2" s="1"/>
  <c r="E135" i="1"/>
  <c r="B17" i="2"/>
  <c r="B7" i="2" s="1"/>
  <c r="E185" i="1"/>
  <c r="E186" i="1"/>
  <c r="E187" i="1"/>
  <c r="E188" i="1"/>
  <c r="E189" i="1"/>
  <c r="E192" i="1"/>
  <c r="E193" i="1"/>
  <c r="E194" i="1"/>
  <c r="R174" i="1"/>
  <c r="R87" i="1" l="1"/>
  <c r="S87" i="1"/>
  <c r="T87" i="1"/>
  <c r="V87" i="1"/>
  <c r="U87" i="1"/>
  <c r="D23" i="1" l="1"/>
  <c r="B13" i="2" s="1"/>
  <c r="B3" i="2" l="1"/>
  <c r="E10" i="1"/>
  <c r="R121" i="1"/>
  <c r="R20" i="1" l="1"/>
  <c r="R205" i="1" l="1"/>
  <c r="S205" i="1"/>
  <c r="T205" i="1"/>
  <c r="U205" i="1"/>
  <c r="V205" i="1"/>
  <c r="S206" i="1"/>
  <c r="T206" i="1"/>
  <c r="U206" i="1"/>
  <c r="V206" i="1"/>
  <c r="S207" i="1"/>
  <c r="T207" i="1"/>
  <c r="U207" i="1"/>
  <c r="V207" i="1"/>
  <c r="R208" i="1"/>
  <c r="S208" i="1"/>
  <c r="T208" i="1"/>
  <c r="U208" i="1"/>
  <c r="V208" i="1"/>
  <c r="R209" i="1"/>
  <c r="S209" i="1"/>
  <c r="T209" i="1"/>
  <c r="U209" i="1"/>
  <c r="V209" i="1"/>
  <c r="S210" i="1"/>
  <c r="T210" i="1"/>
  <c r="U210" i="1"/>
  <c r="V210" i="1"/>
  <c r="R211" i="1"/>
  <c r="S211" i="1"/>
  <c r="T211" i="1"/>
  <c r="U211" i="1"/>
  <c r="V211" i="1"/>
  <c r="R212" i="1"/>
  <c r="S212" i="1"/>
  <c r="T212" i="1"/>
  <c r="U212" i="1"/>
  <c r="V212" i="1"/>
  <c r="R213" i="1"/>
  <c r="S213" i="1"/>
  <c r="T213" i="1"/>
  <c r="U213" i="1"/>
  <c r="V213" i="1"/>
  <c r="R214" i="1"/>
  <c r="S214" i="1"/>
  <c r="T214" i="1"/>
  <c r="U214" i="1"/>
  <c r="V214" i="1"/>
  <c r="R215" i="1"/>
  <c r="S215" i="1"/>
  <c r="T215" i="1"/>
  <c r="U215" i="1"/>
  <c r="V215" i="1"/>
  <c r="S216" i="1"/>
  <c r="U216" i="1"/>
  <c r="V216" i="1"/>
  <c r="V204" i="1"/>
  <c r="U204" i="1"/>
  <c r="T204" i="1"/>
  <c r="S204" i="1"/>
  <c r="R204" i="1"/>
  <c r="U200" i="1"/>
  <c r="T200" i="1"/>
  <c r="S200" i="1"/>
  <c r="R200" i="1"/>
  <c r="V199" i="1"/>
  <c r="U199" i="1"/>
  <c r="T199" i="1"/>
  <c r="S199" i="1"/>
  <c r="R199" i="1"/>
  <c r="R185" i="1"/>
  <c r="S185" i="1"/>
  <c r="T185" i="1"/>
  <c r="U185" i="1"/>
  <c r="V185" i="1"/>
  <c r="S186" i="1"/>
  <c r="T186" i="1"/>
  <c r="U186" i="1"/>
  <c r="V186" i="1"/>
  <c r="R187" i="1"/>
  <c r="T187" i="1"/>
  <c r="U187" i="1"/>
  <c r="V187" i="1"/>
  <c r="R189" i="1"/>
  <c r="S189" i="1"/>
  <c r="T189" i="1"/>
  <c r="U189" i="1"/>
  <c r="V189" i="1"/>
  <c r="R192" i="1"/>
  <c r="S192" i="1"/>
  <c r="T192" i="1"/>
  <c r="U192" i="1"/>
  <c r="V192" i="1"/>
  <c r="R193" i="1"/>
  <c r="S193" i="1"/>
  <c r="T193" i="1"/>
  <c r="U193" i="1"/>
  <c r="V193" i="1"/>
  <c r="R194" i="1"/>
  <c r="S194" i="1"/>
  <c r="T194" i="1"/>
  <c r="U194" i="1"/>
  <c r="V194" i="1"/>
  <c r="S195" i="1"/>
  <c r="U195" i="1"/>
  <c r="V195" i="1"/>
  <c r="V184" i="1"/>
  <c r="U184" i="1"/>
  <c r="T184" i="1"/>
  <c r="S184" i="1"/>
  <c r="R184" i="1"/>
  <c r="V181" i="1"/>
  <c r="U181" i="1"/>
  <c r="T181" i="1"/>
  <c r="R181" i="1"/>
  <c r="V180" i="1"/>
  <c r="U180" i="1"/>
  <c r="T180" i="1"/>
  <c r="S180" i="1"/>
  <c r="R180" i="1"/>
  <c r="S174" i="1"/>
  <c r="T174" i="1"/>
  <c r="U174" i="1"/>
  <c r="V174" i="1"/>
  <c r="R175" i="1"/>
  <c r="S175" i="1"/>
  <c r="T175" i="1"/>
  <c r="U175" i="1"/>
  <c r="S176" i="1"/>
  <c r="U176" i="1"/>
  <c r="V176" i="1"/>
  <c r="V173" i="1"/>
  <c r="U173" i="1"/>
  <c r="T173" i="1"/>
  <c r="S173" i="1"/>
  <c r="R173" i="1"/>
  <c r="R144" i="1"/>
  <c r="S144" i="1"/>
  <c r="T144" i="1"/>
  <c r="U144" i="1"/>
  <c r="V144" i="1"/>
  <c r="S145" i="1"/>
  <c r="T145" i="1"/>
  <c r="U145" i="1"/>
  <c r="V145" i="1"/>
  <c r="R146" i="1"/>
  <c r="S146" i="1"/>
  <c r="T146" i="1"/>
  <c r="U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U149" i="1"/>
  <c r="V149" i="1"/>
  <c r="R150" i="1"/>
  <c r="S150" i="1"/>
  <c r="T150" i="1"/>
  <c r="U150" i="1"/>
  <c r="V150" i="1"/>
  <c r="R151" i="1"/>
  <c r="S151" i="1"/>
  <c r="T151" i="1"/>
  <c r="U151" i="1"/>
  <c r="V151" i="1"/>
  <c r="R152" i="1"/>
  <c r="S152" i="1"/>
  <c r="T152" i="1"/>
  <c r="U152" i="1"/>
  <c r="V152" i="1"/>
  <c r="R153" i="1"/>
  <c r="S153" i="1"/>
  <c r="T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S156" i="1"/>
  <c r="T156" i="1"/>
  <c r="U156" i="1"/>
  <c r="V156" i="1"/>
  <c r="R158" i="1"/>
  <c r="S158" i="1"/>
  <c r="T158" i="1"/>
  <c r="U158" i="1"/>
  <c r="R159" i="1"/>
  <c r="S159" i="1"/>
  <c r="T159" i="1"/>
  <c r="U159" i="1"/>
  <c r="V159" i="1"/>
  <c r="R160" i="1"/>
  <c r="S160" i="1"/>
  <c r="T160" i="1"/>
  <c r="U160" i="1"/>
  <c r="V160" i="1"/>
  <c r="S161" i="1"/>
  <c r="T161" i="1"/>
  <c r="U161" i="1"/>
  <c r="V161" i="1"/>
  <c r="R162" i="1"/>
  <c r="U162" i="1"/>
  <c r="V162" i="1"/>
  <c r="R163" i="1"/>
  <c r="S163" i="1"/>
  <c r="T163" i="1"/>
  <c r="U163" i="1"/>
  <c r="V163" i="1"/>
  <c r="R166" i="1"/>
  <c r="S166" i="1"/>
  <c r="T166" i="1"/>
  <c r="U166" i="1"/>
  <c r="V166" i="1"/>
  <c r="R167" i="1"/>
  <c r="S167" i="1"/>
  <c r="T167" i="1"/>
  <c r="U167" i="1"/>
  <c r="V167" i="1"/>
  <c r="R168" i="1"/>
  <c r="S168" i="1"/>
  <c r="T168" i="1"/>
  <c r="U168" i="1"/>
  <c r="V168" i="1"/>
  <c r="R169" i="1"/>
  <c r="S169" i="1"/>
  <c r="T169" i="1"/>
  <c r="U169" i="1"/>
  <c r="V169" i="1"/>
  <c r="S170" i="1"/>
  <c r="U170" i="1"/>
  <c r="V170" i="1"/>
  <c r="V142" i="1"/>
  <c r="U142" i="1"/>
  <c r="T142" i="1"/>
  <c r="S142" i="1"/>
  <c r="R142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S139" i="1"/>
  <c r="U139" i="1"/>
  <c r="V139" i="1"/>
  <c r="V134" i="1"/>
  <c r="U134" i="1"/>
  <c r="T134" i="1"/>
  <c r="S134" i="1"/>
  <c r="R134" i="1"/>
  <c r="R120" i="1"/>
  <c r="S120" i="1"/>
  <c r="T120" i="1"/>
  <c r="U120" i="1"/>
  <c r="V120" i="1"/>
  <c r="S121" i="1"/>
  <c r="T121" i="1"/>
  <c r="U121" i="1"/>
  <c r="V121" i="1"/>
  <c r="R122" i="1"/>
  <c r="S122" i="1"/>
  <c r="T122" i="1"/>
  <c r="U122" i="1"/>
  <c r="V122" i="1"/>
  <c r="R125" i="1"/>
  <c r="S125" i="1"/>
  <c r="T125" i="1"/>
  <c r="U125" i="1"/>
  <c r="V125" i="1"/>
  <c r="R126" i="1"/>
  <c r="S126" i="1"/>
  <c r="T126" i="1"/>
  <c r="U126" i="1"/>
  <c r="V126" i="1"/>
  <c r="S127" i="1"/>
  <c r="T127" i="1"/>
  <c r="U127" i="1"/>
  <c r="V127" i="1"/>
  <c r="R128" i="1"/>
  <c r="S128" i="1"/>
  <c r="T128" i="1"/>
  <c r="U128" i="1"/>
  <c r="V128" i="1"/>
  <c r="R130" i="1"/>
  <c r="S130" i="1"/>
  <c r="T130" i="1"/>
  <c r="U130" i="1"/>
  <c r="V130" i="1"/>
  <c r="S131" i="1"/>
  <c r="U131" i="1"/>
  <c r="V131" i="1"/>
  <c r="V119" i="1"/>
  <c r="U119" i="1"/>
  <c r="T119" i="1"/>
  <c r="S119" i="1"/>
  <c r="R119" i="1"/>
  <c r="R104" i="1"/>
  <c r="S104" i="1"/>
  <c r="T104" i="1"/>
  <c r="U104" i="1"/>
  <c r="V104" i="1"/>
  <c r="R110" i="1"/>
  <c r="S110" i="1"/>
  <c r="T110" i="1"/>
  <c r="U110" i="1"/>
  <c r="V110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15" i="1"/>
  <c r="S115" i="1"/>
  <c r="T115" i="1"/>
  <c r="U115" i="1"/>
  <c r="V115" i="1"/>
  <c r="R116" i="1"/>
  <c r="S116" i="1"/>
  <c r="T116" i="1"/>
  <c r="U116" i="1"/>
  <c r="V116" i="1"/>
  <c r="V102" i="1"/>
  <c r="U102" i="1"/>
  <c r="T102" i="1"/>
  <c r="S102" i="1"/>
  <c r="R64" i="1"/>
  <c r="S64" i="1"/>
  <c r="T64" i="1"/>
  <c r="U64" i="1"/>
  <c r="V64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R68" i="1"/>
  <c r="S68" i="1"/>
  <c r="T68" i="1"/>
  <c r="U68" i="1"/>
  <c r="R70" i="1"/>
  <c r="S70" i="1"/>
  <c r="T70" i="1"/>
  <c r="U70" i="1"/>
  <c r="V70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S76" i="1"/>
  <c r="T76" i="1"/>
  <c r="U76" i="1"/>
  <c r="V76" i="1"/>
  <c r="R77" i="1"/>
  <c r="S77" i="1"/>
  <c r="T77" i="1"/>
  <c r="U77" i="1"/>
  <c r="V77" i="1"/>
  <c r="R78" i="1"/>
  <c r="S78" i="1"/>
  <c r="T78" i="1"/>
  <c r="U78" i="1"/>
  <c r="V78" i="1"/>
  <c r="R80" i="1"/>
  <c r="S80" i="1"/>
  <c r="T80" i="1"/>
  <c r="U80" i="1"/>
  <c r="V80" i="1"/>
  <c r="S81" i="1"/>
  <c r="T81" i="1"/>
  <c r="U81" i="1"/>
  <c r="V81" i="1"/>
  <c r="R83" i="1"/>
  <c r="S83" i="1"/>
  <c r="T83" i="1"/>
  <c r="U83" i="1"/>
  <c r="V83" i="1"/>
  <c r="R84" i="1"/>
  <c r="S84" i="1"/>
  <c r="T84" i="1"/>
  <c r="U84" i="1"/>
  <c r="V84" i="1"/>
  <c r="R86" i="1"/>
  <c r="S86" i="1"/>
  <c r="T86" i="1"/>
  <c r="U86" i="1"/>
  <c r="V86" i="1"/>
  <c r="S88" i="1"/>
  <c r="T88" i="1"/>
  <c r="U88" i="1"/>
  <c r="V88" i="1"/>
  <c r="R89" i="1"/>
  <c r="S89" i="1"/>
  <c r="T89" i="1"/>
  <c r="U89" i="1"/>
  <c r="V89" i="1"/>
  <c r="R90" i="1"/>
  <c r="S90" i="1"/>
  <c r="T90" i="1"/>
  <c r="U90" i="1"/>
  <c r="V90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R94" i="1"/>
  <c r="S94" i="1"/>
  <c r="T94" i="1"/>
  <c r="U94" i="1"/>
  <c r="V94" i="1"/>
  <c r="R97" i="1"/>
  <c r="S97" i="1"/>
  <c r="T97" i="1"/>
  <c r="U97" i="1"/>
  <c r="V97" i="1"/>
  <c r="S98" i="1"/>
  <c r="U98" i="1"/>
  <c r="V98" i="1"/>
  <c r="V63" i="1"/>
  <c r="U63" i="1"/>
  <c r="T63" i="1"/>
  <c r="S63" i="1"/>
  <c r="R63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3" i="1"/>
  <c r="S33" i="1"/>
  <c r="T33" i="1"/>
  <c r="U33" i="1"/>
  <c r="V33" i="1"/>
  <c r="R34" i="1"/>
  <c r="S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2" i="1"/>
  <c r="S52" i="1"/>
  <c r="T52" i="1"/>
  <c r="U52" i="1"/>
  <c r="V52" i="1"/>
  <c r="R54" i="1"/>
  <c r="S54" i="1"/>
  <c r="T54" i="1"/>
  <c r="U54" i="1"/>
  <c r="V54" i="1"/>
  <c r="R55" i="1"/>
  <c r="S55" i="1"/>
  <c r="T55" i="1"/>
  <c r="U55" i="1"/>
  <c r="V55" i="1"/>
  <c r="R56" i="1"/>
  <c r="S56" i="1"/>
  <c r="T56" i="1"/>
  <c r="U56" i="1"/>
  <c r="V56" i="1"/>
  <c r="R57" i="1"/>
  <c r="S57" i="1"/>
  <c r="T57" i="1"/>
  <c r="U57" i="1"/>
  <c r="V57" i="1"/>
  <c r="R59" i="1"/>
  <c r="S59" i="1"/>
  <c r="T59" i="1"/>
  <c r="U59" i="1"/>
  <c r="V59" i="1"/>
  <c r="S60" i="1"/>
  <c r="U60" i="1"/>
  <c r="V60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R12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68" i="1" l="1"/>
  <c r="V146" i="1"/>
  <c r="O195" i="1" l="1"/>
  <c r="O216" i="1"/>
  <c r="K216" i="1"/>
  <c r="H216" i="1"/>
  <c r="K201" i="1"/>
  <c r="H201" i="1"/>
  <c r="D201" i="1"/>
  <c r="H195" i="1"/>
  <c r="K195" i="1"/>
  <c r="B5" i="3" s="1"/>
  <c r="H176" i="1"/>
  <c r="O176" i="1"/>
  <c r="K176" i="1"/>
  <c r="O170" i="1"/>
  <c r="K170" i="1"/>
  <c r="H170" i="1"/>
  <c r="D170" i="1"/>
  <c r="E157" i="1" s="1"/>
  <c r="O139" i="1"/>
  <c r="K139" i="1"/>
  <c r="H139" i="1"/>
  <c r="T139" i="1" s="1"/>
  <c r="H131" i="1"/>
  <c r="K131" i="1"/>
  <c r="O98" i="1"/>
  <c r="K98" i="1"/>
  <c r="L80" i="1" s="1"/>
  <c r="H98" i="1"/>
  <c r="D98" i="1"/>
  <c r="O60" i="1"/>
  <c r="H60" i="1"/>
  <c r="O23" i="1"/>
  <c r="H23" i="1"/>
  <c r="B4" i="3" l="1"/>
  <c r="L152" i="1"/>
  <c r="L157" i="1"/>
  <c r="L158" i="1"/>
  <c r="L164" i="1"/>
  <c r="L143" i="1"/>
  <c r="L191" i="1"/>
  <c r="L190" i="1"/>
  <c r="E69" i="1"/>
  <c r="B15" i="2"/>
  <c r="L69" i="1"/>
  <c r="C15" i="2"/>
  <c r="B18" i="2"/>
  <c r="B8" i="2" s="1"/>
  <c r="E164" i="1"/>
  <c r="E53" i="1"/>
  <c r="L53" i="1"/>
  <c r="L103" i="1"/>
  <c r="L106" i="1"/>
  <c r="E32" i="1"/>
  <c r="L32" i="1"/>
  <c r="L162" i="1"/>
  <c r="L163" i="1"/>
  <c r="L165" i="1"/>
  <c r="E59" i="1"/>
  <c r="E58" i="1"/>
  <c r="C18" i="2"/>
  <c r="C8" i="2" s="1"/>
  <c r="C16" i="2"/>
  <c r="C6" i="2" s="1"/>
  <c r="L105" i="1"/>
  <c r="L135" i="1"/>
  <c r="C17" i="2"/>
  <c r="C7" i="2" s="1"/>
  <c r="B6" i="3"/>
  <c r="C19" i="2"/>
  <c r="C9" i="2" s="1"/>
  <c r="B2" i="3"/>
  <c r="C20" i="2"/>
  <c r="C10" i="2" s="1"/>
  <c r="B7" i="3"/>
  <c r="C5" i="2"/>
  <c r="B8" i="3"/>
  <c r="C4" i="2"/>
  <c r="E96" i="1"/>
  <c r="B5" i="2"/>
  <c r="L129" i="1"/>
  <c r="B9" i="3"/>
  <c r="L82" i="1"/>
  <c r="L96" i="1"/>
  <c r="L58" i="1"/>
  <c r="L185" i="1"/>
  <c r="L186" i="1"/>
  <c r="L187" i="1"/>
  <c r="L188" i="1"/>
  <c r="L189" i="1"/>
  <c r="L192" i="1"/>
  <c r="L193" i="1"/>
  <c r="L194" i="1"/>
  <c r="L123" i="1"/>
  <c r="L124" i="1"/>
  <c r="E79" i="1"/>
  <c r="E82" i="1"/>
  <c r="E163" i="1"/>
  <c r="E165" i="1"/>
  <c r="L89" i="1"/>
  <c r="L97" i="1"/>
  <c r="L79" i="1"/>
  <c r="E143" i="1"/>
  <c r="L108" i="1"/>
  <c r="L121" i="1"/>
  <c r="L184" i="1"/>
  <c r="E85" i="1"/>
  <c r="L85" i="1"/>
  <c r="L56" i="1"/>
  <c r="L37" i="1"/>
  <c r="L214" i="1"/>
  <c r="L215" i="1"/>
  <c r="E50" i="1"/>
  <c r="L49" i="1"/>
  <c r="L52" i="1"/>
  <c r="L50" i="1"/>
  <c r="L54" i="1"/>
  <c r="L102" i="1"/>
  <c r="L119" i="1"/>
  <c r="L159" i="1"/>
  <c r="L166" i="1"/>
  <c r="L90" i="1"/>
  <c r="L66" i="1"/>
  <c r="L107" i="1"/>
  <c r="L26" i="1"/>
  <c r="T195" i="1"/>
  <c r="L94" i="1"/>
  <c r="L95" i="1"/>
  <c r="E87" i="1"/>
  <c r="E95" i="1"/>
  <c r="T216" i="1"/>
  <c r="L87" i="1"/>
  <c r="T60" i="1"/>
  <c r="T176" i="1"/>
  <c r="R176" i="1"/>
  <c r="T98" i="1"/>
  <c r="T170" i="1"/>
  <c r="T23" i="1"/>
  <c r="R139" i="1"/>
  <c r="R216" i="1"/>
  <c r="T131" i="1"/>
  <c r="O196" i="1"/>
  <c r="O217" i="1" s="1"/>
  <c r="R170" i="1"/>
  <c r="R131" i="1"/>
  <c r="R98" i="1"/>
  <c r="L65" i="1"/>
  <c r="L67" i="1"/>
  <c r="L70" i="1"/>
  <c r="L72" i="1"/>
  <c r="L74" i="1"/>
  <c r="L76" i="1"/>
  <c r="L78" i="1"/>
  <c r="L81" i="1"/>
  <c r="L84" i="1"/>
  <c r="L88" i="1"/>
  <c r="L92" i="1"/>
  <c r="L64" i="1"/>
  <c r="L68" i="1"/>
  <c r="L71" i="1"/>
  <c r="L73" i="1"/>
  <c r="L75" i="1"/>
  <c r="L77" i="1"/>
  <c r="L83" i="1"/>
  <c r="L86" i="1"/>
  <c r="L91" i="1"/>
  <c r="L93" i="1"/>
  <c r="E28" i="1"/>
  <c r="E30" i="1"/>
  <c r="E33" i="1"/>
  <c r="E35" i="1"/>
  <c r="E37" i="1"/>
  <c r="E39" i="1"/>
  <c r="E41" i="1"/>
  <c r="E43" i="1"/>
  <c r="E45" i="1"/>
  <c r="E47" i="1"/>
  <c r="E49" i="1"/>
  <c r="E54" i="1"/>
  <c r="E56" i="1"/>
  <c r="E27" i="1"/>
  <c r="E29" i="1"/>
  <c r="E31" i="1"/>
  <c r="E34" i="1"/>
  <c r="E36" i="1"/>
  <c r="E38" i="1"/>
  <c r="E40" i="1"/>
  <c r="E42" i="1"/>
  <c r="E44" i="1"/>
  <c r="E46" i="1"/>
  <c r="E48" i="1"/>
  <c r="E52" i="1"/>
  <c r="E55" i="1"/>
  <c r="E57" i="1"/>
  <c r="E26" i="1"/>
  <c r="R195" i="1"/>
  <c r="H196" i="1"/>
  <c r="H217" i="1" s="1"/>
  <c r="J10" i="4"/>
  <c r="I12" i="4"/>
  <c r="H12" i="4"/>
  <c r="G12" i="4"/>
  <c r="F12" i="4"/>
  <c r="E12" i="4"/>
  <c r="C12" i="4"/>
  <c r="E212" i="1"/>
  <c r="L213" i="1"/>
  <c r="L212" i="1"/>
  <c r="L210" i="1"/>
  <c r="L209" i="1"/>
  <c r="L208" i="1"/>
  <c r="L206" i="1"/>
  <c r="L205" i="1"/>
  <c r="L204" i="1"/>
  <c r="L199" i="1"/>
  <c r="E199" i="1"/>
  <c r="L181" i="1"/>
  <c r="L173" i="1"/>
  <c r="E175" i="1"/>
  <c r="E169" i="1"/>
  <c r="E166" i="1"/>
  <c r="L156" i="1"/>
  <c r="L154" i="1"/>
  <c r="L151" i="1"/>
  <c r="L148" i="1"/>
  <c r="L146" i="1"/>
  <c r="L142" i="1"/>
  <c r="L137" i="1"/>
  <c r="E138" i="1"/>
  <c r="L138" i="1"/>
  <c r="E94" i="1"/>
  <c r="E93" i="1"/>
  <c r="E91" i="1"/>
  <c r="E89" i="1"/>
  <c r="E86" i="1"/>
  <c r="E83" i="1"/>
  <c r="E80" i="1"/>
  <c r="E77" i="1"/>
  <c r="E75" i="1"/>
  <c r="E73" i="1"/>
  <c r="E71" i="1"/>
  <c r="E68" i="1"/>
  <c r="E66" i="1"/>
  <c r="E64" i="1"/>
  <c r="L55" i="1"/>
  <c r="R60" i="1"/>
  <c r="L34" i="1"/>
  <c r="K23" i="1"/>
  <c r="E15" i="1"/>
  <c r="S6" i="1"/>
  <c r="R6" i="1"/>
  <c r="L10" i="1" l="1"/>
  <c r="C13" i="2"/>
  <c r="C3" i="2"/>
  <c r="B3" i="3"/>
  <c r="J12" i="4"/>
  <c r="I4" i="5"/>
  <c r="I3" i="5" s="1"/>
  <c r="L7" i="1"/>
  <c r="L8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2" i="1"/>
  <c r="L134" i="1"/>
  <c r="L144" i="1"/>
  <c r="L147" i="1"/>
  <c r="L150" i="1"/>
  <c r="L155" i="1"/>
  <c r="L160" i="1"/>
  <c r="E19" i="1"/>
  <c r="L63" i="1"/>
  <c r="E67" i="1"/>
  <c r="E134" i="1"/>
  <c r="E142" i="1"/>
  <c r="E144" i="1"/>
  <c r="E145" i="1"/>
  <c r="E150" i="1"/>
  <c r="E151" i="1"/>
  <c r="E152" i="1"/>
  <c r="E153" i="1"/>
  <c r="E159" i="1"/>
  <c r="E162" i="1"/>
  <c r="E168" i="1"/>
  <c r="E12" i="1"/>
  <c r="E14" i="1"/>
  <c r="E17" i="1"/>
  <c r="E21" i="1"/>
  <c r="L30" i="1"/>
  <c r="L39" i="1"/>
  <c r="L45" i="1"/>
  <c r="K196" i="1"/>
  <c r="L136" i="1"/>
  <c r="E146" i="1"/>
  <c r="E147" i="1"/>
  <c r="E148" i="1"/>
  <c r="E149" i="1"/>
  <c r="E154" i="1"/>
  <c r="E155" i="1"/>
  <c r="E156" i="1"/>
  <c r="E158" i="1"/>
  <c r="E160" i="1"/>
  <c r="E161" i="1"/>
  <c r="E167" i="1"/>
  <c r="L180" i="1"/>
  <c r="L112" i="1"/>
  <c r="L111" i="1"/>
  <c r="L35" i="1"/>
  <c r="L46" i="1"/>
  <c r="E137" i="1"/>
  <c r="L168" i="1"/>
  <c r="L175" i="1"/>
  <c r="E207" i="1"/>
  <c r="E211" i="1"/>
  <c r="E215" i="1"/>
  <c r="D12" i="4"/>
  <c r="E104" i="1"/>
  <c r="L41" i="1"/>
  <c r="L31" i="1"/>
  <c r="L43" i="1"/>
  <c r="L145" i="1"/>
  <c r="L149" i="1"/>
  <c r="L153" i="1"/>
  <c r="E174" i="1"/>
  <c r="E184" i="1"/>
  <c r="E200" i="1"/>
  <c r="L207" i="1"/>
  <c r="L211" i="1"/>
  <c r="L29" i="1"/>
  <c r="E7" i="1"/>
  <c r="E18" i="1"/>
  <c r="E22" i="1"/>
  <c r="L28" i="1"/>
  <c r="L48" i="1"/>
  <c r="E63" i="1"/>
  <c r="E72" i="1"/>
  <c r="E76" i="1"/>
  <c r="E81" i="1"/>
  <c r="E88" i="1"/>
  <c r="E92" i="1"/>
  <c r="E97" i="1"/>
  <c r="E136" i="1"/>
  <c r="L161" i="1"/>
  <c r="L167" i="1"/>
  <c r="L174" i="1"/>
  <c r="L200" i="1"/>
  <c r="R201" i="1"/>
  <c r="E206" i="1"/>
  <c r="E210" i="1"/>
  <c r="E214" i="1"/>
  <c r="E173" i="1"/>
  <c r="E181" i="1"/>
  <c r="E205" i="1"/>
  <c r="E209" i="1"/>
  <c r="E213" i="1"/>
  <c r="L47" i="1"/>
  <c r="L59" i="1"/>
  <c r="L27" i="1"/>
  <c r="L36" i="1"/>
  <c r="E180" i="1"/>
  <c r="E13" i="1"/>
  <c r="E16" i="1"/>
  <c r="L33" i="1"/>
  <c r="L44" i="1"/>
  <c r="E65" i="1"/>
  <c r="E70" i="1"/>
  <c r="E74" i="1"/>
  <c r="E78" i="1"/>
  <c r="E84" i="1"/>
  <c r="E90" i="1"/>
  <c r="L169" i="1"/>
  <c r="E204" i="1"/>
  <c r="E208" i="1"/>
  <c r="L122" i="1" l="1"/>
  <c r="L104" i="1"/>
  <c r="L109" i="1"/>
  <c r="L115" i="1"/>
  <c r="L126" i="1"/>
  <c r="L110" i="1"/>
  <c r="K217" i="1"/>
  <c r="L23" i="1"/>
  <c r="L170" i="1"/>
  <c r="L60" i="1"/>
  <c r="L139" i="1"/>
  <c r="L98" i="1"/>
  <c r="L131" i="1"/>
  <c r="L195" i="1"/>
  <c r="L176" i="1"/>
  <c r="L114" i="1"/>
  <c r="L113" i="1"/>
  <c r="L130" i="1"/>
  <c r="L125" i="1"/>
  <c r="L127" i="1"/>
  <c r="L116" i="1"/>
  <c r="L128" i="1"/>
  <c r="L120" i="1"/>
  <c r="E128" i="1"/>
  <c r="E125" i="1"/>
  <c r="E116" i="1"/>
  <c r="E113" i="1"/>
  <c r="E110" i="1"/>
  <c r="E115" i="1"/>
  <c r="E111" i="1"/>
  <c r="E121" i="1"/>
  <c r="E112" i="1"/>
  <c r="D196" i="1"/>
  <c r="E130" i="1"/>
  <c r="E102" i="1"/>
  <c r="E114" i="1"/>
  <c r="E109" i="1"/>
  <c r="E127" i="1"/>
  <c r="E126" i="1"/>
  <c r="E122" i="1"/>
  <c r="E119" i="1"/>
  <c r="E131" i="1" l="1"/>
  <c r="R196" i="1"/>
  <c r="E60" i="1"/>
  <c r="E170" i="1"/>
  <c r="D217" i="1"/>
  <c r="E98" i="1"/>
  <c r="E23" i="1"/>
  <c r="E195" i="1"/>
  <c r="E139" i="1"/>
  <c r="E176" i="1"/>
</calcChain>
</file>

<file path=xl/sharedStrings.xml><?xml version="1.0" encoding="utf-8"?>
<sst xmlns="http://schemas.openxmlformats.org/spreadsheetml/2006/main" count="453" uniqueCount="285">
  <si>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</si>
  <si>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</si>
  <si>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</si>
  <si>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</si>
  <si>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</si>
  <si>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</si>
  <si>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</si>
  <si>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</si>
  <si>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</si>
  <si>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</si>
  <si>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</si>
  <si>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</si>
  <si>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</si>
  <si>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</si>
  <si>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</si>
  <si>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</si>
  <si>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</si>
  <si>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</si>
  <si>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</si>
  <si>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</si>
  <si>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</si>
  <si>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</si>
  <si>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</si>
  <si>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</si>
  <si>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</si>
  <si>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</si>
  <si>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</si>
  <si>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</si>
  <si>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</si>
  <si>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</si>
  <si>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</si>
  <si>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</si>
  <si>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</si>
  <si>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</si>
  <si>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</si>
  <si>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</si>
  <si>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</si>
  <si>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</si>
  <si>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</si>
  <si>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</si>
  <si>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</si>
  <si>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</si>
  <si>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</si>
  <si>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</si>
  <si>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</si>
  <si>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</si>
  <si>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</si>
  <si>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</si>
  <si>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</si>
  <si>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</si>
  <si>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</si>
  <si>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</si>
  <si>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</si>
  <si>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</si>
  <si>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</si>
  <si>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</si>
  <si>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</si>
  <si>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</si>
  <si>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</si>
  <si>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</si>
  <si>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</si>
  <si>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</si>
  <si>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</si>
  <si>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</si>
  <si>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</si>
  <si>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</si>
  <si>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</si>
  <si>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</si>
  <si>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</si>
  <si>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</si>
  <si>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</si>
  <si>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</si>
  <si>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</si>
  <si>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</si>
  <si>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</si>
  <si>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</si>
  <si>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</si>
  <si>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</si>
  <si>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</si>
  <si>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</si>
  <si>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</si>
  <si>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</si>
  <si>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</si>
  <si>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</si>
  <si>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</si>
  <si>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</si>
  <si>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</si>
  <si>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</si>
  <si>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</si>
  <si>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</si>
  <si>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</si>
  <si>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</si>
  <si>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</si>
  <si>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</si>
  <si>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</si>
  <si>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</si>
  <si>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</si>
  <si>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</si>
  <si>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</si>
  <si>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</si>
  <si>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</si>
  <si>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</si>
  <si>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</si>
  <si>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</si>
  <si>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</si>
  <si>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</si>
  <si>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</si>
  <si>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</si>
  <si>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</si>
  <si>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</si>
  <si>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</si>
  <si>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</si>
  <si>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</si>
  <si>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</si>
  <si>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</si>
  <si>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</si>
  <si>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</si>
  <si>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</si>
  <si>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</si>
  <si>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</si>
  <si>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</si>
  <si>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</si>
  <si>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</si>
  <si>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</si>
  <si>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</si>
  <si>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</si>
  <si>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</si>
  <si>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</si>
  <si>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</si>
  <si>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</si>
  <si>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</si>
  <si>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</si>
  <si>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</si>
  <si>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</si>
  <si>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</si>
  <si>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</si>
  <si>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</si>
  <si>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</si>
  <si>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</si>
  <si>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</si>
  <si>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</si>
  <si>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</si>
  <si>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</si>
  <si>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</si>
  <si>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</si>
  <si>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</si>
  <si>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</si>
  <si>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</si>
  <si>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</si>
  <si>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</si>
  <si>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</si>
  <si>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</si>
  <si>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</si>
  <si>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</si>
  <si>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</si>
  <si>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</si>
  <si>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</si>
  <si>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</si>
  <si>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</si>
  <si>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</si>
  <si>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</si>
  <si>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</si>
  <si>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</si>
  <si>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</si>
  <si>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</si>
  <si>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</si>
  <si>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</si>
  <si>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</si>
  <si>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</si>
  <si>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</si>
  <si>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</si>
  <si>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</si>
  <si>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</si>
  <si>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</si>
  <si>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</si>
  <si>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</si>
  <si>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</si>
  <si>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</si>
  <si>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</si>
  <si>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</si>
  <si>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</si>
  <si>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</si>
  <si>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</si>
  <si>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</si>
  <si>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</si>
  <si>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</si>
  <si>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</si>
  <si>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</si>
  <si>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</si>
  <si>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</si>
  <si>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</si>
  <si>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</si>
  <si>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</si>
  <si>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</si>
  <si>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</si>
  <si>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</si>
  <si>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</si>
  <si>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</si>
  <si>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</si>
  <si>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</si>
  <si>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</si>
  <si>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</si>
  <si>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</si>
  <si>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</si>
  <si>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</si>
  <si>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</si>
  <si>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</si>
  <si>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</si>
  <si>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</si>
  <si>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</si>
  <si>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</si>
  <si>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</si>
  <si>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</si>
  <si>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</si>
  <si>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</si>
  <si>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</si>
  <si>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</si>
  <si>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</si>
  <si>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</si>
  <si>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</si>
  <si>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</si>
  <si>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</si>
  <si>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</si>
  <si>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</si>
  <si>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</si>
  <si>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</si>
  <si>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</si>
  <si>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</si>
  <si>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</si>
  <si>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</si>
  <si>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</si>
  <si>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</si>
  <si>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</si>
  <si>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</si>
  <si>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</si>
  <si>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</si>
  <si>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</si>
  <si>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</si>
  <si>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</si>
  <si>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</si>
  <si>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</si>
  <si>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</si>
  <si>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</si>
  <si>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</si>
  <si>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</si>
  <si>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</si>
  <si>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</si>
  <si>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</si>
  <si>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</si>
  <si>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</si>
  <si>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</si>
  <si>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</si>
  <si>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</si>
  <si>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</si>
  <si>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</si>
  <si>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</si>
  <si>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</si>
  <si>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</si>
  <si>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</si>
  <si>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</si>
  <si>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</si>
  <si>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</si>
  <si>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</si>
  <si>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</si>
  <si>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</si>
  <si>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</si>
  <si>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</si>
  <si>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AIICO Eurobond Fund</t>
  </si>
  <si>
    <t>Comercio Partners Asset Management Limited</t>
  </si>
  <si>
    <t>Comercio Partners Money Market Fund</t>
  </si>
  <si>
    <t>Comercio Partners Fixed Income Fund</t>
  </si>
  <si>
    <t>Comercio Partners Dollar Fund</t>
  </si>
  <si>
    <t>STL Asset Management Limited</t>
  </si>
  <si>
    <t>STL Money Market Fund</t>
  </si>
  <si>
    <t>STL Balanced Fund</t>
  </si>
  <si>
    <t>RT Briscoe Savings &amp; Investment Fund</t>
  </si>
  <si>
    <t>GTI Balanced Fund</t>
  </si>
  <si>
    <t>NAV, Unit Price and Yield as at Week Ended June 28, 2024</t>
  </si>
  <si>
    <t>Week Ended June 28, 2024</t>
  </si>
  <si>
    <t>WEEKLY VALUATION REPORT OF COLLECTIVE INVESTMENT SCHEMES AS AT WEEK ENDED FRIDAY, JULY 5, 2024</t>
  </si>
  <si>
    <t>NAV, Unit Price and Yield as at Week Ended July 5,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</si>
  <si>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5th July, 2024 = N1513.21</t>
    </r>
  </si>
  <si>
    <t>Guaranty Dollar Fund</t>
  </si>
  <si>
    <t>Week Ended July 5, 2024</t>
  </si>
  <si>
    <t>The chart above shows that the Dollar Fund category (Eurobonds and Fixed Income) has the highest share of the Aggregate Net Asset Value (NAV) at 47.99%, followed by Money Market Fund with 36.73%, Bond/Fixed Income Fund at 7.60%, Real Estate Investment Trust at 3.29%.  Next is Balanced Fund at 1.65%, Shari'ah Compliant Fund at 1.63%, Equity Fund at 0.94% and Ethical Fund at 0.17%.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</si>
</sst>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1"/>
      <color theme="1"/>
      <name val="Aptos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8"/>
      <color theme="0"/>
      <name val="Arial Narrow"/>
      <family val="2"/>
    </font>
    <font>
      <sz val="8"/>
      <color theme="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3" applyNumberFormat="0" applyAlignment="0" applyProtection="0"/>
    <xf numFmtId="0" fontId="36" fillId="18" borderId="14" applyNumberFormat="0" applyAlignment="0" applyProtection="0"/>
    <xf numFmtId="0" fontId="37" fillId="18" borderId="13" applyNumberFormat="0" applyAlignment="0" applyProtection="0"/>
    <xf numFmtId="0" fontId="38" fillId="0" borderId="15" applyNumberFormat="0" applyFill="0" applyAlignment="0" applyProtection="0"/>
    <xf numFmtId="0" fontId="39" fillId="19" borderId="16" applyNumberFormat="0" applyAlignment="0" applyProtection="0"/>
    <xf numFmtId="0" fontId="40" fillId="0" borderId="0" applyNumberFormat="0" applyFill="0" applyBorder="0" applyAlignment="0" applyProtection="0"/>
    <xf numFmtId="0" fontId="1" fillId="20" borderId="17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77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165" fontId="6" fillId="5" borderId="5" xfId="2" applyNumberFormat="1" applyFont="1" applyFill="1" applyBorder="1" applyAlignment="1">
      <alignment horizontal="center"/>
    </xf>
    <xf numFmtId="0" fontId="45" fillId="0" borderId="5" xfId="0" applyFont="1" applyBorder="1" applyAlignment="1">
      <alignment horizontal="right"/>
    </xf>
    <xf numFmtId="164" fontId="12" fillId="3" borderId="0" xfId="1" applyFont="1" applyFill="1" applyBorder="1" applyAlignment="1">
      <alignment horizontal="right" vertical="top" wrapText="1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8" fillId="0" borderId="5" xfId="0" applyFont="1" applyBorder="1" applyAlignment="1">
      <alignment horizontal="right"/>
    </xf>
    <xf numFmtId="4" fontId="50" fillId="3" borderId="5" xfId="0" applyNumberFormat="1" applyFont="1" applyFill="1" applyBorder="1"/>
    <xf numFmtId="0" fontId="49" fillId="0" borderId="5" xfId="0" applyFont="1" applyBorder="1" applyAlignment="1">
      <alignment horizontal="right"/>
    </xf>
    <xf numFmtId="4" fontId="50" fillId="3" borderId="5" xfId="0" applyNumberFormat="1" applyFont="1" applyFill="1" applyBorder="1" applyAlignment="1">
      <alignment horizontal="right"/>
    </xf>
    <xf numFmtId="164" fontId="50" fillId="3" borderId="5" xfId="1" applyFont="1" applyFill="1" applyBorder="1" applyAlignment="1">
      <alignment horizontal="right" vertical="top" wrapText="1"/>
    </xf>
    <xf numFmtId="0" fontId="49" fillId="0" borderId="0" xfId="0" applyFont="1" applyAlignment="1">
      <alignment horizontal="right"/>
    </xf>
    <xf numFmtId="4" fontId="50" fillId="3" borderId="0" xfId="0" applyNumberFormat="1" applyFont="1" applyFill="1"/>
    <xf numFmtId="16" fontId="49" fillId="3" borderId="5" xfId="0" applyNumberFormat="1" applyFont="1" applyFill="1" applyBorder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42" fillId="0" borderId="0" xfId="0" applyFont="1"/>
    <xf numFmtId="0" fontId="47" fillId="3" borderId="0" xfId="0" applyFont="1" applyFill="1" applyAlignment="1">
      <alignment wrapText="1"/>
    </xf>
    <xf numFmtId="43" fontId="42" fillId="0" borderId="0" xfId="7" applyFont="1" applyBorder="1"/>
    <xf numFmtId="2" fontId="42" fillId="0" borderId="0" xfId="0" applyNumberFormat="1" applyFont="1"/>
    <xf numFmtId="10" fontId="42" fillId="0" borderId="0" xfId="2" applyNumberFormat="1" applyFont="1" applyBorder="1"/>
    <xf numFmtId="10" fontId="51" fillId="0" borderId="0" xfId="2" applyNumberFormat="1" applyFont="1" applyBorder="1"/>
    <xf numFmtId="0" fontId="6" fillId="7" borderId="19" xfId="0" applyFont="1" applyFill="1" applyBorder="1" applyAlignment="1">
      <alignment horizontal="right"/>
    </xf>
    <xf numFmtId="0" fontId="3" fillId="7" borderId="19" xfId="0" applyFont="1" applyFill="1" applyBorder="1" applyAlignment="1">
      <alignment horizontal="right"/>
    </xf>
    <xf numFmtId="164" fontId="50" fillId="3" borderId="0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left" wrapText="1"/>
    </xf>
    <xf numFmtId="4" fontId="6" fillId="0" borderId="5" xfId="0" applyNumberFormat="1" applyFont="1" applyBorder="1" applyAlignment="1">
      <alignment wrapText="1"/>
    </xf>
    <xf numFmtId="49" fontId="6" fillId="0" borderId="5" xfId="0" applyNumberFormat="1" applyFont="1" applyBorder="1" applyAlignment="1">
      <alignment wrapText="1"/>
    </xf>
    <xf numFmtId="164" fontId="18" fillId="0" borderId="0" xfId="1" applyFont="1"/>
    <xf numFmtId="0" fontId="39" fillId="0" borderId="0" xfId="0" applyFont="1"/>
    <xf numFmtId="16" fontId="52" fillId="3" borderId="0" xfId="0" applyNumberFormat="1" applyFont="1" applyFill="1"/>
    <xf numFmtId="164" fontId="53" fillId="0" borderId="0" xfId="1" applyFont="1"/>
    <xf numFmtId="43" fontId="53" fillId="0" borderId="0" xfId="0" applyNumberFormat="1" applyFont="1"/>
    <xf numFmtId="4" fontId="53" fillId="0" borderId="0" xfId="0" applyNumberFormat="1" applyFont="1"/>
    <xf numFmtId="0" fontId="4" fillId="3" borderId="5" xfId="0" applyFont="1" applyFill="1" applyBorder="1"/>
    <xf numFmtId="0" fontId="47" fillId="3" borderId="5" xfId="0" applyFont="1" applyFill="1" applyBorder="1"/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23" fillId="13" borderId="0" xfId="0" applyFont="1" applyFill="1" applyAlignment="1">
      <alignment horizontal="center" wrapText="1"/>
    </xf>
    <xf numFmtId="16" fontId="49" fillId="3" borderId="5" xfId="0" applyNumberFormat="1" applyFont="1" applyFill="1" applyBorder="1" applyAlignment="1">
      <alignment horizontal="center" wrapText="1"/>
    </xf>
    <xf numFmtId="0" fontId="49" fillId="0" borderId="5" xfId="0" applyFont="1" applyBorder="1" applyAlignment="1">
      <alignment horizontal="right" wrapText="1"/>
    </xf>
    <xf numFmtId="0" fontId="54" fillId="0" borderId="5" xfId="0" applyFont="1" applyBorder="1" applyAlignment="1">
      <alignment horizontal="right" wrapText="1"/>
    </xf>
    <xf numFmtId="164" fontId="55" fillId="0" borderId="5" xfId="1" applyFont="1" applyBorder="1"/>
    <xf numFmtId="4" fontId="55" fillId="3" borderId="5" xfId="0" applyNumberFormat="1" applyFont="1" applyFill="1" applyBorder="1"/>
    <xf numFmtId="0" fontId="54" fillId="0" borderId="5" xfId="0" applyFont="1" applyBorder="1" applyAlignment="1">
      <alignment horizontal="right"/>
    </xf>
    <xf numFmtId="4" fontId="55" fillId="3" borderId="5" xfId="0" applyNumberFormat="1" applyFont="1" applyFill="1" applyBorder="1" applyAlignment="1">
      <alignment horizontal="right"/>
    </xf>
    <xf numFmtId="164" fontId="55" fillId="3" borderId="5" xfId="1" applyFont="1" applyFill="1" applyBorder="1" applyAlignment="1">
      <alignment horizontal="right" vertical="top" wrapText="1"/>
    </xf>
    <xf numFmtId="4" fontId="50" fillId="3" borderId="0" xfId="0" applyNumberFormat="1" applyFont="1" applyFill="1" applyAlignment="1">
      <alignment horizontal="right"/>
    </xf>
  </cellXfs>
  <cellStyles count="60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Comma 5" xfId="55" xr:uid="{D2975A73-C7C2-43F9-B839-6A818D0DA01D}"/>
    <cellStyle name="Comma 6" xfId="57" xr:uid="{C3684CE0-A1E3-46A2-BB48-FBDC7D9C1F4E}"/>
    <cellStyle name="Comma 8" xfId="59" xr:uid="{9F382DD6-A311-454E-98B2-DDC2BEC7740F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Percent 5" xfId="56" xr:uid="{D11B0100-E898-4AB2-A152-5E22447C24BA}"/>
    <cellStyle name="Percent 6" xfId="58" xr:uid="{80D5C716-5C3E-47A5-972E-C7B1C79EA500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June 28,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28.745543118100006</c:v>
                </c:pt>
                <c:pt idx="1">
                  <c:v>1064.9640076088697</c:v>
                </c:pt>
                <c:pt idx="2">
                  <c:v>232.70672923512197</c:v>
                </c:pt>
                <c:pt idx="3">
                  <c:v>1440.7462475029665</c:v>
                </c:pt>
                <c:pt idx="4">
                  <c:v>98.610688317905186</c:v>
                </c:pt>
                <c:pt idx="5" formatCode="_-* #,##0.00_-;\-* #,##0.00_-;_-* &quot;-&quot;??_-;_-@_-">
                  <c:v>50.39426799496848</c:v>
                </c:pt>
                <c:pt idx="6">
                  <c:v>5.18937917516</c:v>
                </c:pt>
                <c:pt idx="7">
                  <c:v>49.625885988275535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July 5,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28.719008525705398</c:v>
                </c:pt>
                <c:pt idx="1">
                  <c:v>1119.0815546453996</c:v>
                </c:pt>
                <c:pt idx="2">
                  <c:v>231.54116966796704</c:v>
                </c:pt>
                <c:pt idx="3">
                  <c:v>1462.330955935362</c:v>
                </c:pt>
                <c:pt idx="4">
                  <c:v>100.34495302142615</c:v>
                </c:pt>
                <c:pt idx="5" formatCode="_-* #,##0.00_-;\-* #,##0.00_-;_-* &quot;-&quot;??_-;_-@_-">
                  <c:v>50.184242132945634</c:v>
                </c:pt>
                <c:pt idx="6">
                  <c:v>5.2283619737299993</c:v>
                </c:pt>
                <c:pt idx="7">
                  <c:v>49.588495979853811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5TH JULY,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6"/>
          <c:y val="3.171951886707670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5-Jul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5228361973.7299995</c:v>
                </c:pt>
                <c:pt idx="1">
                  <c:v>28719008525.705399</c:v>
                </c:pt>
                <c:pt idx="2" formatCode="_-* #,##0.00_-;\-* #,##0.00_-;_-* &quot;-&quot;??_-;_-@_-">
                  <c:v>50184242132.945633</c:v>
                </c:pt>
                <c:pt idx="3">
                  <c:v>49588495979.853813</c:v>
                </c:pt>
                <c:pt idx="4">
                  <c:v>100344953021.42615</c:v>
                </c:pt>
                <c:pt idx="5">
                  <c:v>231541169667.96704</c:v>
                </c:pt>
                <c:pt idx="6">
                  <c:v>1119081554645.3997</c:v>
                </c:pt>
                <c:pt idx="7">
                  <c:v>1462330955935.3621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45429</c:v>
                </c:pt>
                <c:pt idx="1">
                  <c:v>45436</c:v>
                </c:pt>
                <c:pt idx="2">
                  <c:v>45443</c:v>
                </c:pt>
                <c:pt idx="3">
                  <c:v>45450</c:v>
                </c:pt>
                <c:pt idx="4">
                  <c:v>45457</c:v>
                </c:pt>
                <c:pt idx="5">
                  <c:v>45464</c:v>
                </c:pt>
                <c:pt idx="6">
                  <c:v>45471</c:v>
                </c:pt>
                <c:pt idx="7">
                  <c:v>45478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2882.6977794869722</c:v>
                </c:pt>
                <c:pt idx="1">
                  <c:v>2856.7177691570346</c:v>
                </c:pt>
                <c:pt idx="2">
                  <c:v>2902.1598706044138</c:v>
                </c:pt>
                <c:pt idx="3">
                  <c:v>2910.8781340479409</c:v>
                </c:pt>
                <c:pt idx="4">
                  <c:v>2928.2097391078973</c:v>
                </c:pt>
                <c:pt idx="5">
                  <c:v>2935.8430719008147</c:v>
                </c:pt>
                <c:pt idx="6">
                  <c:v>2970.9827489413674</c:v>
                </c:pt>
                <c:pt idx="7">
                  <c:v>3047.0187418823903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45429</c:v>
                </c:pt>
                <c:pt idx="1">
                  <c:v>45436</c:v>
                </c:pt>
                <c:pt idx="2">
                  <c:v>45443</c:v>
                </c:pt>
                <c:pt idx="3">
                  <c:v>45450</c:v>
                </c:pt>
                <c:pt idx="4">
                  <c:v>45457</c:v>
                </c:pt>
                <c:pt idx="5">
                  <c:v>45464</c:v>
                </c:pt>
                <c:pt idx="6">
                  <c:v>45471</c:v>
                </c:pt>
                <c:pt idx="7">
                  <c:v>45478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13.029745632197505</c:v>
                </c:pt>
                <c:pt idx="1">
                  <c:v>12.86344406107283</c:v>
                </c:pt>
                <c:pt idx="2">
                  <c:v>13.116887577834783</c:v>
                </c:pt>
                <c:pt idx="3">
                  <c:v>13.08808103006</c:v>
                </c:pt>
                <c:pt idx="4">
                  <c:v>13.263470098545037</c:v>
                </c:pt>
                <c:pt idx="5">
                  <c:v>13.253375082678389</c:v>
                </c:pt>
                <c:pt idx="6">
                  <c:v>12.263967010065977</c:v>
                </c:pt>
                <c:pt idx="7">
                  <c:v>12.187736015745237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310515</xdr:colOff>
      <xdr:row>23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224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55" t="s">
        <v>279</v>
      </c>
      <c r="B1" s="156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8"/>
    </row>
    <row r="2" spans="1:25" ht="15" customHeight="1">
      <c r="A2" s="1"/>
      <c r="B2" s="1"/>
      <c r="C2" s="1"/>
      <c r="D2" s="162" t="s">
        <v>277</v>
      </c>
      <c r="E2" s="163"/>
      <c r="F2" s="163"/>
      <c r="G2" s="163"/>
      <c r="H2" s="163"/>
      <c r="I2" s="163"/>
      <c r="J2" s="164"/>
      <c r="K2" s="162" t="s">
        <v>280</v>
      </c>
      <c r="L2" s="163"/>
      <c r="M2" s="163"/>
      <c r="N2" s="163"/>
      <c r="O2" s="163"/>
      <c r="P2" s="163"/>
      <c r="Q2" s="164"/>
      <c r="R2" s="162" t="s">
        <v>0</v>
      </c>
      <c r="S2" s="163"/>
      <c r="T2" s="164"/>
      <c r="U2" s="159" t="s">
        <v>1</v>
      </c>
      <c r="V2" s="159"/>
    </row>
    <row r="3" spans="1:25" ht="25.5">
      <c r="A3" s="79" t="s">
        <v>2</v>
      </c>
      <c r="B3" s="79" t="s">
        <v>3</v>
      </c>
      <c r="C3" s="73" t="s">
        <v>4</v>
      </c>
      <c r="D3" s="74" t="s">
        <v>5</v>
      </c>
      <c r="E3" s="75" t="s">
        <v>6</v>
      </c>
      <c r="F3" s="75" t="s">
        <v>7</v>
      </c>
      <c r="G3" s="75" t="s">
        <v>8</v>
      </c>
      <c r="H3" s="75" t="s">
        <v>228</v>
      </c>
      <c r="I3" s="75" t="s">
        <v>9</v>
      </c>
      <c r="J3" s="75" t="s">
        <v>10</v>
      </c>
      <c r="K3" s="76" t="s">
        <v>5</v>
      </c>
      <c r="L3" s="75" t="s">
        <v>6</v>
      </c>
      <c r="M3" s="75" t="s">
        <v>7</v>
      </c>
      <c r="N3" s="75" t="s">
        <v>8</v>
      </c>
      <c r="O3" s="75" t="s">
        <v>228</v>
      </c>
      <c r="P3" s="75" t="s">
        <v>9</v>
      </c>
      <c r="Q3" s="75" t="s">
        <v>10</v>
      </c>
      <c r="R3" s="74" t="s">
        <v>11</v>
      </c>
      <c r="S3" s="75" t="s">
        <v>12</v>
      </c>
      <c r="T3" s="75" t="s">
        <v>234</v>
      </c>
      <c r="U3" s="75" t="s">
        <v>13</v>
      </c>
      <c r="V3" s="75" t="s">
        <v>14</v>
      </c>
    </row>
    <row r="4" spans="1:25" ht="7.5" customHeight="1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5" ht="15" customHeight="1">
      <c r="A5" s="161" t="s">
        <v>15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</row>
    <row r="6" spans="1:25">
      <c r="A6" s="72">
        <v>1</v>
      </c>
      <c r="B6" s="132" t="s">
        <v>16</v>
      </c>
      <c r="C6" s="133" t="s">
        <v>17</v>
      </c>
      <c r="D6" s="2">
        <v>1115072320.3</v>
      </c>
      <c r="E6" s="3">
        <f t="shared" ref="E6:E22" si="0">(D6/$D$23)</f>
        <v>3.87911376632811E-2</v>
      </c>
      <c r="F6" s="8">
        <v>338.57420000000002</v>
      </c>
      <c r="G6" s="8">
        <v>338.57420000000002</v>
      </c>
      <c r="H6" s="58">
        <v>1741</v>
      </c>
      <c r="I6" s="5">
        <v>-2.3E-3</v>
      </c>
      <c r="J6" s="5">
        <v>0.1285</v>
      </c>
      <c r="K6" s="2">
        <v>1126137142.71</v>
      </c>
      <c r="L6" s="3">
        <f>(K6/$K$23)</f>
        <v>3.9212256986588978E-2</v>
      </c>
      <c r="M6" s="8">
        <v>342.01560000000001</v>
      </c>
      <c r="N6" s="8">
        <v>342.01560000000001</v>
      </c>
      <c r="O6" s="58">
        <v>1741</v>
      </c>
      <c r="P6" s="5">
        <v>1.0200000000000001E-2</v>
      </c>
      <c r="Q6" s="5">
        <v>0.1396</v>
      </c>
      <c r="R6" s="77">
        <f>((K6-D6)/D6)</f>
        <v>9.9229639267013614E-3</v>
      </c>
      <c r="S6" s="77">
        <f>((N6-G6)/G6)</f>
        <v>1.0164389371665021E-2</v>
      </c>
      <c r="T6" s="77">
        <f>((O6-H6)/H6)</f>
        <v>0</v>
      </c>
      <c r="U6" s="78">
        <f>P6-I6</f>
        <v>1.2500000000000001E-2</v>
      </c>
      <c r="V6" s="80">
        <f>Q6-J6</f>
        <v>1.1099999999999999E-2</v>
      </c>
    </row>
    <row r="7" spans="1:25">
      <c r="A7" s="72">
        <v>2</v>
      </c>
      <c r="B7" s="132" t="s">
        <v>18</v>
      </c>
      <c r="C7" s="133" t="s">
        <v>19</v>
      </c>
      <c r="D7" s="4">
        <v>610013767.42999995</v>
      </c>
      <c r="E7" s="3">
        <f t="shared" si="0"/>
        <v>2.1221159917688137E-2</v>
      </c>
      <c r="F7" s="4">
        <v>225.29740000000001</v>
      </c>
      <c r="G7" s="4">
        <v>227.9967</v>
      </c>
      <c r="H7" s="58">
        <v>427</v>
      </c>
      <c r="I7" s="5">
        <v>6.0679999999999996E-3</v>
      </c>
      <c r="J7" s="5">
        <v>0.1646</v>
      </c>
      <c r="K7" s="4">
        <v>610456910.91999996</v>
      </c>
      <c r="L7" s="3">
        <f t="shared" ref="L7:L22" si="1">(K7/$K$23)</f>
        <v>2.1256197280404055E-2</v>
      </c>
      <c r="M7" s="4">
        <v>225.54650000000001</v>
      </c>
      <c r="N7" s="4">
        <v>228.15989999999999</v>
      </c>
      <c r="O7" s="58">
        <v>446</v>
      </c>
      <c r="P7" s="5">
        <v>3.7559999999999998E-3</v>
      </c>
      <c r="Q7" s="5">
        <v>0.16589999999999999</v>
      </c>
      <c r="R7" s="77">
        <f t="shared" ref="R7:R23" si="2">((K7-D7)/D7)</f>
        <v>7.264483420873955E-4</v>
      </c>
      <c r="S7" s="77">
        <f t="shared" ref="S7:S23" si="3">((N7-G7)/G7)</f>
        <v>7.1579983394491728E-4</v>
      </c>
      <c r="T7" s="77">
        <f t="shared" ref="T7:T23" si="4">((O7-H7)/H7)</f>
        <v>4.449648711943794E-2</v>
      </c>
      <c r="U7" s="78">
        <f t="shared" ref="U7:U23" si="5">P7-I7</f>
        <v>-2.3119999999999998E-3</v>
      </c>
      <c r="V7" s="80">
        <f t="shared" ref="V7:V23" si="6">Q7-J7</f>
        <v>1.2999999999999956E-3</v>
      </c>
    </row>
    <row r="8" spans="1:25">
      <c r="A8" s="72">
        <v>3</v>
      </c>
      <c r="B8" s="132" t="s">
        <v>20</v>
      </c>
      <c r="C8" s="133" t="s">
        <v>21</v>
      </c>
      <c r="D8" s="4">
        <v>3928414898.1100001</v>
      </c>
      <c r="E8" s="3">
        <f t="shared" si="0"/>
        <v>0.13666170376291908</v>
      </c>
      <c r="F8" s="4">
        <v>36.382199999999997</v>
      </c>
      <c r="G8" s="4">
        <v>37.479100000000003</v>
      </c>
      <c r="H8" s="60">
        <v>6513</v>
      </c>
      <c r="I8" s="6">
        <v>0.33029999999999998</v>
      </c>
      <c r="J8" s="6">
        <v>0.38819999999999999</v>
      </c>
      <c r="K8" s="4">
        <v>3924090302.5900002</v>
      </c>
      <c r="L8" s="3">
        <f t="shared" si="1"/>
        <v>0.13663738771057091</v>
      </c>
      <c r="M8" s="4">
        <v>36.340299999999999</v>
      </c>
      <c r="N8" s="4">
        <v>37.436</v>
      </c>
      <c r="O8" s="60">
        <v>6525</v>
      </c>
      <c r="P8" s="6">
        <v>-6.0100000000000001E-2</v>
      </c>
      <c r="Q8" s="6">
        <v>0.371</v>
      </c>
      <c r="R8" s="77">
        <f t="shared" si="2"/>
        <v>-1.1008499947601225E-3</v>
      </c>
      <c r="S8" s="77">
        <f t="shared" si="3"/>
        <v>-1.1499742523166932E-3</v>
      </c>
      <c r="T8" s="77">
        <f t="shared" si="4"/>
        <v>1.8424689083371719E-3</v>
      </c>
      <c r="U8" s="78">
        <f t="shared" si="5"/>
        <v>-0.39039999999999997</v>
      </c>
      <c r="V8" s="80">
        <f t="shared" si="6"/>
        <v>-1.7199999999999993E-2</v>
      </c>
      <c r="X8" s="99"/>
      <c r="Y8" s="99"/>
    </row>
    <row r="9" spans="1:25">
      <c r="A9" s="72">
        <v>4</v>
      </c>
      <c r="B9" s="132" t="s">
        <v>22</v>
      </c>
      <c r="C9" s="133" t="s">
        <v>23</v>
      </c>
      <c r="D9" s="4">
        <v>586938212.32000005</v>
      </c>
      <c r="E9" s="3">
        <f t="shared" si="0"/>
        <v>2.0418407469588798E-2</v>
      </c>
      <c r="F9" s="4">
        <v>206.03</v>
      </c>
      <c r="G9" s="4">
        <v>206.03</v>
      </c>
      <c r="H9" s="58">
        <v>1787</v>
      </c>
      <c r="I9" s="5">
        <v>6.562220915076189E-3</v>
      </c>
      <c r="J9" s="5">
        <v>0.1896764303922891</v>
      </c>
      <c r="K9" s="4">
        <v>593032254.25</v>
      </c>
      <c r="L9" s="3">
        <f t="shared" si="1"/>
        <v>2.0649468233528926E-2</v>
      </c>
      <c r="M9" s="4">
        <v>206.91300000000001</v>
      </c>
      <c r="N9" s="4">
        <v>206.91300000000001</v>
      </c>
      <c r="O9" s="58">
        <v>1795</v>
      </c>
      <c r="P9" s="5">
        <v>4.3E-3</v>
      </c>
      <c r="Q9" s="5">
        <v>0.19400000000000001</v>
      </c>
      <c r="R9" s="77">
        <f t="shared" si="2"/>
        <v>1.0382765684844288E-2</v>
      </c>
      <c r="S9" s="77">
        <f t="shared" si="3"/>
        <v>4.2857836237441627E-3</v>
      </c>
      <c r="T9" s="77">
        <f t="shared" si="4"/>
        <v>4.4767767207610524E-3</v>
      </c>
      <c r="U9" s="78">
        <f t="shared" si="5"/>
        <v>-2.262220915076189E-3</v>
      </c>
      <c r="V9" s="80">
        <f t="shared" si="6"/>
        <v>4.3235696077109087E-3</v>
      </c>
    </row>
    <row r="10" spans="1:25">
      <c r="A10" s="72">
        <v>5</v>
      </c>
      <c r="B10" s="132" t="s">
        <v>265</v>
      </c>
      <c r="C10" s="133" t="s">
        <v>99</v>
      </c>
      <c r="D10" s="4">
        <v>626205428.54999995</v>
      </c>
      <c r="E10" s="3">
        <f t="shared" si="0"/>
        <v>2.1784435450645619E-2</v>
      </c>
      <c r="F10" s="4">
        <v>0.91890000000000005</v>
      </c>
      <c r="G10" s="4">
        <v>0.9274</v>
      </c>
      <c r="H10" s="58">
        <v>540</v>
      </c>
      <c r="I10" s="5">
        <v>8.9999999999999993E-3</v>
      </c>
      <c r="J10" s="5">
        <v>-7.5899999999999995E-2</v>
      </c>
      <c r="K10" s="4">
        <v>644832840.03999996</v>
      </c>
      <c r="L10" s="3">
        <f t="shared" si="1"/>
        <v>2.2453172067651021E-2</v>
      </c>
      <c r="M10" s="4">
        <v>0.93569999999999998</v>
      </c>
      <c r="N10" s="4">
        <v>0.94440000000000002</v>
      </c>
      <c r="O10" s="58">
        <v>537</v>
      </c>
      <c r="P10" s="5">
        <v>2.9700000000000001E-2</v>
      </c>
      <c r="Q10" s="5">
        <v>-4.4999999999999998E-2</v>
      </c>
      <c r="R10" s="77">
        <f>((K10-D10)/D10)</f>
        <v>2.9746486760953855E-2</v>
      </c>
      <c r="S10" s="77">
        <f>((N10-G10)/G10)</f>
        <v>1.8330817338796653E-2</v>
      </c>
      <c r="T10" s="77">
        <f>((O10-H10)/H10)</f>
        <v>-5.5555555555555558E-3</v>
      </c>
      <c r="U10" s="78">
        <f>P10-I10</f>
        <v>2.0700000000000003E-2</v>
      </c>
      <c r="V10" s="80">
        <f>Q10-J10</f>
        <v>3.0899999999999997E-2</v>
      </c>
    </row>
    <row r="11" spans="1:25">
      <c r="A11" s="72">
        <v>6</v>
      </c>
      <c r="B11" s="132" t="s">
        <v>24</v>
      </c>
      <c r="C11" s="133" t="s">
        <v>25</v>
      </c>
      <c r="D11" s="7">
        <v>87047921.980000004</v>
      </c>
      <c r="E11" s="3">
        <f t="shared" si="0"/>
        <v>3.0282232491613331E-3</v>
      </c>
      <c r="F11" s="4">
        <v>155.78200000000001</v>
      </c>
      <c r="G11" s="4">
        <v>156.3013</v>
      </c>
      <c r="H11" s="60">
        <v>95</v>
      </c>
      <c r="I11" s="6">
        <v>3.4299999999999999E-4</v>
      </c>
      <c r="J11" s="6">
        <v>0.32219999999999999</v>
      </c>
      <c r="K11" s="7">
        <v>87206818.109999999</v>
      </c>
      <c r="L11" s="3">
        <f t="shared" si="1"/>
        <v>3.0365539267117863E-3</v>
      </c>
      <c r="M11" s="4">
        <v>156.03639999999999</v>
      </c>
      <c r="N11" s="4">
        <v>156.59809999999999</v>
      </c>
      <c r="O11" s="60">
        <v>95</v>
      </c>
      <c r="P11" s="6">
        <v>3.1500000000000001E-4</v>
      </c>
      <c r="Q11" s="6">
        <v>0.3226</v>
      </c>
      <c r="R11" s="77">
        <f t="shared" si="2"/>
        <v>1.8253868258509716E-3</v>
      </c>
      <c r="S11" s="77">
        <f t="shared" si="3"/>
        <v>1.8988965542832362E-3</v>
      </c>
      <c r="T11" s="77">
        <f t="shared" si="4"/>
        <v>0</v>
      </c>
      <c r="U11" s="78">
        <f t="shared" si="5"/>
        <v>-2.7999999999999976E-5</v>
      </c>
      <c r="V11" s="80">
        <f t="shared" si="6"/>
        <v>4.0000000000001146E-4</v>
      </c>
    </row>
    <row r="12" spans="1:25">
      <c r="A12" s="72">
        <v>7</v>
      </c>
      <c r="B12" s="132" t="s">
        <v>26</v>
      </c>
      <c r="C12" s="133" t="s">
        <v>27</v>
      </c>
      <c r="D12" s="4">
        <v>1108567344.0699999</v>
      </c>
      <c r="E12" s="3">
        <f t="shared" si="0"/>
        <v>3.8564842539780576E-2</v>
      </c>
      <c r="F12" s="4">
        <v>300.67</v>
      </c>
      <c r="G12" s="4">
        <v>304.89999999999998</v>
      </c>
      <c r="H12" s="60">
        <v>1618</v>
      </c>
      <c r="I12" s="6">
        <v>1.47E-2</v>
      </c>
      <c r="J12" s="6">
        <v>0.20910000000000001</v>
      </c>
      <c r="K12" s="4">
        <v>1114284998.9100001</v>
      </c>
      <c r="L12" s="3">
        <f t="shared" si="1"/>
        <v>3.8799563637882617E-2</v>
      </c>
      <c r="M12" s="4">
        <v>302.24</v>
      </c>
      <c r="N12" s="4">
        <v>306.49</v>
      </c>
      <c r="O12" s="60">
        <v>1616</v>
      </c>
      <c r="P12" s="6">
        <v>5.1999999999999998E-3</v>
      </c>
      <c r="Q12" s="6">
        <v>0.21540000000000001</v>
      </c>
      <c r="R12" s="77">
        <f t="shared" si="2"/>
        <v>5.1576973384479512E-3</v>
      </c>
      <c r="S12" s="77">
        <f t="shared" si="3"/>
        <v>5.2148245326337555E-3</v>
      </c>
      <c r="T12" s="77">
        <f t="shared" si="4"/>
        <v>-1.2360939431396785E-3</v>
      </c>
      <c r="U12" s="78">
        <f t="shared" si="5"/>
        <v>-9.4999999999999998E-3</v>
      </c>
      <c r="V12" s="80">
        <f t="shared" si="6"/>
        <v>6.3E-3</v>
      </c>
    </row>
    <row r="13" spans="1:25">
      <c r="A13" s="72">
        <v>8</v>
      </c>
      <c r="B13" s="132" t="s">
        <v>28</v>
      </c>
      <c r="C13" s="133" t="s">
        <v>29</v>
      </c>
      <c r="D13" s="2">
        <v>336029172.63999999</v>
      </c>
      <c r="E13" s="3">
        <f t="shared" si="0"/>
        <v>1.1689783395618462E-2</v>
      </c>
      <c r="F13" s="4">
        <v>168.8</v>
      </c>
      <c r="G13" s="4">
        <v>171.91</v>
      </c>
      <c r="H13" s="58">
        <v>2466</v>
      </c>
      <c r="I13" s="5">
        <v>2.24E-2</v>
      </c>
      <c r="J13" s="5">
        <v>6.0200000000000002E-3</v>
      </c>
      <c r="K13" s="2">
        <v>353616993.26999998</v>
      </c>
      <c r="L13" s="3">
        <f t="shared" si="1"/>
        <v>1.2312994473799107E-2</v>
      </c>
      <c r="M13" s="4">
        <v>177.63</v>
      </c>
      <c r="N13" s="4">
        <v>180.38</v>
      </c>
      <c r="O13" s="58">
        <v>2466</v>
      </c>
      <c r="P13" s="5">
        <v>5.2299999999999999E-2</v>
      </c>
      <c r="Q13" s="5">
        <v>5.8639999999999998E-2</v>
      </c>
      <c r="R13" s="77">
        <f t="shared" si="2"/>
        <v>5.2340159908801885E-2</v>
      </c>
      <c r="S13" s="77">
        <f t="shared" si="3"/>
        <v>4.9269966843115576E-2</v>
      </c>
      <c r="T13" s="77">
        <f t="shared" si="4"/>
        <v>0</v>
      </c>
      <c r="U13" s="78">
        <f t="shared" si="5"/>
        <v>2.9899999999999999E-2</v>
      </c>
      <c r="V13" s="80">
        <f t="shared" si="6"/>
        <v>5.262E-2</v>
      </c>
    </row>
    <row r="14" spans="1:25">
      <c r="A14" s="72">
        <v>9</v>
      </c>
      <c r="B14" s="132" t="s">
        <v>30</v>
      </c>
      <c r="C14" s="133" t="s">
        <v>31</v>
      </c>
      <c r="D14" s="7">
        <v>53303869.18</v>
      </c>
      <c r="E14" s="3">
        <f t="shared" si="0"/>
        <v>1.8543350863472301E-3</v>
      </c>
      <c r="F14" s="4">
        <v>190.64</v>
      </c>
      <c r="G14" s="4">
        <v>195.87</v>
      </c>
      <c r="H14" s="58">
        <v>13</v>
      </c>
      <c r="I14" s="5">
        <v>1.4E-2</v>
      </c>
      <c r="J14" s="5">
        <v>5.6000000000000001E-2</v>
      </c>
      <c r="K14" s="7">
        <v>53238698.345399998</v>
      </c>
      <c r="L14" s="3">
        <f t="shared" si="1"/>
        <v>1.8537791197682841E-3</v>
      </c>
      <c r="M14" s="4">
        <v>190.41569999999999</v>
      </c>
      <c r="N14" s="4">
        <v>195.62899999999999</v>
      </c>
      <c r="O14" s="58">
        <v>13</v>
      </c>
      <c r="P14" s="5">
        <v>-1.1999999999999999E-3</v>
      </c>
      <c r="Q14" s="5">
        <v>5.4699999999999999E-2</v>
      </c>
      <c r="R14" s="77">
        <f t="shared" si="2"/>
        <v>-1.222628593431528E-3</v>
      </c>
      <c r="S14" s="77">
        <f t="shared" si="3"/>
        <v>-1.2304079236228819E-3</v>
      </c>
      <c r="T14" s="77">
        <f t="shared" si="4"/>
        <v>0</v>
      </c>
      <c r="U14" s="78">
        <f t="shared" si="5"/>
        <v>-1.52E-2</v>
      </c>
      <c r="V14" s="80">
        <f t="shared" si="6"/>
        <v>-1.3000000000000025E-3</v>
      </c>
    </row>
    <row r="15" spans="1:25" ht="14.25" customHeight="1">
      <c r="A15" s="72">
        <v>10</v>
      </c>
      <c r="B15" s="132" t="s">
        <v>237</v>
      </c>
      <c r="C15" s="133" t="s">
        <v>32</v>
      </c>
      <c r="D15" s="2">
        <v>532643846.24000001</v>
      </c>
      <c r="E15" s="3">
        <f t="shared" si="0"/>
        <v>1.8529614975499067E-2</v>
      </c>
      <c r="F15" s="4">
        <v>1.766688</v>
      </c>
      <c r="G15" s="4">
        <v>1.784249</v>
      </c>
      <c r="H15" s="58">
        <v>462</v>
      </c>
      <c r="I15" s="5">
        <v>-7.5310629663377648E-3</v>
      </c>
      <c r="J15" s="5">
        <v>4.2478314745972634E-2</v>
      </c>
      <c r="K15" s="2">
        <v>536353192.82999998</v>
      </c>
      <c r="L15" s="3">
        <f t="shared" si="1"/>
        <v>1.8675895177576503E-2</v>
      </c>
      <c r="M15" s="4">
        <v>1.7788409999999999</v>
      </c>
      <c r="N15" s="4">
        <v>1.7968</v>
      </c>
      <c r="O15" s="58">
        <v>449</v>
      </c>
      <c r="P15" s="5">
        <v>6.8789735369232385E-3</v>
      </c>
      <c r="Q15" s="5">
        <v>4.9649495485926565E-2</v>
      </c>
      <c r="R15" s="77">
        <f t="shared" si="2"/>
        <v>6.9640278700011625E-3</v>
      </c>
      <c r="S15" s="77">
        <f t="shared" si="3"/>
        <v>7.0343320915410229E-3</v>
      </c>
      <c r="T15" s="77">
        <f t="shared" si="4"/>
        <v>-2.813852813852814E-2</v>
      </c>
      <c r="U15" s="78">
        <f t="shared" si="5"/>
        <v>1.4410036503261003E-2</v>
      </c>
      <c r="V15" s="80">
        <f t="shared" si="6"/>
        <v>7.1711807399539307E-3</v>
      </c>
    </row>
    <row r="16" spans="1:25">
      <c r="A16" s="72">
        <v>11</v>
      </c>
      <c r="B16" s="132" t="s">
        <v>33</v>
      </c>
      <c r="C16" s="133" t="s">
        <v>34</v>
      </c>
      <c r="D16" s="2">
        <v>1651130748.54</v>
      </c>
      <c r="E16" s="3">
        <f t="shared" si="0"/>
        <v>5.743953912286124E-2</v>
      </c>
      <c r="F16" s="4">
        <v>3.34</v>
      </c>
      <c r="G16" s="4">
        <v>3.41</v>
      </c>
      <c r="H16" s="58">
        <v>3668</v>
      </c>
      <c r="I16" s="5">
        <v>-9.1000000000000004E-3</v>
      </c>
      <c r="J16" s="5">
        <v>0.2054</v>
      </c>
      <c r="K16" s="2">
        <v>1651937109.24</v>
      </c>
      <c r="L16" s="3">
        <f t="shared" si="1"/>
        <v>5.7520687309292301E-2</v>
      </c>
      <c r="M16" s="4">
        <v>3.35</v>
      </c>
      <c r="N16" s="4">
        <v>3.41</v>
      </c>
      <c r="O16" s="58">
        <v>3668</v>
      </c>
      <c r="P16" s="5">
        <v>-8.6E-3</v>
      </c>
      <c r="Q16" s="5">
        <v>0.2059</v>
      </c>
      <c r="R16" s="77">
        <f t="shared" si="2"/>
        <v>4.8836877437663019E-4</v>
      </c>
      <c r="S16" s="77">
        <f t="shared" si="3"/>
        <v>0</v>
      </c>
      <c r="T16" s="77">
        <f t="shared" si="4"/>
        <v>0</v>
      </c>
      <c r="U16" s="78">
        <f t="shared" si="5"/>
        <v>5.0000000000000044E-4</v>
      </c>
      <c r="V16" s="80">
        <f t="shared" si="6"/>
        <v>5.0000000000000044E-4</v>
      </c>
    </row>
    <row r="17" spans="1:22">
      <c r="A17" s="72">
        <v>12</v>
      </c>
      <c r="B17" s="132" t="s">
        <v>35</v>
      </c>
      <c r="C17" s="133" t="s">
        <v>36</v>
      </c>
      <c r="D17" s="4">
        <v>594525199.95000005</v>
      </c>
      <c r="E17" s="3">
        <f t="shared" si="0"/>
        <v>2.0682343607404289E-2</v>
      </c>
      <c r="F17" s="4">
        <v>19.726122</v>
      </c>
      <c r="G17" s="4">
        <v>19.895227999999999</v>
      </c>
      <c r="H17" s="58">
        <v>326</v>
      </c>
      <c r="I17" s="5">
        <v>5.7579970039338679E-3</v>
      </c>
      <c r="J17" s="5">
        <v>0.12834729348979645</v>
      </c>
      <c r="K17" s="4">
        <v>604463282.72000003</v>
      </c>
      <c r="L17" s="3">
        <f t="shared" si="1"/>
        <v>2.1047498285985941E-2</v>
      </c>
      <c r="M17" s="4">
        <v>19.938571</v>
      </c>
      <c r="N17" s="4">
        <v>20.113845999999999</v>
      </c>
      <c r="O17" s="58">
        <v>331</v>
      </c>
      <c r="P17" s="5">
        <v>5.7579970039338679E-3</v>
      </c>
      <c r="Q17" s="5">
        <v>0.14003344213136537</v>
      </c>
      <c r="R17" s="77">
        <f t="shared" si="2"/>
        <v>1.6715999205476537E-2</v>
      </c>
      <c r="S17" s="77">
        <f t="shared" si="3"/>
        <v>1.0988464168392506E-2</v>
      </c>
      <c r="T17" s="77">
        <f t="shared" si="4"/>
        <v>1.5337423312883436E-2</v>
      </c>
      <c r="U17" s="78">
        <f t="shared" si="5"/>
        <v>0</v>
      </c>
      <c r="V17" s="80">
        <f t="shared" si="6"/>
        <v>1.1686148641568916E-2</v>
      </c>
    </row>
    <row r="18" spans="1:22">
      <c r="A18" s="72">
        <v>13</v>
      </c>
      <c r="B18" s="132" t="s">
        <v>37</v>
      </c>
      <c r="C18" s="133" t="s">
        <v>38</v>
      </c>
      <c r="D18" s="4">
        <v>357932948.72000003</v>
      </c>
      <c r="E18" s="3">
        <f t="shared" si="0"/>
        <v>1.2451771992946722E-2</v>
      </c>
      <c r="F18" s="4">
        <v>2.573839</v>
      </c>
      <c r="G18" s="4">
        <v>2.607672</v>
      </c>
      <c r="H18" s="58">
        <v>22</v>
      </c>
      <c r="I18" s="5">
        <v>6.7999999999999996E-3</v>
      </c>
      <c r="J18" s="5">
        <v>0.19350000000000001</v>
      </c>
      <c r="K18" s="4">
        <v>357932948.72000003</v>
      </c>
      <c r="L18" s="3">
        <f t="shared" si="1"/>
        <v>1.2463276662201849E-2</v>
      </c>
      <c r="M18" s="4">
        <v>2.573839</v>
      </c>
      <c r="N18" s="4">
        <v>2.607672</v>
      </c>
      <c r="O18" s="58">
        <v>22</v>
      </c>
      <c r="P18" s="5">
        <v>6.7999999999999996E-3</v>
      </c>
      <c r="Q18" s="5">
        <v>0.19350000000000001</v>
      </c>
      <c r="R18" s="77">
        <f t="shared" si="2"/>
        <v>0</v>
      </c>
      <c r="S18" s="77">
        <f t="shared" si="3"/>
        <v>0</v>
      </c>
      <c r="T18" s="77">
        <f t="shared" si="4"/>
        <v>0</v>
      </c>
      <c r="U18" s="78">
        <f t="shared" si="5"/>
        <v>0</v>
      </c>
      <c r="V18" s="80">
        <f t="shared" si="6"/>
        <v>0</v>
      </c>
    </row>
    <row r="19" spans="1:22">
      <c r="A19" s="72">
        <v>14</v>
      </c>
      <c r="B19" s="132" t="s">
        <v>39</v>
      </c>
      <c r="C19" s="133" t="s">
        <v>40</v>
      </c>
      <c r="D19" s="2">
        <v>1475615671.78</v>
      </c>
      <c r="E19" s="3">
        <f t="shared" si="0"/>
        <v>5.1333720351620676E-2</v>
      </c>
      <c r="F19" s="4">
        <v>26.88</v>
      </c>
      <c r="G19" s="4">
        <v>27.4</v>
      </c>
      <c r="H19" s="58">
        <v>8834</v>
      </c>
      <c r="I19" s="5">
        <v>1.61E-2</v>
      </c>
      <c r="J19" s="5">
        <v>6.7299999999999999E-2</v>
      </c>
      <c r="K19" s="2">
        <v>1464004670.4100001</v>
      </c>
      <c r="L19" s="3">
        <f t="shared" si="1"/>
        <v>5.0976852808119047E-2</v>
      </c>
      <c r="M19" s="4">
        <v>26.67</v>
      </c>
      <c r="N19" s="4">
        <v>27.17</v>
      </c>
      <c r="O19" s="58">
        <v>8834</v>
      </c>
      <c r="P19" s="5">
        <v>-1.34E-2</v>
      </c>
      <c r="Q19" s="5">
        <v>5.8799999999999998E-2</v>
      </c>
      <c r="R19" s="77">
        <f t="shared" si="2"/>
        <v>-7.8685809537342548E-3</v>
      </c>
      <c r="S19" s="77">
        <f t="shared" si="3"/>
        <v>-8.3941605839414919E-3</v>
      </c>
      <c r="T19" s="77">
        <f t="shared" si="4"/>
        <v>0</v>
      </c>
      <c r="U19" s="78">
        <f t="shared" si="5"/>
        <v>-2.9499999999999998E-2</v>
      </c>
      <c r="V19" s="80">
        <f t="shared" si="6"/>
        <v>-8.5000000000000006E-3</v>
      </c>
    </row>
    <row r="20" spans="1:22" ht="12.75" customHeight="1">
      <c r="A20" s="72">
        <v>15</v>
      </c>
      <c r="B20" s="132" t="s">
        <v>41</v>
      </c>
      <c r="C20" s="133" t="s">
        <v>42</v>
      </c>
      <c r="D20" s="4">
        <v>653224234.99000001</v>
      </c>
      <c r="E20" s="3">
        <f t="shared" si="0"/>
        <v>2.2724365732324218E-2</v>
      </c>
      <c r="F20" s="4">
        <v>6427.14</v>
      </c>
      <c r="G20" s="4">
        <v>6508.3</v>
      </c>
      <c r="H20" s="58">
        <v>20</v>
      </c>
      <c r="I20" s="5">
        <v>0.01</v>
      </c>
      <c r="J20" s="5">
        <v>0.19470000000000001</v>
      </c>
      <c r="K20" s="4">
        <v>646129623.75999999</v>
      </c>
      <c r="L20" s="3">
        <f t="shared" si="1"/>
        <v>2.2498326262958262E-2</v>
      </c>
      <c r="M20" s="4">
        <v>6358.71</v>
      </c>
      <c r="N20" s="4">
        <v>6436.67</v>
      </c>
      <c r="O20" s="58">
        <v>20</v>
      </c>
      <c r="P20" s="5">
        <v>-1.0999999999999999E-2</v>
      </c>
      <c r="Q20" s="5">
        <v>0.18149999999999999</v>
      </c>
      <c r="R20" s="77">
        <f t="shared" si="2"/>
        <v>-1.086091245544285E-2</v>
      </c>
      <c r="S20" s="77">
        <f t="shared" si="3"/>
        <v>-1.1005946253245871E-2</v>
      </c>
      <c r="T20" s="77">
        <f t="shared" si="4"/>
        <v>0</v>
      </c>
      <c r="U20" s="78">
        <f t="shared" si="5"/>
        <v>-2.0999999999999998E-2</v>
      </c>
      <c r="V20" s="80">
        <f t="shared" si="6"/>
        <v>-1.3200000000000017E-2</v>
      </c>
    </row>
    <row r="21" spans="1:22">
      <c r="A21" s="72">
        <v>16</v>
      </c>
      <c r="B21" s="132" t="s">
        <v>43</v>
      </c>
      <c r="C21" s="133" t="s">
        <v>42</v>
      </c>
      <c r="D21" s="4">
        <v>11980140748.290001</v>
      </c>
      <c r="E21" s="3">
        <f t="shared" si="0"/>
        <v>0.41676515552585086</v>
      </c>
      <c r="F21" s="4">
        <v>20446.419999999998</v>
      </c>
      <c r="G21" s="4">
        <v>20720.759999999998</v>
      </c>
      <c r="H21" s="58">
        <v>17381</v>
      </c>
      <c r="I21" s="5">
        <v>5.7999999999999996E-3</v>
      </c>
      <c r="J21" s="5">
        <v>0.12839999999999999</v>
      </c>
      <c r="K21" s="4">
        <v>11867559528.59</v>
      </c>
      <c r="L21" s="3">
        <f t="shared" si="1"/>
        <v>0.41323012658907621</v>
      </c>
      <c r="M21" s="4">
        <v>20251.3</v>
      </c>
      <c r="N21" s="4">
        <v>20514.07</v>
      </c>
      <c r="O21" s="58">
        <v>17380</v>
      </c>
      <c r="P21" s="5">
        <v>-0.01</v>
      </c>
      <c r="Q21" s="5">
        <v>0.1171</v>
      </c>
      <c r="R21" s="77">
        <f t="shared" si="2"/>
        <v>-9.3973202874156701E-3</v>
      </c>
      <c r="S21" s="77">
        <f t="shared" si="3"/>
        <v>-9.9750202212659528E-3</v>
      </c>
      <c r="T21" s="77">
        <f t="shared" si="4"/>
        <v>-5.7534088947701514E-5</v>
      </c>
      <c r="U21" s="78">
        <f t="shared" si="5"/>
        <v>-1.5800000000000002E-2</v>
      </c>
      <c r="V21" s="80">
        <f t="shared" si="6"/>
        <v>-1.1299999999999991E-2</v>
      </c>
    </row>
    <row r="22" spans="1:22">
      <c r="A22" s="72">
        <v>17</v>
      </c>
      <c r="B22" s="133" t="s">
        <v>44</v>
      </c>
      <c r="C22" s="133" t="s">
        <v>45</v>
      </c>
      <c r="D22" s="4">
        <v>3048736785.0100002</v>
      </c>
      <c r="E22" s="3">
        <f t="shared" si="0"/>
        <v>0.10605946015646242</v>
      </c>
      <c r="F22" s="4">
        <v>1.2706</v>
      </c>
      <c r="G22" s="8">
        <v>1.2836000000000001</v>
      </c>
      <c r="H22" s="58">
        <v>3837</v>
      </c>
      <c r="I22" s="5">
        <v>1.5E-3</v>
      </c>
      <c r="J22" s="5">
        <v>0.15509999999999999</v>
      </c>
      <c r="K22" s="4">
        <v>3083731210.29</v>
      </c>
      <c r="L22" s="3">
        <f t="shared" si="1"/>
        <v>0.10737596346788428</v>
      </c>
      <c r="M22" s="4">
        <v>1.2856000000000001</v>
      </c>
      <c r="N22" s="8">
        <v>1.2985</v>
      </c>
      <c r="O22" s="58">
        <v>3833</v>
      </c>
      <c r="P22" s="5">
        <v>1.1599999999999999E-2</v>
      </c>
      <c r="Q22" s="5">
        <v>0.1661</v>
      </c>
      <c r="R22" s="77">
        <f t="shared" si="2"/>
        <v>1.1478336028239626E-2</v>
      </c>
      <c r="S22" s="77">
        <f t="shared" si="3"/>
        <v>1.1607977563103703E-2</v>
      </c>
      <c r="T22" s="77">
        <f t="shared" si="4"/>
        <v>-1.0424811050299713E-3</v>
      </c>
      <c r="U22" s="78">
        <f t="shared" si="5"/>
        <v>1.01E-2</v>
      </c>
      <c r="V22" s="80">
        <f t="shared" si="6"/>
        <v>1.100000000000001E-2</v>
      </c>
    </row>
    <row r="23" spans="1:22">
      <c r="A23" s="72"/>
      <c r="B23" s="152"/>
      <c r="C23" s="69" t="s">
        <v>46</v>
      </c>
      <c r="D23" s="56">
        <f>SUM(D6:D22)</f>
        <v>28745543118.100006</v>
      </c>
      <c r="E23" s="97">
        <f>(D23/$D$196)</f>
        <v>9.6754325242523666E-3</v>
      </c>
      <c r="F23" s="30"/>
      <c r="G23" s="31"/>
      <c r="H23" s="63">
        <f>SUM(H6:H22)</f>
        <v>49750</v>
      </c>
      <c r="I23" s="28"/>
      <c r="J23" s="58">
        <v>0</v>
      </c>
      <c r="K23" s="56">
        <f>SUM(K6:K22)</f>
        <v>28719008525.705399</v>
      </c>
      <c r="L23" s="97">
        <f>(K23/$K$196)</f>
        <v>9.4252812202800379E-3</v>
      </c>
      <c r="M23" s="30"/>
      <c r="N23" s="31"/>
      <c r="O23" s="63">
        <f>SUM(O6:O22)</f>
        <v>49771</v>
      </c>
      <c r="P23" s="28"/>
      <c r="Q23" s="63"/>
      <c r="R23" s="77">
        <f t="shared" si="2"/>
        <v>-9.2308544269249489E-4</v>
      </c>
      <c r="S23" s="77" t="e">
        <f t="shared" si="3"/>
        <v>#DIV/0!</v>
      </c>
      <c r="T23" s="77">
        <f t="shared" si="4"/>
        <v>4.221105527638191E-4</v>
      </c>
      <c r="U23" s="78">
        <f t="shared" si="5"/>
        <v>0</v>
      </c>
      <c r="V23" s="80">
        <f t="shared" si="6"/>
        <v>0</v>
      </c>
    </row>
    <row r="24" spans="1:22" ht="9" customHeight="1">
      <c r="A24" s="154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</row>
    <row r="25" spans="1:22" ht="15" customHeight="1">
      <c r="A25" s="161" t="s">
        <v>47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</row>
    <row r="26" spans="1:22">
      <c r="A26" s="72">
        <v>18</v>
      </c>
      <c r="B26" s="132" t="s">
        <v>48</v>
      </c>
      <c r="C26" s="133" t="s">
        <v>17</v>
      </c>
      <c r="D26" s="9">
        <v>962483823.40999997</v>
      </c>
      <c r="E26" s="3">
        <f>(D26/$K$60)</f>
        <v>8.6006584543785072E-4</v>
      </c>
      <c r="F26" s="8">
        <v>100</v>
      </c>
      <c r="G26" s="8">
        <v>100</v>
      </c>
      <c r="H26" s="58">
        <v>801</v>
      </c>
      <c r="I26" s="5">
        <v>0.1699</v>
      </c>
      <c r="J26" s="5">
        <v>0.1699</v>
      </c>
      <c r="K26" s="9">
        <v>953569056.54999995</v>
      </c>
      <c r="L26" s="3">
        <f t="shared" ref="L26:L59" si="7">(K26/$K$60)</f>
        <v>8.5209969960782245E-4</v>
      </c>
      <c r="M26" s="8">
        <v>100</v>
      </c>
      <c r="N26" s="8">
        <v>100</v>
      </c>
      <c r="O26" s="58">
        <v>801</v>
      </c>
      <c r="P26" s="5">
        <v>0.17169999999999999</v>
      </c>
      <c r="Q26" s="5">
        <v>0.17169999999999999</v>
      </c>
      <c r="R26" s="77">
        <f>((K26-D26)/D26)</f>
        <v>-9.262251108196019E-3</v>
      </c>
      <c r="S26" s="77">
        <f>((N26-G26)/G26)</f>
        <v>0</v>
      </c>
      <c r="T26" s="77">
        <f>((O26-H26)/H26)</f>
        <v>0</v>
      </c>
      <c r="U26" s="78">
        <f>P26-I26</f>
        <v>1.799999999999996E-3</v>
      </c>
      <c r="V26" s="80">
        <f>Q26-J26</f>
        <v>1.799999999999996E-3</v>
      </c>
    </row>
    <row r="27" spans="1:22">
      <c r="A27" s="72">
        <v>19</v>
      </c>
      <c r="B27" s="132" t="s">
        <v>49</v>
      </c>
      <c r="C27" s="133" t="s">
        <v>50</v>
      </c>
      <c r="D27" s="9">
        <v>5733441080.6000004</v>
      </c>
      <c r="E27" s="3">
        <f t="shared" ref="E27:E59" si="8">(D27/$K$60)</f>
        <v>5.1233451724764963E-3</v>
      </c>
      <c r="F27" s="8">
        <v>100</v>
      </c>
      <c r="G27" s="8">
        <v>100</v>
      </c>
      <c r="H27" s="58">
        <v>1487</v>
      </c>
      <c r="I27" s="5">
        <v>0.19562599999999999</v>
      </c>
      <c r="J27" s="5">
        <v>0.19562599999999999</v>
      </c>
      <c r="K27" s="9">
        <v>6193964028.54</v>
      </c>
      <c r="L27" s="3">
        <f t="shared" si="7"/>
        <v>5.5348638379645746E-3</v>
      </c>
      <c r="M27" s="8">
        <v>100</v>
      </c>
      <c r="N27" s="8">
        <v>100</v>
      </c>
      <c r="O27" s="58">
        <v>1501</v>
      </c>
      <c r="P27" s="5">
        <v>0.19350899999999999</v>
      </c>
      <c r="Q27" s="5">
        <v>0.19350899999999999</v>
      </c>
      <c r="R27" s="77">
        <f t="shared" ref="R27:R60" si="9">((K27-D27)/D27)</f>
        <v>8.032226048301977E-2</v>
      </c>
      <c r="S27" s="77">
        <f t="shared" ref="S27:S60" si="10">((N27-G27)/G27)</f>
        <v>0</v>
      </c>
      <c r="T27" s="77">
        <f t="shared" ref="T27:T60" si="11">((O27-H27)/H27)</f>
        <v>9.4149293880295901E-3</v>
      </c>
      <c r="U27" s="78">
        <f t="shared" ref="U27:U60" si="12">P27-I27</f>
        <v>-2.1170000000000078E-3</v>
      </c>
      <c r="V27" s="80">
        <f t="shared" ref="V27:V60" si="13">Q27-J27</f>
        <v>-2.1170000000000078E-3</v>
      </c>
    </row>
    <row r="28" spans="1:22">
      <c r="A28" s="72">
        <v>20</v>
      </c>
      <c r="B28" s="132" t="s">
        <v>51</v>
      </c>
      <c r="C28" s="133" t="s">
        <v>19</v>
      </c>
      <c r="D28" s="9">
        <v>436716119.04000002</v>
      </c>
      <c r="E28" s="3">
        <f t="shared" si="8"/>
        <v>3.9024512308969393E-4</v>
      </c>
      <c r="F28" s="8">
        <v>100</v>
      </c>
      <c r="G28" s="8">
        <v>100</v>
      </c>
      <c r="H28" s="58">
        <v>1630</v>
      </c>
      <c r="I28" s="5">
        <v>0.17560000000000001</v>
      </c>
      <c r="J28" s="5">
        <v>0.17560000000000001</v>
      </c>
      <c r="K28" s="9">
        <v>410266872.39999998</v>
      </c>
      <c r="L28" s="3">
        <f t="shared" si="7"/>
        <v>3.6661034282706959E-4</v>
      </c>
      <c r="M28" s="8">
        <v>100</v>
      </c>
      <c r="N28" s="8">
        <v>100</v>
      </c>
      <c r="O28" s="58">
        <v>1643</v>
      </c>
      <c r="P28" s="5">
        <v>0.16189999999999999</v>
      </c>
      <c r="Q28" s="5">
        <v>0.16189999999999999</v>
      </c>
      <c r="R28" s="77">
        <f t="shared" si="9"/>
        <v>-6.0563934983992394E-2</v>
      </c>
      <c r="S28" s="77">
        <f t="shared" si="10"/>
        <v>0</v>
      </c>
      <c r="T28" s="77">
        <f t="shared" si="11"/>
        <v>7.9754601226993873E-3</v>
      </c>
      <c r="U28" s="78">
        <f t="shared" si="12"/>
        <v>-1.3700000000000018E-2</v>
      </c>
      <c r="V28" s="80">
        <f t="shared" si="13"/>
        <v>-1.3700000000000018E-2</v>
      </c>
    </row>
    <row r="29" spans="1:22">
      <c r="A29" s="72">
        <v>21</v>
      </c>
      <c r="B29" s="132" t="s">
        <v>52</v>
      </c>
      <c r="C29" s="133" t="s">
        <v>21</v>
      </c>
      <c r="D29" s="9">
        <v>90140972394.130005</v>
      </c>
      <c r="E29" s="3">
        <f t="shared" si="8"/>
        <v>8.0549064560976283E-2</v>
      </c>
      <c r="F29" s="8">
        <v>1</v>
      </c>
      <c r="G29" s="8">
        <v>1</v>
      </c>
      <c r="H29" s="58">
        <v>58788</v>
      </c>
      <c r="I29" s="5">
        <v>0.19650000000000001</v>
      </c>
      <c r="J29" s="5">
        <v>0.19650000000000001</v>
      </c>
      <c r="K29" s="9">
        <v>94338061825.809998</v>
      </c>
      <c r="L29" s="3">
        <f t="shared" si="7"/>
        <v>8.4299541382131568E-2</v>
      </c>
      <c r="M29" s="8">
        <v>1</v>
      </c>
      <c r="N29" s="8">
        <v>1</v>
      </c>
      <c r="O29" s="58">
        <v>58961</v>
      </c>
      <c r="P29" s="5">
        <v>0.19359999999999999</v>
      </c>
      <c r="Q29" s="5">
        <v>0.19359999999999999</v>
      </c>
      <c r="R29" s="77">
        <f t="shared" si="9"/>
        <v>4.6561395114851321E-2</v>
      </c>
      <c r="S29" s="77">
        <f t="shared" si="10"/>
        <v>0</v>
      </c>
      <c r="T29" s="77">
        <f t="shared" si="11"/>
        <v>2.9427774375722937E-3</v>
      </c>
      <c r="U29" s="78">
        <f t="shared" si="12"/>
        <v>-2.9000000000000137E-3</v>
      </c>
      <c r="V29" s="80">
        <f t="shared" si="13"/>
        <v>-2.9000000000000137E-3</v>
      </c>
    </row>
    <row r="30" spans="1:22">
      <c r="A30" s="72">
        <v>22</v>
      </c>
      <c r="B30" s="132" t="s">
        <v>53</v>
      </c>
      <c r="C30" s="133" t="s">
        <v>23</v>
      </c>
      <c r="D30" s="9">
        <v>57258915601.650002</v>
      </c>
      <c r="E30" s="3">
        <f t="shared" si="8"/>
        <v>5.1165989970939588E-2</v>
      </c>
      <c r="F30" s="8">
        <v>1</v>
      </c>
      <c r="G30" s="8">
        <v>1</v>
      </c>
      <c r="H30" s="58">
        <v>27951</v>
      </c>
      <c r="I30" s="5">
        <v>0.19359999999999999</v>
      </c>
      <c r="J30" s="5">
        <v>0.19359999999999999</v>
      </c>
      <c r="K30" s="9">
        <v>59733955070.540001</v>
      </c>
      <c r="L30" s="3">
        <f t="shared" si="7"/>
        <v>5.3377660298822224E-2</v>
      </c>
      <c r="M30" s="8">
        <v>1</v>
      </c>
      <c r="N30" s="8">
        <v>1</v>
      </c>
      <c r="O30" s="58">
        <v>28173</v>
      </c>
      <c r="P30" s="5">
        <v>0.19339999999999999</v>
      </c>
      <c r="Q30" s="5">
        <v>0.19339999999999999</v>
      </c>
      <c r="R30" s="77">
        <f t="shared" si="9"/>
        <v>4.3225398924926155E-2</v>
      </c>
      <c r="S30" s="77">
        <f t="shared" si="10"/>
        <v>0</v>
      </c>
      <c r="T30" s="77">
        <f t="shared" si="11"/>
        <v>7.9424707523881085E-3</v>
      </c>
      <c r="U30" s="78">
        <f t="shared" si="12"/>
        <v>-2.0000000000000573E-4</v>
      </c>
      <c r="V30" s="80">
        <f t="shared" si="13"/>
        <v>-2.0000000000000573E-4</v>
      </c>
    </row>
    <row r="31" spans="1:22" ht="15" customHeight="1">
      <c r="A31" s="72">
        <v>23</v>
      </c>
      <c r="B31" s="132" t="s">
        <v>54</v>
      </c>
      <c r="C31" s="133" t="s">
        <v>40</v>
      </c>
      <c r="D31" s="9">
        <v>7695388655.1599998</v>
      </c>
      <c r="E31" s="3">
        <f t="shared" si="8"/>
        <v>6.8765217541257905E-3</v>
      </c>
      <c r="F31" s="8">
        <v>100</v>
      </c>
      <c r="G31" s="8">
        <v>100</v>
      </c>
      <c r="H31" s="58">
        <v>2891</v>
      </c>
      <c r="I31" s="5">
        <v>0.19059999999999999</v>
      </c>
      <c r="J31" s="5">
        <v>0.19059999999999999</v>
      </c>
      <c r="K31" s="9">
        <v>7691020889.6800003</v>
      </c>
      <c r="L31" s="3">
        <f t="shared" si="7"/>
        <v>6.8726187629077964E-3</v>
      </c>
      <c r="M31" s="8">
        <v>100</v>
      </c>
      <c r="N31" s="8">
        <v>100</v>
      </c>
      <c r="O31" s="58">
        <v>2891</v>
      </c>
      <c r="P31" s="5">
        <v>0.188</v>
      </c>
      <c r="Q31" s="5">
        <v>0.188</v>
      </c>
      <c r="R31" s="77">
        <f t="shared" si="9"/>
        <v>-5.6758218144977227E-4</v>
      </c>
      <c r="S31" s="77">
        <f t="shared" si="10"/>
        <v>0</v>
      </c>
      <c r="T31" s="77">
        <f t="shared" si="11"/>
        <v>0</v>
      </c>
      <c r="U31" s="78">
        <f t="shared" si="12"/>
        <v>-2.5999999999999912E-3</v>
      </c>
      <c r="V31" s="80">
        <f t="shared" si="13"/>
        <v>-2.5999999999999912E-3</v>
      </c>
    </row>
    <row r="32" spans="1:22" ht="15" customHeight="1">
      <c r="A32" s="72">
        <v>24</v>
      </c>
      <c r="B32" s="132" t="s">
        <v>269</v>
      </c>
      <c r="C32" s="133" t="s">
        <v>268</v>
      </c>
      <c r="D32" s="9">
        <v>255461710.25</v>
      </c>
      <c r="E32" s="3">
        <f t="shared" si="8"/>
        <v>2.2827800993552026E-4</v>
      </c>
      <c r="F32" s="8">
        <v>1</v>
      </c>
      <c r="G32" s="8">
        <v>1</v>
      </c>
      <c r="H32" s="58">
        <v>96</v>
      </c>
      <c r="I32" s="5">
        <v>0.1832</v>
      </c>
      <c r="J32" s="5">
        <v>0.1832</v>
      </c>
      <c r="K32" s="9">
        <v>309242854.86000001</v>
      </c>
      <c r="L32" s="3">
        <f t="shared" si="7"/>
        <v>2.7633629879458512E-4</v>
      </c>
      <c r="M32" s="8">
        <v>1</v>
      </c>
      <c r="N32" s="8">
        <v>1</v>
      </c>
      <c r="O32" s="58">
        <v>104</v>
      </c>
      <c r="P32" s="5">
        <v>0.19070000000000001</v>
      </c>
      <c r="Q32" s="5">
        <v>0.19070000000000001</v>
      </c>
      <c r="R32" s="77">
        <f t="shared" si="9"/>
        <v>0.21052526641808159</v>
      </c>
      <c r="S32" s="77">
        <f t="shared" si="10"/>
        <v>0</v>
      </c>
      <c r="T32" s="77">
        <f t="shared" si="11"/>
        <v>8.3333333333333329E-2</v>
      </c>
      <c r="U32" s="78">
        <f t="shared" si="12"/>
        <v>7.5000000000000067E-3</v>
      </c>
      <c r="V32" s="80">
        <f t="shared" si="13"/>
        <v>7.5000000000000067E-3</v>
      </c>
    </row>
    <row r="33" spans="1:22">
      <c r="A33" s="72">
        <v>25</v>
      </c>
      <c r="B33" s="132" t="s">
        <v>55</v>
      </c>
      <c r="C33" s="133" t="s">
        <v>56</v>
      </c>
      <c r="D33" s="9">
        <v>23407783273.809998</v>
      </c>
      <c r="E33" s="3">
        <f t="shared" si="8"/>
        <v>2.0916959248092653E-2</v>
      </c>
      <c r="F33" s="8">
        <v>100</v>
      </c>
      <c r="G33" s="8">
        <v>100</v>
      </c>
      <c r="H33" s="58">
        <v>2549</v>
      </c>
      <c r="I33" s="5">
        <v>0.21380843759409299</v>
      </c>
      <c r="J33" s="5">
        <v>0.21380843759409299</v>
      </c>
      <c r="K33" s="9">
        <v>24613066249.219997</v>
      </c>
      <c r="L33" s="3">
        <f t="shared" si="7"/>
        <v>2.1993987969017213E-2</v>
      </c>
      <c r="M33" s="8">
        <v>100</v>
      </c>
      <c r="N33" s="8">
        <v>100</v>
      </c>
      <c r="O33" s="58">
        <v>2600</v>
      </c>
      <c r="P33" s="5">
        <v>0.20480021822852401</v>
      </c>
      <c r="Q33" s="5">
        <v>0.20480021822852401</v>
      </c>
      <c r="R33" s="77">
        <f t="shared" si="9"/>
        <v>5.1490692702992565E-2</v>
      </c>
      <c r="S33" s="77">
        <f t="shared" si="10"/>
        <v>0</v>
      </c>
      <c r="T33" s="77">
        <f t="shared" si="11"/>
        <v>2.0007846214201649E-2</v>
      </c>
      <c r="U33" s="78">
        <f t="shared" si="12"/>
        <v>-9.0082193655689757E-3</v>
      </c>
      <c r="V33" s="80">
        <f t="shared" si="13"/>
        <v>-9.0082193655689757E-3</v>
      </c>
    </row>
    <row r="34" spans="1:22">
      <c r="A34" s="72">
        <v>26</v>
      </c>
      <c r="B34" s="132" t="s">
        <v>57</v>
      </c>
      <c r="C34" s="133" t="s">
        <v>58</v>
      </c>
      <c r="D34" s="9">
        <v>8148989044.4399996</v>
      </c>
      <c r="E34" s="3">
        <f t="shared" si="8"/>
        <v>7.2818544909554403E-3</v>
      </c>
      <c r="F34" s="8">
        <v>100</v>
      </c>
      <c r="G34" s="8">
        <v>100</v>
      </c>
      <c r="H34" s="58">
        <v>6034</v>
      </c>
      <c r="I34" s="5">
        <v>0.1971</v>
      </c>
      <c r="J34" s="5">
        <v>0.1971</v>
      </c>
      <c r="K34" s="9">
        <v>8828331397.0499992</v>
      </c>
      <c r="L34" s="3">
        <f t="shared" si="7"/>
        <v>7.888907971365329E-3</v>
      </c>
      <c r="M34" s="8">
        <v>100</v>
      </c>
      <c r="N34" s="8">
        <v>100</v>
      </c>
      <c r="O34" s="58">
        <v>6063</v>
      </c>
      <c r="P34" s="5">
        <v>0.19139999999999999</v>
      </c>
      <c r="Q34" s="5">
        <v>0.19139999999999999</v>
      </c>
      <c r="R34" s="77">
        <f t="shared" si="9"/>
        <v>8.336523081639316E-2</v>
      </c>
      <c r="S34" s="77">
        <f t="shared" si="10"/>
        <v>0</v>
      </c>
      <c r="T34" s="77">
        <f t="shared" si="11"/>
        <v>4.8060987736161754E-3</v>
      </c>
      <c r="U34" s="78">
        <f t="shared" si="12"/>
        <v>-5.7000000000000106E-3</v>
      </c>
      <c r="V34" s="80">
        <f t="shared" si="13"/>
        <v>-5.7000000000000106E-3</v>
      </c>
    </row>
    <row r="35" spans="1:22">
      <c r="A35" s="72">
        <v>27</v>
      </c>
      <c r="B35" s="132" t="s">
        <v>59</v>
      </c>
      <c r="C35" s="133" t="s">
        <v>60</v>
      </c>
      <c r="D35" s="9">
        <v>44514190.369999997</v>
      </c>
      <c r="E35" s="3">
        <f t="shared" si="8"/>
        <v>3.9777431935338342E-5</v>
      </c>
      <c r="F35" s="8">
        <v>100</v>
      </c>
      <c r="G35" s="8">
        <v>100</v>
      </c>
      <c r="H35" s="58">
        <v>0</v>
      </c>
      <c r="I35" s="5">
        <v>0</v>
      </c>
      <c r="J35" s="5">
        <v>0</v>
      </c>
      <c r="K35" s="9">
        <v>44514190.369999997</v>
      </c>
      <c r="L35" s="3">
        <f t="shared" si="7"/>
        <v>3.9777431935338342E-5</v>
      </c>
      <c r="M35" s="8">
        <v>100</v>
      </c>
      <c r="N35" s="8">
        <v>100</v>
      </c>
      <c r="O35" s="58">
        <v>0</v>
      </c>
      <c r="P35" s="5">
        <v>0</v>
      </c>
      <c r="Q35" s="5">
        <v>0</v>
      </c>
      <c r="R35" s="77">
        <f t="shared" si="9"/>
        <v>0</v>
      </c>
      <c r="S35" s="77">
        <f t="shared" si="10"/>
        <v>0</v>
      </c>
      <c r="T35" s="77" t="e">
        <f t="shared" si="11"/>
        <v>#DIV/0!</v>
      </c>
      <c r="U35" s="78">
        <f t="shared" si="12"/>
        <v>0</v>
      </c>
      <c r="V35" s="80">
        <f t="shared" si="13"/>
        <v>0</v>
      </c>
    </row>
    <row r="36" spans="1:22">
      <c r="A36" s="72">
        <v>28</v>
      </c>
      <c r="B36" s="132" t="s">
        <v>61</v>
      </c>
      <c r="C36" s="133" t="s">
        <v>62</v>
      </c>
      <c r="D36" s="9">
        <v>5565379604.4899998</v>
      </c>
      <c r="E36" s="3">
        <f t="shared" si="8"/>
        <v>4.9731671310170832E-3</v>
      </c>
      <c r="F36" s="8">
        <v>1</v>
      </c>
      <c r="G36" s="8">
        <v>1</v>
      </c>
      <c r="H36" s="58">
        <v>2381</v>
      </c>
      <c r="I36" s="5">
        <v>0.18659999999999999</v>
      </c>
      <c r="J36" s="5">
        <v>0.18659999999999999</v>
      </c>
      <c r="K36" s="9">
        <v>5559189592.8999996</v>
      </c>
      <c r="L36" s="3">
        <f t="shared" si="7"/>
        <v>4.9676357990383682E-3</v>
      </c>
      <c r="M36" s="8">
        <v>1</v>
      </c>
      <c r="N36" s="8">
        <v>1</v>
      </c>
      <c r="O36" s="58">
        <v>2397</v>
      </c>
      <c r="P36" s="5">
        <v>0.14219999999999999</v>
      </c>
      <c r="Q36" s="5">
        <v>0.14219999999999999</v>
      </c>
      <c r="R36" s="77">
        <f t="shared" si="9"/>
        <v>-1.1122352884978801E-3</v>
      </c>
      <c r="S36" s="77">
        <f t="shared" si="10"/>
        <v>0</v>
      </c>
      <c r="T36" s="77">
        <f t="shared" si="11"/>
        <v>6.7198656026879466E-3</v>
      </c>
      <c r="U36" s="78">
        <f t="shared" si="12"/>
        <v>-4.4399999999999995E-2</v>
      </c>
      <c r="V36" s="80">
        <f t="shared" si="13"/>
        <v>-4.4399999999999995E-2</v>
      </c>
    </row>
    <row r="37" spans="1:22">
      <c r="A37" s="72">
        <v>29</v>
      </c>
      <c r="B37" s="132" t="s">
        <v>63</v>
      </c>
      <c r="C37" s="133" t="s">
        <v>64</v>
      </c>
      <c r="D37" s="9">
        <v>15281383027.799999</v>
      </c>
      <c r="E37" s="3">
        <f t="shared" si="8"/>
        <v>1.3655289879781971E-2</v>
      </c>
      <c r="F37" s="11">
        <v>100</v>
      </c>
      <c r="G37" s="11">
        <v>100</v>
      </c>
      <c r="H37" s="58">
        <v>2779</v>
      </c>
      <c r="I37" s="5">
        <v>0.16880000000000001</v>
      </c>
      <c r="J37" s="5">
        <v>0.16880000000000001</v>
      </c>
      <c r="K37" s="9">
        <v>15432188480.85</v>
      </c>
      <c r="L37" s="3">
        <f t="shared" si="7"/>
        <v>1.379004811292771E-2</v>
      </c>
      <c r="M37" s="11">
        <v>100</v>
      </c>
      <c r="N37" s="11">
        <v>100</v>
      </c>
      <c r="O37" s="58">
        <v>2779</v>
      </c>
      <c r="P37" s="5">
        <v>0.17019999999999999</v>
      </c>
      <c r="Q37" s="5">
        <v>0.17019999999999999</v>
      </c>
      <c r="R37" s="77">
        <f t="shared" si="9"/>
        <v>9.8685735954432141E-3</v>
      </c>
      <c r="S37" s="77">
        <f t="shared" si="10"/>
        <v>0</v>
      </c>
      <c r="T37" s="77">
        <f t="shared" si="11"/>
        <v>0</v>
      </c>
      <c r="U37" s="78">
        <f t="shared" si="12"/>
        <v>1.3999999999999846E-3</v>
      </c>
      <c r="V37" s="80">
        <f t="shared" si="13"/>
        <v>1.3999999999999846E-3</v>
      </c>
    </row>
    <row r="38" spans="1:22">
      <c r="A38" s="72">
        <v>30</v>
      </c>
      <c r="B38" s="132" t="s">
        <v>65</v>
      </c>
      <c r="C38" s="133" t="s">
        <v>64</v>
      </c>
      <c r="D38" s="9">
        <v>536660695.75999999</v>
      </c>
      <c r="E38" s="3">
        <f t="shared" si="8"/>
        <v>4.7955458968318909E-4</v>
      </c>
      <c r="F38" s="11">
        <v>1000000</v>
      </c>
      <c r="G38" s="11">
        <v>1000000</v>
      </c>
      <c r="H38" s="58">
        <v>3</v>
      </c>
      <c r="I38" s="5">
        <v>0.16</v>
      </c>
      <c r="J38" s="5">
        <v>0.16</v>
      </c>
      <c r="K38" s="9">
        <v>526415190.14999998</v>
      </c>
      <c r="L38" s="3">
        <f t="shared" si="7"/>
        <v>4.7039930911630811E-4</v>
      </c>
      <c r="M38" s="11">
        <v>1000000</v>
      </c>
      <c r="N38" s="11">
        <v>1000000</v>
      </c>
      <c r="O38" s="58">
        <v>3</v>
      </c>
      <c r="P38" s="5">
        <v>0.15970000000000001</v>
      </c>
      <c r="Q38" s="5">
        <v>0.15970000000000001</v>
      </c>
      <c r="R38" s="77">
        <f t="shared" si="9"/>
        <v>-1.9091216649452389E-2</v>
      </c>
      <c r="S38" s="77">
        <f t="shared" si="10"/>
        <v>0</v>
      </c>
      <c r="T38" s="77">
        <f t="shared" si="11"/>
        <v>0</v>
      </c>
      <c r="U38" s="78">
        <f t="shared" si="12"/>
        <v>-2.9999999999999472E-4</v>
      </c>
      <c r="V38" s="80">
        <f t="shared" si="13"/>
        <v>-2.9999999999999472E-4</v>
      </c>
    </row>
    <row r="39" spans="1:22">
      <c r="A39" s="72">
        <v>31</v>
      </c>
      <c r="B39" s="132" t="s">
        <v>66</v>
      </c>
      <c r="C39" s="133" t="s">
        <v>67</v>
      </c>
      <c r="D39" s="9">
        <v>3435487913.2399998</v>
      </c>
      <c r="E39" s="3">
        <f t="shared" si="8"/>
        <v>3.0699173791034324E-3</v>
      </c>
      <c r="F39" s="8">
        <v>1</v>
      </c>
      <c r="G39" s="8">
        <v>1</v>
      </c>
      <c r="H39" s="58">
        <v>563</v>
      </c>
      <c r="I39" s="5">
        <v>0.19259999999999999</v>
      </c>
      <c r="J39" s="5">
        <v>0.19259999999999999</v>
      </c>
      <c r="K39" s="9">
        <v>3520050650.7399998</v>
      </c>
      <c r="L39" s="3">
        <f t="shared" si="7"/>
        <v>3.145481789176115E-3</v>
      </c>
      <c r="M39" s="8">
        <v>1</v>
      </c>
      <c r="N39" s="8">
        <v>1</v>
      </c>
      <c r="O39" s="58">
        <v>567</v>
      </c>
      <c r="P39" s="5">
        <v>0.19600000000000001</v>
      </c>
      <c r="Q39" s="5">
        <v>0.19600000000000001</v>
      </c>
      <c r="R39" s="77">
        <f t="shared" si="9"/>
        <v>2.4614476789193269E-2</v>
      </c>
      <c r="S39" s="77">
        <f t="shared" si="10"/>
        <v>0</v>
      </c>
      <c r="T39" s="77">
        <f t="shared" si="11"/>
        <v>7.104795737122558E-3</v>
      </c>
      <c r="U39" s="78">
        <f t="shared" si="12"/>
        <v>3.4000000000000141E-3</v>
      </c>
      <c r="V39" s="80">
        <f t="shared" si="13"/>
        <v>3.4000000000000141E-3</v>
      </c>
    </row>
    <row r="40" spans="1:22">
      <c r="A40" s="72">
        <v>32</v>
      </c>
      <c r="B40" s="132" t="s">
        <v>68</v>
      </c>
      <c r="C40" s="133" t="s">
        <v>27</v>
      </c>
      <c r="D40" s="9">
        <v>234165213324.94</v>
      </c>
      <c r="E40" s="3">
        <f t="shared" si="8"/>
        <v>0.20924767489277338</v>
      </c>
      <c r="F40" s="8">
        <v>100</v>
      </c>
      <c r="G40" s="8">
        <v>100</v>
      </c>
      <c r="H40" s="58">
        <v>15536</v>
      </c>
      <c r="I40" s="5">
        <v>0.21920000000000001</v>
      </c>
      <c r="J40" s="5">
        <v>0.21920000000000001</v>
      </c>
      <c r="K40" s="9">
        <v>263632929929.78</v>
      </c>
      <c r="L40" s="3">
        <f t="shared" si="7"/>
        <v>0.23557972949819253</v>
      </c>
      <c r="M40" s="8">
        <v>100</v>
      </c>
      <c r="N40" s="8">
        <v>100</v>
      </c>
      <c r="O40" s="58">
        <v>14794</v>
      </c>
      <c r="P40" s="5">
        <v>0.21010000000000001</v>
      </c>
      <c r="Q40" s="5">
        <v>0.21010000000000001</v>
      </c>
      <c r="R40" s="77">
        <f t="shared" si="9"/>
        <v>0.12584156368242894</v>
      </c>
      <c r="S40" s="77">
        <f t="shared" si="10"/>
        <v>0</v>
      </c>
      <c r="T40" s="77">
        <f t="shared" si="11"/>
        <v>-4.7760041194644699E-2</v>
      </c>
      <c r="U40" s="78">
        <f t="shared" si="12"/>
        <v>-9.099999999999997E-3</v>
      </c>
      <c r="V40" s="80">
        <f t="shared" si="13"/>
        <v>-9.099999999999997E-3</v>
      </c>
    </row>
    <row r="41" spans="1:22">
      <c r="A41" s="72">
        <v>33</v>
      </c>
      <c r="B41" s="132" t="s">
        <v>69</v>
      </c>
      <c r="C41" s="133" t="s">
        <v>70</v>
      </c>
      <c r="D41" s="9">
        <v>585949695.38999999</v>
      </c>
      <c r="E41" s="3">
        <f t="shared" si="8"/>
        <v>5.2359874305645958E-4</v>
      </c>
      <c r="F41" s="8">
        <v>1</v>
      </c>
      <c r="G41" s="8">
        <v>1</v>
      </c>
      <c r="H41" s="59">
        <v>555</v>
      </c>
      <c r="I41" s="12">
        <v>0.1716</v>
      </c>
      <c r="J41" s="12">
        <v>0.1716</v>
      </c>
      <c r="K41" s="9">
        <v>590291393.65999997</v>
      </c>
      <c r="L41" s="3">
        <f t="shared" si="7"/>
        <v>5.2747844087828251E-4</v>
      </c>
      <c r="M41" s="8">
        <v>1</v>
      </c>
      <c r="N41" s="8">
        <v>1</v>
      </c>
      <c r="O41" s="59">
        <v>577</v>
      </c>
      <c r="P41" s="12">
        <v>0.16650000000000001</v>
      </c>
      <c r="Q41" s="12">
        <v>0.16650000000000001</v>
      </c>
      <c r="R41" s="77">
        <f t="shared" si="9"/>
        <v>7.4096774930656924E-3</v>
      </c>
      <c r="S41" s="77">
        <f t="shared" si="10"/>
        <v>0</v>
      </c>
      <c r="T41" s="77">
        <f t="shared" si="11"/>
        <v>3.9639639639639637E-2</v>
      </c>
      <c r="U41" s="78">
        <f t="shared" si="12"/>
        <v>-5.0999999999999934E-3</v>
      </c>
      <c r="V41" s="80">
        <f t="shared" si="13"/>
        <v>-5.0999999999999934E-3</v>
      </c>
    </row>
    <row r="42" spans="1:22">
      <c r="A42" s="72">
        <v>34</v>
      </c>
      <c r="B42" s="132" t="s">
        <v>71</v>
      </c>
      <c r="C42" s="133" t="s">
        <v>72</v>
      </c>
      <c r="D42" s="9">
        <v>631024242.27933311</v>
      </c>
      <c r="E42" s="3">
        <f t="shared" si="8"/>
        <v>5.6387690393063807E-4</v>
      </c>
      <c r="F42" s="8">
        <v>10</v>
      </c>
      <c r="G42" s="8">
        <v>10</v>
      </c>
      <c r="H42" s="58">
        <v>361</v>
      </c>
      <c r="I42" s="5">
        <v>0.1545</v>
      </c>
      <c r="J42" s="5">
        <v>0.1545</v>
      </c>
      <c r="K42" s="9">
        <v>711530656.05999994</v>
      </c>
      <c r="L42" s="3">
        <f t="shared" si="7"/>
        <v>6.3581662400419129E-4</v>
      </c>
      <c r="M42" s="8">
        <v>10</v>
      </c>
      <c r="N42" s="8">
        <v>10</v>
      </c>
      <c r="O42" s="58">
        <v>362</v>
      </c>
      <c r="P42" s="5">
        <v>0.15640000000000001</v>
      </c>
      <c r="Q42" s="5">
        <v>0.15640000000000001</v>
      </c>
      <c r="R42" s="77">
        <f t="shared" si="9"/>
        <v>0.12758054031310789</v>
      </c>
      <c r="S42" s="77">
        <f t="shared" si="10"/>
        <v>0</v>
      </c>
      <c r="T42" s="77">
        <f t="shared" si="11"/>
        <v>2.7700831024930748E-3</v>
      </c>
      <c r="U42" s="78">
        <f t="shared" si="12"/>
        <v>1.9000000000000128E-3</v>
      </c>
      <c r="V42" s="80">
        <f t="shared" si="13"/>
        <v>1.9000000000000128E-3</v>
      </c>
    </row>
    <row r="43" spans="1:22">
      <c r="A43" s="72">
        <v>35</v>
      </c>
      <c r="B43" s="132" t="s">
        <v>73</v>
      </c>
      <c r="C43" s="133" t="s">
        <v>74</v>
      </c>
      <c r="D43" s="9">
        <v>3305284525.52</v>
      </c>
      <c r="E43" s="3">
        <f t="shared" si="8"/>
        <v>2.9535689439250355E-3</v>
      </c>
      <c r="F43" s="8">
        <v>100</v>
      </c>
      <c r="G43" s="8">
        <v>100</v>
      </c>
      <c r="H43" s="58">
        <v>644</v>
      </c>
      <c r="I43" s="5">
        <v>0.18920000000000001</v>
      </c>
      <c r="J43" s="5">
        <v>0.18920000000000001</v>
      </c>
      <c r="K43" s="9">
        <v>3490935670.2600002</v>
      </c>
      <c r="L43" s="3">
        <f t="shared" si="7"/>
        <v>3.1194649360172535E-3</v>
      </c>
      <c r="M43" s="8">
        <v>100</v>
      </c>
      <c r="N43" s="8">
        <v>100</v>
      </c>
      <c r="O43" s="58">
        <v>644</v>
      </c>
      <c r="P43" s="5">
        <v>0.1837</v>
      </c>
      <c r="Q43" s="5">
        <v>0.1837</v>
      </c>
      <c r="R43" s="77">
        <f t="shared" si="9"/>
        <v>5.616797685845E-2</v>
      </c>
      <c r="S43" s="77">
        <f t="shared" si="10"/>
        <v>0</v>
      </c>
      <c r="T43" s="77">
        <f t="shared" si="11"/>
        <v>0</v>
      </c>
      <c r="U43" s="78">
        <f t="shared" si="12"/>
        <v>-5.5000000000000049E-3</v>
      </c>
      <c r="V43" s="80">
        <f t="shared" si="13"/>
        <v>-5.5000000000000049E-3</v>
      </c>
    </row>
    <row r="44" spans="1:22" ht="15.75" customHeight="1">
      <c r="A44" s="72">
        <v>36</v>
      </c>
      <c r="B44" s="132" t="s">
        <v>238</v>
      </c>
      <c r="C44" s="133" t="s">
        <v>32</v>
      </c>
      <c r="D44" s="9">
        <v>26018884992.880001</v>
      </c>
      <c r="E44" s="3">
        <f t="shared" si="8"/>
        <v>2.3250213431606898E-2</v>
      </c>
      <c r="F44" s="8">
        <v>100</v>
      </c>
      <c r="G44" s="8">
        <v>100</v>
      </c>
      <c r="H44" s="58">
        <v>12340</v>
      </c>
      <c r="I44" s="5">
        <v>0.20660000000000001</v>
      </c>
      <c r="J44" s="5">
        <v>0.20660000000000001</v>
      </c>
      <c r="K44" s="9">
        <v>26023131261.549999</v>
      </c>
      <c r="L44" s="3">
        <f t="shared" si="7"/>
        <v>2.3254007854499825E-2</v>
      </c>
      <c r="M44" s="8">
        <v>100</v>
      </c>
      <c r="N44" s="8">
        <v>100</v>
      </c>
      <c r="O44" s="58">
        <v>11556</v>
      </c>
      <c r="P44" s="5">
        <v>0.20212115</v>
      </c>
      <c r="Q44" s="5">
        <v>0.20212115</v>
      </c>
      <c r="R44" s="77">
        <f t="shared" si="9"/>
        <v>1.6319948649452692E-4</v>
      </c>
      <c r="S44" s="77">
        <f t="shared" si="10"/>
        <v>0</v>
      </c>
      <c r="T44" s="77">
        <f t="shared" si="11"/>
        <v>-6.3533225283630465E-2</v>
      </c>
      <c r="U44" s="78">
        <f t="shared" si="12"/>
        <v>-4.4788500000000064E-3</v>
      </c>
      <c r="V44" s="80">
        <f t="shared" si="13"/>
        <v>-4.4788500000000064E-3</v>
      </c>
    </row>
    <row r="45" spans="1:22">
      <c r="A45" s="72">
        <v>37</v>
      </c>
      <c r="B45" s="132" t="s">
        <v>75</v>
      </c>
      <c r="C45" s="133" t="s">
        <v>34</v>
      </c>
      <c r="D45" s="9">
        <v>3606831856.5900002</v>
      </c>
      <c r="E45" s="3">
        <f t="shared" si="8"/>
        <v>3.2230286002103638E-3</v>
      </c>
      <c r="F45" s="8">
        <v>1</v>
      </c>
      <c r="G45" s="8">
        <v>1</v>
      </c>
      <c r="H45" s="58">
        <v>940</v>
      </c>
      <c r="I45" s="5">
        <v>0.1651</v>
      </c>
      <c r="J45" s="5">
        <v>0.1651</v>
      </c>
      <c r="K45" s="9">
        <v>3927260963.6399999</v>
      </c>
      <c r="L45" s="3">
        <f t="shared" si="7"/>
        <v>3.5093608212356073E-3</v>
      </c>
      <c r="M45" s="8">
        <v>1</v>
      </c>
      <c r="N45" s="8">
        <v>1</v>
      </c>
      <c r="O45" s="58">
        <v>946</v>
      </c>
      <c r="P45" s="5">
        <v>0.16900000000000001</v>
      </c>
      <c r="Q45" s="5">
        <v>0.16900000000000001</v>
      </c>
      <c r="R45" s="77">
        <f t="shared" si="9"/>
        <v>8.8839491218462949E-2</v>
      </c>
      <c r="S45" s="77">
        <f t="shared" si="10"/>
        <v>0</v>
      </c>
      <c r="T45" s="77">
        <f t="shared" si="11"/>
        <v>6.382978723404255E-3</v>
      </c>
      <c r="U45" s="78">
        <f t="shared" si="12"/>
        <v>3.9000000000000146E-3</v>
      </c>
      <c r="V45" s="80">
        <f t="shared" si="13"/>
        <v>3.9000000000000146E-3</v>
      </c>
    </row>
    <row r="46" spans="1:22">
      <c r="A46" s="72">
        <v>38</v>
      </c>
      <c r="B46" s="132" t="s">
        <v>76</v>
      </c>
      <c r="C46" s="133" t="s">
        <v>36</v>
      </c>
      <c r="D46" s="13">
        <v>5832930718.8400002</v>
      </c>
      <c r="E46" s="3">
        <f t="shared" si="8"/>
        <v>5.2122481106287779E-3</v>
      </c>
      <c r="F46" s="8">
        <v>10</v>
      </c>
      <c r="G46" s="8">
        <v>10</v>
      </c>
      <c r="H46" s="58">
        <v>2167</v>
      </c>
      <c r="I46" s="5">
        <v>0.2223</v>
      </c>
      <c r="J46" s="5">
        <v>0.2223</v>
      </c>
      <c r="K46" s="13">
        <v>5987281914.1599998</v>
      </c>
      <c r="L46" s="3">
        <f t="shared" si="7"/>
        <v>5.3501747833357627E-3</v>
      </c>
      <c r="M46" s="8">
        <v>10</v>
      </c>
      <c r="N46" s="8">
        <v>10</v>
      </c>
      <c r="O46" s="58">
        <v>2212</v>
      </c>
      <c r="P46" s="5">
        <v>0.2258</v>
      </c>
      <c r="Q46" s="5">
        <v>0.2258</v>
      </c>
      <c r="R46" s="77">
        <f t="shared" si="9"/>
        <v>2.6462031311542074E-2</v>
      </c>
      <c r="S46" s="77">
        <f t="shared" si="10"/>
        <v>0</v>
      </c>
      <c r="T46" s="77">
        <f t="shared" si="11"/>
        <v>2.076603599446239E-2</v>
      </c>
      <c r="U46" s="78">
        <f t="shared" si="12"/>
        <v>3.5000000000000031E-3</v>
      </c>
      <c r="V46" s="80">
        <f t="shared" si="13"/>
        <v>3.5000000000000031E-3</v>
      </c>
    </row>
    <row r="47" spans="1:22">
      <c r="A47" s="72">
        <v>39</v>
      </c>
      <c r="B47" s="132" t="s">
        <v>77</v>
      </c>
      <c r="C47" s="133" t="s">
        <v>78</v>
      </c>
      <c r="D47" s="9">
        <v>5977100641.4099998</v>
      </c>
      <c r="E47" s="3">
        <f t="shared" si="8"/>
        <v>5.3410769006052893E-3</v>
      </c>
      <c r="F47" s="8">
        <v>100</v>
      </c>
      <c r="G47" s="8">
        <v>100</v>
      </c>
      <c r="H47" s="58">
        <v>2394</v>
      </c>
      <c r="I47" s="5">
        <v>0.17610000000000001</v>
      </c>
      <c r="J47" s="5">
        <v>0.17610000000000001</v>
      </c>
      <c r="K47" s="9">
        <v>6028134742.6099997</v>
      </c>
      <c r="L47" s="3">
        <f t="shared" si="7"/>
        <v>5.3866804591557391E-3</v>
      </c>
      <c r="M47" s="8">
        <v>100</v>
      </c>
      <c r="N47" s="8">
        <v>100</v>
      </c>
      <c r="O47" s="58">
        <v>2438</v>
      </c>
      <c r="P47" s="5">
        <v>0.18540000000000001</v>
      </c>
      <c r="Q47" s="5">
        <v>0.18540000000000001</v>
      </c>
      <c r="R47" s="77">
        <f t="shared" si="9"/>
        <v>8.5382703524230514E-3</v>
      </c>
      <c r="S47" s="77">
        <f t="shared" si="10"/>
        <v>0</v>
      </c>
      <c r="T47" s="77">
        <f t="shared" si="11"/>
        <v>1.8379281537176273E-2</v>
      </c>
      <c r="U47" s="78">
        <f t="shared" si="12"/>
        <v>9.3000000000000027E-3</v>
      </c>
      <c r="V47" s="80">
        <f t="shared" si="13"/>
        <v>9.3000000000000027E-3</v>
      </c>
    </row>
    <row r="48" spans="1:22">
      <c r="A48" s="72">
        <v>40</v>
      </c>
      <c r="B48" s="132" t="s">
        <v>79</v>
      </c>
      <c r="C48" s="133" t="s">
        <v>80</v>
      </c>
      <c r="D48" s="9">
        <v>159827792.97999999</v>
      </c>
      <c r="E48" s="3">
        <f t="shared" si="8"/>
        <v>1.4282050518708102E-4</v>
      </c>
      <c r="F48" s="8">
        <v>1</v>
      </c>
      <c r="G48" s="8">
        <v>1</v>
      </c>
      <c r="H48" s="58">
        <v>74</v>
      </c>
      <c r="I48" s="5">
        <v>0.17230000000000001</v>
      </c>
      <c r="J48" s="5">
        <v>0.17230000000000001</v>
      </c>
      <c r="K48" s="9">
        <v>165744938</v>
      </c>
      <c r="L48" s="3">
        <f t="shared" si="7"/>
        <v>1.4810800634858034E-4</v>
      </c>
      <c r="M48" s="8">
        <v>1</v>
      </c>
      <c r="N48" s="8">
        <v>1</v>
      </c>
      <c r="O48" s="58">
        <v>77</v>
      </c>
      <c r="P48" s="5">
        <v>0.1706</v>
      </c>
      <c r="Q48" s="5">
        <v>0.1706</v>
      </c>
      <c r="R48" s="77">
        <f t="shared" si="9"/>
        <v>3.7022002929993851E-2</v>
      </c>
      <c r="S48" s="77">
        <f t="shared" si="10"/>
        <v>0</v>
      </c>
      <c r="T48" s="77">
        <f t="shared" si="11"/>
        <v>4.0540540540540543E-2</v>
      </c>
      <c r="U48" s="78">
        <f t="shared" si="12"/>
        <v>-1.7000000000000071E-3</v>
      </c>
      <c r="V48" s="80">
        <f t="shared" si="13"/>
        <v>-1.7000000000000071E-3</v>
      </c>
    </row>
    <row r="49" spans="1:22">
      <c r="A49" s="72">
        <v>41</v>
      </c>
      <c r="B49" s="132" t="s">
        <v>81</v>
      </c>
      <c r="C49" s="133" t="s">
        <v>38</v>
      </c>
      <c r="D49" s="13">
        <v>749812868.17999995</v>
      </c>
      <c r="E49" s="3">
        <f t="shared" si="8"/>
        <v>6.7002522297634614E-4</v>
      </c>
      <c r="F49" s="8">
        <v>10</v>
      </c>
      <c r="G49" s="8">
        <v>10</v>
      </c>
      <c r="H49" s="58">
        <v>705</v>
      </c>
      <c r="I49" s="5">
        <v>0.17649999999999999</v>
      </c>
      <c r="J49" s="5">
        <v>0.17649999999999999</v>
      </c>
      <c r="K49" s="13">
        <v>749812868.17999995</v>
      </c>
      <c r="L49" s="3">
        <f t="shared" si="7"/>
        <v>6.7002522297634614E-4</v>
      </c>
      <c r="M49" s="8">
        <v>10</v>
      </c>
      <c r="N49" s="8">
        <v>10</v>
      </c>
      <c r="O49" s="58">
        <v>705</v>
      </c>
      <c r="P49" s="5">
        <v>0.17649999999999999</v>
      </c>
      <c r="Q49" s="5">
        <v>0.17649999999999999</v>
      </c>
      <c r="R49" s="77">
        <f t="shared" si="9"/>
        <v>0</v>
      </c>
      <c r="S49" s="77">
        <f t="shared" si="10"/>
        <v>0</v>
      </c>
      <c r="T49" s="77">
        <f t="shared" si="11"/>
        <v>0</v>
      </c>
      <c r="U49" s="78">
        <f t="shared" si="12"/>
        <v>0</v>
      </c>
      <c r="V49" s="80">
        <f t="shared" si="13"/>
        <v>0</v>
      </c>
    </row>
    <row r="50" spans="1:22">
      <c r="A50" s="72">
        <v>42</v>
      </c>
      <c r="B50" s="132" t="s">
        <v>246</v>
      </c>
      <c r="C50" s="133" t="s">
        <v>247</v>
      </c>
      <c r="D50" s="13">
        <v>618939953.33000004</v>
      </c>
      <c r="E50" s="3">
        <f t="shared" si="8"/>
        <v>5.530785051015535E-4</v>
      </c>
      <c r="F50" s="8">
        <v>1</v>
      </c>
      <c r="G50" s="8">
        <v>1</v>
      </c>
      <c r="H50" s="58">
        <v>47</v>
      </c>
      <c r="I50" s="5">
        <v>0.1973</v>
      </c>
      <c r="J50" s="5">
        <v>0.1973</v>
      </c>
      <c r="K50" s="13">
        <v>620359953.33000004</v>
      </c>
      <c r="L50" s="3">
        <f t="shared" si="7"/>
        <v>5.5434740279190092E-4</v>
      </c>
      <c r="M50" s="8">
        <v>1</v>
      </c>
      <c r="N50" s="8">
        <v>1</v>
      </c>
      <c r="O50" s="58">
        <v>45</v>
      </c>
      <c r="P50" s="5">
        <v>0.1973</v>
      </c>
      <c r="Q50" s="5">
        <v>0.1973</v>
      </c>
      <c r="R50" s="77">
        <f t="shared" si="9"/>
        <v>2.2942451725085178E-3</v>
      </c>
      <c r="S50" s="77">
        <f t="shared" si="10"/>
        <v>0</v>
      </c>
      <c r="T50" s="77">
        <f t="shared" si="11"/>
        <v>-4.2553191489361701E-2</v>
      </c>
      <c r="U50" s="78">
        <f t="shared" si="12"/>
        <v>0</v>
      </c>
      <c r="V50" s="80">
        <f t="shared" si="13"/>
        <v>0</v>
      </c>
    </row>
    <row r="51" spans="1:22">
      <c r="A51" s="72">
        <v>43</v>
      </c>
      <c r="B51" s="132" t="s">
        <v>275</v>
      </c>
      <c r="C51" s="133" t="s">
        <v>108</v>
      </c>
      <c r="D51" s="13">
        <v>50095970.780000001</v>
      </c>
      <c r="E51" s="3">
        <f t="shared" si="8"/>
        <v>4.4765254660884634E-5</v>
      </c>
      <c r="F51" s="8">
        <v>1000</v>
      </c>
      <c r="G51" s="8">
        <v>1000</v>
      </c>
      <c r="H51" s="58">
        <v>2</v>
      </c>
      <c r="I51" s="5">
        <v>0</v>
      </c>
      <c r="J51" s="5">
        <v>2.0199999999999999E-2</v>
      </c>
      <c r="K51" s="13">
        <v>50095970.780000001</v>
      </c>
      <c r="L51" s="3">
        <f t="shared" si="7"/>
        <v>4.4765254660884634E-5</v>
      </c>
      <c r="M51" s="8">
        <v>1000</v>
      </c>
      <c r="N51" s="8">
        <v>1000</v>
      </c>
      <c r="O51" s="58">
        <v>2</v>
      </c>
      <c r="P51" s="5">
        <v>0</v>
      </c>
      <c r="Q51" s="5">
        <v>2.01E-2</v>
      </c>
      <c r="R51" s="77">
        <f t="shared" si="9"/>
        <v>0</v>
      </c>
      <c r="S51" s="77">
        <f t="shared" si="10"/>
        <v>0</v>
      </c>
      <c r="T51" s="77">
        <f t="shared" si="11"/>
        <v>0</v>
      </c>
      <c r="U51" s="78">
        <f t="shared" si="12"/>
        <v>0</v>
      </c>
      <c r="V51" s="80">
        <f t="shared" si="13"/>
        <v>-9.9999999999999395E-5</v>
      </c>
    </row>
    <row r="52" spans="1:22">
      <c r="A52" s="72">
        <v>44</v>
      </c>
      <c r="B52" s="132" t="s">
        <v>82</v>
      </c>
      <c r="C52" s="133" t="s">
        <v>42</v>
      </c>
      <c r="D52" s="9">
        <v>484332400517.69</v>
      </c>
      <c r="E52" s="3">
        <f t="shared" si="8"/>
        <v>0.43279455237840919</v>
      </c>
      <c r="F52" s="8">
        <v>100</v>
      </c>
      <c r="G52" s="8">
        <v>100</v>
      </c>
      <c r="H52" s="58">
        <v>124745</v>
      </c>
      <c r="I52" s="5">
        <v>0.1973</v>
      </c>
      <c r="J52" s="5">
        <v>0.1973</v>
      </c>
      <c r="K52" s="9">
        <v>495550092933.67999</v>
      </c>
      <c r="L52" s="3">
        <f t="shared" si="7"/>
        <v>0.44281856927818242</v>
      </c>
      <c r="M52" s="8">
        <v>100</v>
      </c>
      <c r="N52" s="8">
        <v>100</v>
      </c>
      <c r="O52" s="58">
        <v>125780</v>
      </c>
      <c r="P52" s="5">
        <v>0.1993</v>
      </c>
      <c r="Q52" s="5">
        <v>0.1993</v>
      </c>
      <c r="R52" s="77">
        <f t="shared" si="9"/>
        <v>2.3161143883827919E-2</v>
      </c>
      <c r="S52" s="77">
        <f t="shared" si="10"/>
        <v>0</v>
      </c>
      <c r="T52" s="77">
        <f t="shared" si="11"/>
        <v>8.2969257284861118E-3</v>
      </c>
      <c r="U52" s="78">
        <f t="shared" si="12"/>
        <v>2.0000000000000018E-3</v>
      </c>
      <c r="V52" s="80">
        <f t="shared" si="13"/>
        <v>2.0000000000000018E-3</v>
      </c>
    </row>
    <row r="53" spans="1:22">
      <c r="A53" s="72">
        <v>45</v>
      </c>
      <c r="B53" s="132" t="s">
        <v>273</v>
      </c>
      <c r="C53" s="132" t="s">
        <v>272</v>
      </c>
      <c r="D53" s="9">
        <v>433636401.99000001</v>
      </c>
      <c r="E53" s="3">
        <f t="shared" si="8"/>
        <v>3.8749311896880045E-4</v>
      </c>
      <c r="F53" s="8">
        <v>100</v>
      </c>
      <c r="G53" s="8">
        <v>100</v>
      </c>
      <c r="H53" s="58">
        <v>68</v>
      </c>
      <c r="I53" s="5">
        <v>0.19109999999999999</v>
      </c>
      <c r="J53" s="5">
        <v>0.19109999999999999</v>
      </c>
      <c r="K53" s="9">
        <v>459795792.44</v>
      </c>
      <c r="L53" s="3">
        <f t="shared" si="7"/>
        <v>4.1086888666098535E-4</v>
      </c>
      <c r="M53" s="8">
        <v>100</v>
      </c>
      <c r="N53" s="8">
        <v>100</v>
      </c>
      <c r="O53" s="58">
        <v>75</v>
      </c>
      <c r="P53" s="5">
        <v>0.18740000000000001</v>
      </c>
      <c r="Q53" s="5">
        <v>0.18740000000000001</v>
      </c>
      <c r="R53" s="77">
        <f t="shared" si="9"/>
        <v>6.0325633018704097E-2</v>
      </c>
      <c r="S53" s="77">
        <f t="shared" si="10"/>
        <v>0</v>
      </c>
      <c r="T53" s="77">
        <f t="shared" si="11"/>
        <v>0.10294117647058823</v>
      </c>
      <c r="U53" s="78">
        <f t="shared" si="12"/>
        <v>-3.6999999999999811E-3</v>
      </c>
      <c r="V53" s="80">
        <f t="shared" si="13"/>
        <v>-3.6999999999999811E-3</v>
      </c>
    </row>
    <row r="54" spans="1:22">
      <c r="A54" s="72">
        <v>46</v>
      </c>
      <c r="B54" s="132" t="s">
        <v>83</v>
      </c>
      <c r="C54" s="133" t="s">
        <v>84</v>
      </c>
      <c r="D54" s="9">
        <v>3629946735.52</v>
      </c>
      <c r="E54" s="3">
        <f t="shared" si="8"/>
        <v>3.2436838230884891E-3</v>
      </c>
      <c r="F54" s="8">
        <v>1</v>
      </c>
      <c r="G54" s="8">
        <v>1</v>
      </c>
      <c r="H54" s="58">
        <v>362</v>
      </c>
      <c r="I54" s="5">
        <v>0.2037462478</v>
      </c>
      <c r="J54" s="5">
        <v>0.2037462478</v>
      </c>
      <c r="K54" s="9">
        <v>3690255353.1500001</v>
      </c>
      <c r="L54" s="3">
        <f t="shared" si="7"/>
        <v>3.2975749960594439E-3</v>
      </c>
      <c r="M54" s="8">
        <v>1</v>
      </c>
      <c r="N54" s="8">
        <v>1</v>
      </c>
      <c r="O54" s="58">
        <v>374</v>
      </c>
      <c r="P54" s="5">
        <v>0.1916193551</v>
      </c>
      <c r="Q54" s="5">
        <v>0.1916193551</v>
      </c>
      <c r="R54" s="77">
        <f t="shared" si="9"/>
        <v>1.6614188037489409E-2</v>
      </c>
      <c r="S54" s="77">
        <f t="shared" si="10"/>
        <v>0</v>
      </c>
      <c r="T54" s="77">
        <f t="shared" si="11"/>
        <v>3.3149171270718231E-2</v>
      </c>
      <c r="U54" s="78">
        <f t="shared" si="12"/>
        <v>-1.2126892700000003E-2</v>
      </c>
      <c r="V54" s="80">
        <f t="shared" si="13"/>
        <v>-1.2126892700000003E-2</v>
      </c>
    </row>
    <row r="55" spans="1:22">
      <c r="A55" s="72">
        <v>47</v>
      </c>
      <c r="B55" s="132" t="s">
        <v>85</v>
      </c>
      <c r="C55" s="133" t="s">
        <v>45</v>
      </c>
      <c r="D55" s="9">
        <v>38648546279.309998</v>
      </c>
      <c r="E55" s="3">
        <f t="shared" si="8"/>
        <v>3.4535951485284253E-2</v>
      </c>
      <c r="F55" s="8">
        <v>1</v>
      </c>
      <c r="G55" s="8">
        <v>1</v>
      </c>
      <c r="H55" s="58">
        <v>24171</v>
      </c>
      <c r="I55" s="5">
        <v>0.1943</v>
      </c>
      <c r="J55" s="5">
        <v>0.1943</v>
      </c>
      <c r="K55" s="9">
        <v>41032459676.050003</v>
      </c>
      <c r="L55" s="3">
        <f t="shared" si="7"/>
        <v>3.6666192473391132E-2</v>
      </c>
      <c r="M55" s="8">
        <v>1</v>
      </c>
      <c r="N55" s="8">
        <v>1</v>
      </c>
      <c r="O55" s="58">
        <v>24161</v>
      </c>
      <c r="P55" s="5">
        <v>0.18790000000000001</v>
      </c>
      <c r="Q55" s="5">
        <v>0.18790000000000001</v>
      </c>
      <c r="R55" s="77">
        <f t="shared" si="9"/>
        <v>6.1681838678010067E-2</v>
      </c>
      <c r="S55" s="77">
        <f t="shared" si="10"/>
        <v>0</v>
      </c>
      <c r="T55" s="77">
        <f t="shared" si="11"/>
        <v>-4.1371891936618262E-4</v>
      </c>
      <c r="U55" s="78">
        <f t="shared" si="12"/>
        <v>-6.399999999999989E-3</v>
      </c>
      <c r="V55" s="80">
        <f t="shared" si="13"/>
        <v>-6.399999999999989E-3</v>
      </c>
    </row>
    <row r="56" spans="1:22">
      <c r="A56" s="72">
        <v>48</v>
      </c>
      <c r="B56" s="132" t="s">
        <v>86</v>
      </c>
      <c r="C56" s="133" t="s">
        <v>87</v>
      </c>
      <c r="D56" s="9">
        <v>1328370820.77</v>
      </c>
      <c r="E56" s="3">
        <f t="shared" si="8"/>
        <v>1.1870187791549447E-3</v>
      </c>
      <c r="F56" s="8">
        <v>1</v>
      </c>
      <c r="G56" s="8">
        <v>1</v>
      </c>
      <c r="H56" s="58">
        <v>92</v>
      </c>
      <c r="I56" s="5">
        <v>0.1807</v>
      </c>
      <c r="J56" s="5">
        <v>0.1807</v>
      </c>
      <c r="K56" s="9">
        <v>1332753870.45</v>
      </c>
      <c r="L56" s="3">
        <f t="shared" si="7"/>
        <v>1.1909354281800365E-3</v>
      </c>
      <c r="M56" s="8">
        <v>1</v>
      </c>
      <c r="N56" s="8">
        <v>1</v>
      </c>
      <c r="O56" s="58">
        <v>93</v>
      </c>
      <c r="P56" s="5">
        <v>0.1789</v>
      </c>
      <c r="Q56" s="5">
        <v>0.1789</v>
      </c>
      <c r="R56" s="77">
        <f t="shared" si="9"/>
        <v>3.2995678702573425E-3</v>
      </c>
      <c r="S56" s="77">
        <f t="shared" si="10"/>
        <v>0</v>
      </c>
      <c r="T56" s="77">
        <f t="shared" si="11"/>
        <v>1.0869565217391304E-2</v>
      </c>
      <c r="U56" s="78">
        <f t="shared" si="12"/>
        <v>-1.799999999999996E-3</v>
      </c>
      <c r="V56" s="80">
        <f t="shared" si="13"/>
        <v>-1.799999999999996E-3</v>
      </c>
    </row>
    <row r="57" spans="1:22">
      <c r="A57" s="72">
        <v>49</v>
      </c>
      <c r="B57" s="132" t="s">
        <v>88</v>
      </c>
      <c r="C57" s="133" t="s">
        <v>89</v>
      </c>
      <c r="D57" s="9">
        <v>1885249470.3</v>
      </c>
      <c r="E57" s="3">
        <f t="shared" si="8"/>
        <v>1.6846399285862358E-3</v>
      </c>
      <c r="F57" s="8">
        <v>1</v>
      </c>
      <c r="G57" s="8">
        <v>1</v>
      </c>
      <c r="H57" s="58">
        <v>252</v>
      </c>
      <c r="I57" s="5">
        <v>0.19889999999999999</v>
      </c>
      <c r="J57" s="5">
        <v>0.19889999999999999</v>
      </c>
      <c r="K57" s="9">
        <v>1929432477.1900001</v>
      </c>
      <c r="L57" s="3">
        <f t="shared" si="7"/>
        <v>1.7241214183012551E-3</v>
      </c>
      <c r="M57" s="8">
        <v>1</v>
      </c>
      <c r="N57" s="8">
        <v>1</v>
      </c>
      <c r="O57" s="58">
        <v>273</v>
      </c>
      <c r="P57" s="5">
        <v>0.19489999999999999</v>
      </c>
      <c r="Q57" s="5">
        <v>0.19489999999999999</v>
      </c>
      <c r="R57" s="77">
        <f t="shared" si="9"/>
        <v>2.343615929141158E-2</v>
      </c>
      <c r="S57" s="77">
        <f t="shared" si="10"/>
        <v>0</v>
      </c>
      <c r="T57" s="77">
        <f t="shared" si="11"/>
        <v>8.3333333333333329E-2</v>
      </c>
      <c r="U57" s="78">
        <f t="shared" si="12"/>
        <v>-4.0000000000000036E-3</v>
      </c>
      <c r="V57" s="80">
        <f t="shared" si="13"/>
        <v>-4.0000000000000036E-3</v>
      </c>
    </row>
    <row r="58" spans="1:22">
      <c r="A58" s="72">
        <v>50</v>
      </c>
      <c r="B58" s="132" t="s">
        <v>259</v>
      </c>
      <c r="C58" s="133" t="s">
        <v>260</v>
      </c>
      <c r="D58" s="9">
        <v>790071563.87</v>
      </c>
      <c r="E58" s="3">
        <f t="shared" si="8"/>
        <v>7.05999987749193E-4</v>
      </c>
      <c r="F58" s="8">
        <v>1</v>
      </c>
      <c r="G58" s="8">
        <v>1</v>
      </c>
      <c r="H58" s="58">
        <v>894</v>
      </c>
      <c r="I58" s="5">
        <v>0.18148749439329295</v>
      </c>
      <c r="J58" s="5">
        <v>0.18148749439329295</v>
      </c>
      <c r="K58" s="9">
        <v>974247938.20000005</v>
      </c>
      <c r="L58" s="3">
        <f t="shared" si="7"/>
        <v>8.7057813986462086E-4</v>
      </c>
      <c r="M58" s="8">
        <v>1</v>
      </c>
      <c r="N58" s="8">
        <v>1</v>
      </c>
      <c r="O58" s="58">
        <v>928</v>
      </c>
      <c r="P58" s="5">
        <v>0.19</v>
      </c>
      <c r="Q58" s="5">
        <v>0.19</v>
      </c>
      <c r="R58" s="77">
        <f t="shared" si="9"/>
        <v>0.23311353395362144</v>
      </c>
      <c r="S58" s="77">
        <f t="shared" si="10"/>
        <v>0</v>
      </c>
      <c r="T58" s="77">
        <f t="shared" si="11"/>
        <v>3.803131991051454E-2</v>
      </c>
      <c r="U58" s="78">
        <f t="shared" si="12"/>
        <v>8.5125056067070493E-3</v>
      </c>
      <c r="V58" s="80">
        <f t="shared" si="13"/>
        <v>8.5125056067070493E-3</v>
      </c>
    </row>
    <row r="59" spans="1:22">
      <c r="A59" s="72">
        <v>51</v>
      </c>
      <c r="B59" s="132" t="s">
        <v>90</v>
      </c>
      <c r="C59" s="133" t="s">
        <v>91</v>
      </c>
      <c r="D59" s="9">
        <v>33310312102.150002</v>
      </c>
      <c r="E59" s="3">
        <f t="shared" si="8"/>
        <v>2.9765759219134793E-2</v>
      </c>
      <c r="F59" s="8">
        <v>1</v>
      </c>
      <c r="G59" s="8">
        <v>1</v>
      </c>
      <c r="H59" s="58">
        <v>3580</v>
      </c>
      <c r="I59" s="5">
        <v>0.19950000000000001</v>
      </c>
      <c r="J59" s="5">
        <v>0.19950000000000001</v>
      </c>
      <c r="K59" s="9">
        <v>33981169992.57</v>
      </c>
      <c r="L59" s="3">
        <f t="shared" si="7"/>
        <v>3.0365231069631491E-2</v>
      </c>
      <c r="M59" s="8">
        <v>1</v>
      </c>
      <c r="N59" s="8">
        <v>1</v>
      </c>
      <c r="O59" s="58">
        <v>3652</v>
      </c>
      <c r="P59" s="5">
        <v>0.19919999999999999</v>
      </c>
      <c r="Q59" s="5">
        <v>0.19919999999999999</v>
      </c>
      <c r="R59" s="77">
        <f t="shared" si="9"/>
        <v>2.0139645895923559E-2</v>
      </c>
      <c r="S59" s="77">
        <f t="shared" si="10"/>
        <v>0</v>
      </c>
      <c r="T59" s="77">
        <f t="shared" si="11"/>
        <v>2.0111731843575419E-2</v>
      </c>
      <c r="U59" s="78">
        <f t="shared" si="12"/>
        <v>-3.0000000000002247E-4</v>
      </c>
      <c r="V59" s="80">
        <f t="shared" si="13"/>
        <v>-3.0000000000002247E-4</v>
      </c>
    </row>
    <row r="60" spans="1:22">
      <c r="A60" s="72"/>
      <c r="B60" s="152"/>
      <c r="C60" s="69" t="s">
        <v>46</v>
      </c>
      <c r="D60" s="57">
        <f>SUM(D26:D59)</f>
        <v>1064964007608.8696</v>
      </c>
      <c r="E60" s="97">
        <f>(D60/$D$196)</f>
        <v>0.3584551300368008</v>
      </c>
      <c r="F60" s="30"/>
      <c r="G60" s="11"/>
      <c r="H60" s="63">
        <f>SUM(H26:H59)</f>
        <v>297882</v>
      </c>
      <c r="I60" s="32"/>
      <c r="J60" s="32"/>
      <c r="K60" s="57">
        <f>SUM(K26:K59)</f>
        <v>1119081554645.3997</v>
      </c>
      <c r="L60" s="97">
        <f>(K60/$K$196)</f>
        <v>0.3672709784364675</v>
      </c>
      <c r="M60" s="30"/>
      <c r="N60" s="11"/>
      <c r="O60" s="63">
        <f>SUM(O26:O59)</f>
        <v>298177</v>
      </c>
      <c r="P60" s="32"/>
      <c r="Q60" s="32"/>
      <c r="R60" s="77">
        <f t="shared" si="9"/>
        <v>5.0816315527919542E-2</v>
      </c>
      <c r="S60" s="77" t="e">
        <f t="shared" si="10"/>
        <v>#DIV/0!</v>
      </c>
      <c r="T60" s="77">
        <f t="shared" si="11"/>
        <v>9.9032502803123382E-4</v>
      </c>
      <c r="U60" s="78">
        <f t="shared" si="12"/>
        <v>0</v>
      </c>
      <c r="V60" s="80">
        <f t="shared" si="13"/>
        <v>0</v>
      </c>
    </row>
    <row r="61" spans="1:22" ht="9" customHeight="1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</row>
    <row r="62" spans="1:22" ht="15" customHeight="1">
      <c r="A62" s="161" t="s">
        <v>92</v>
      </c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</row>
    <row r="63" spans="1:22">
      <c r="A63" s="72">
        <v>52</v>
      </c>
      <c r="B63" s="132" t="s">
        <v>93</v>
      </c>
      <c r="C63" s="133" t="s">
        <v>19</v>
      </c>
      <c r="D63" s="2">
        <v>464123315.19</v>
      </c>
      <c r="E63" s="3">
        <f>(D63/$D$98)</f>
        <v>1.9944559262016852E-3</v>
      </c>
      <c r="F63" s="14">
        <v>1.248</v>
      </c>
      <c r="G63" s="14">
        <v>1.248</v>
      </c>
      <c r="H63" s="58">
        <v>443</v>
      </c>
      <c r="I63" s="5">
        <v>-6.5279999999999999E-3</v>
      </c>
      <c r="J63" s="5">
        <v>-2.5100000000000001E-2</v>
      </c>
      <c r="K63" s="2">
        <v>465253486.69999999</v>
      </c>
      <c r="L63" s="3">
        <f t="shared" ref="L63:L84" si="14">(K63/$K$98)</f>
        <v>2.0093769387413019E-3</v>
      </c>
      <c r="M63" s="14">
        <v>1.2515000000000001</v>
      </c>
      <c r="N63" s="14">
        <v>1.2515000000000001</v>
      </c>
      <c r="O63" s="58">
        <v>429</v>
      </c>
      <c r="P63" s="5">
        <v>4.0000000000000002E-4</v>
      </c>
      <c r="Q63" s="5">
        <v>-2.23E-2</v>
      </c>
      <c r="R63" s="77">
        <f>((K63-D63)/D63)</f>
        <v>2.4350673043377008E-3</v>
      </c>
      <c r="S63" s="77">
        <f>((N63-G63)/G63)</f>
        <v>2.8044871794872263E-3</v>
      </c>
      <c r="T63" s="77">
        <f>((O63-H63)/H63)</f>
        <v>-3.160270880361174E-2</v>
      </c>
      <c r="U63" s="78">
        <f>P63-I63</f>
        <v>6.9280000000000001E-3</v>
      </c>
      <c r="V63" s="80">
        <f>Q63-J63</f>
        <v>2.8000000000000004E-3</v>
      </c>
    </row>
    <row r="64" spans="1:22">
      <c r="A64" s="72">
        <v>53</v>
      </c>
      <c r="B64" s="132" t="s">
        <v>94</v>
      </c>
      <c r="C64" s="133" t="s">
        <v>21</v>
      </c>
      <c r="D64" s="2">
        <v>1422093126.6700001</v>
      </c>
      <c r="E64" s="3">
        <f>(D64/$D$98)</f>
        <v>6.1110958473106596E-3</v>
      </c>
      <c r="F64" s="14">
        <v>1.1573</v>
      </c>
      <c r="G64" s="14">
        <v>1.1573</v>
      </c>
      <c r="H64" s="58">
        <v>688</v>
      </c>
      <c r="I64" s="5">
        <v>0.16320000000000001</v>
      </c>
      <c r="J64" s="5">
        <v>-5.1000000000000004E-3</v>
      </c>
      <c r="K64" s="2">
        <v>1423672791.3199999</v>
      </c>
      <c r="L64" s="3">
        <f t="shared" si="14"/>
        <v>6.1486810028711725E-3</v>
      </c>
      <c r="M64" s="14">
        <v>1.1615</v>
      </c>
      <c r="N64" s="14">
        <v>1.1615</v>
      </c>
      <c r="O64" s="58">
        <v>690</v>
      </c>
      <c r="P64" s="5">
        <v>0.1898</v>
      </c>
      <c r="Q64" s="5">
        <v>2.2000000000000001E-3</v>
      </c>
      <c r="R64" s="77">
        <f t="shared" ref="R64:R98" si="15">((K64-D64)/D64)</f>
        <v>1.1108025349217665E-3</v>
      </c>
      <c r="S64" s="77">
        <f t="shared" ref="S64:S98" si="16">((N64-G64)/G64)</f>
        <v>3.6291367838935293E-3</v>
      </c>
      <c r="T64" s="77">
        <f t="shared" ref="T64:T98" si="17">((O64-H64)/H64)</f>
        <v>2.9069767441860465E-3</v>
      </c>
      <c r="U64" s="78">
        <f t="shared" ref="U64:U98" si="18">P64-I64</f>
        <v>2.6599999999999985E-2</v>
      </c>
      <c r="V64" s="80">
        <f t="shared" ref="V64:V98" si="19">Q64-J64</f>
        <v>7.3000000000000009E-3</v>
      </c>
    </row>
    <row r="65" spans="1:22">
      <c r="A65" s="72">
        <v>54</v>
      </c>
      <c r="B65" s="132" t="s">
        <v>95</v>
      </c>
      <c r="C65" s="133" t="s">
        <v>21</v>
      </c>
      <c r="D65" s="2">
        <v>867785723.38</v>
      </c>
      <c r="E65" s="3">
        <f>(D65/$D$98)</f>
        <v>3.7290959579566242E-3</v>
      </c>
      <c r="F65" s="14">
        <v>1.0548999999999999</v>
      </c>
      <c r="G65" s="14">
        <v>1.0548999999999999</v>
      </c>
      <c r="H65" s="58">
        <v>170</v>
      </c>
      <c r="I65" s="5">
        <v>0.1142</v>
      </c>
      <c r="J65" s="5">
        <v>-2.9100000000000001E-2</v>
      </c>
      <c r="K65" s="2">
        <v>866940617.62</v>
      </c>
      <c r="L65" s="3">
        <f t="shared" si="14"/>
        <v>3.7442180104004992E-3</v>
      </c>
      <c r="M65" s="14">
        <v>1.0570999999999999</v>
      </c>
      <c r="N65" s="14">
        <v>1.0570999999999999</v>
      </c>
      <c r="O65" s="58">
        <v>171</v>
      </c>
      <c r="P65" s="5">
        <v>0.109</v>
      </c>
      <c r="Q65" s="5">
        <v>-2.4E-2</v>
      </c>
      <c r="R65" s="77">
        <f t="shared" si="15"/>
        <v>-9.738645580712348E-4</v>
      </c>
      <c r="S65" s="77">
        <f t="shared" si="16"/>
        <v>2.0855057351407526E-3</v>
      </c>
      <c r="T65" s="77">
        <f t="shared" si="17"/>
        <v>5.8823529411764705E-3</v>
      </c>
      <c r="U65" s="78">
        <f t="shared" si="18"/>
        <v>-5.1999999999999963E-3</v>
      </c>
      <c r="V65" s="80">
        <f t="shared" si="19"/>
        <v>5.1000000000000004E-3</v>
      </c>
    </row>
    <row r="66" spans="1:22">
      <c r="A66" s="72">
        <v>55</v>
      </c>
      <c r="B66" s="132" t="s">
        <v>96</v>
      </c>
      <c r="C66" s="133" t="s">
        <v>97</v>
      </c>
      <c r="D66" s="2">
        <v>261080567.34999999</v>
      </c>
      <c r="E66" s="3">
        <f>(D66/$D$98)</f>
        <v>1.1219295987191229E-3</v>
      </c>
      <c r="F66" s="7">
        <v>1049.8699999999999</v>
      </c>
      <c r="G66" s="7">
        <v>1049.8699999999999</v>
      </c>
      <c r="H66" s="58">
        <v>112</v>
      </c>
      <c r="I66" s="5">
        <v>2.4919999999999999E-3</v>
      </c>
      <c r="J66" s="5">
        <v>1.8394000000000001E-2</v>
      </c>
      <c r="K66" s="2">
        <v>263027355.44999999</v>
      </c>
      <c r="L66" s="3">
        <f t="shared" si="14"/>
        <v>1.1359852583762296E-3</v>
      </c>
      <c r="M66" s="7">
        <v>1057.24</v>
      </c>
      <c r="N66" s="7">
        <v>1057.24</v>
      </c>
      <c r="O66" s="58">
        <v>112</v>
      </c>
      <c r="P66" s="5">
        <v>7.0479999999999996E-3</v>
      </c>
      <c r="Q66" s="5">
        <v>2.5017999999999999E-2</v>
      </c>
      <c r="R66" s="77">
        <f t="shared" si="15"/>
        <v>7.4566564634056592E-3</v>
      </c>
      <c r="S66" s="77">
        <f t="shared" si="16"/>
        <v>7.0199167515979299E-3</v>
      </c>
      <c r="T66" s="77">
        <f t="shared" si="17"/>
        <v>0</v>
      </c>
      <c r="U66" s="78">
        <f t="shared" si="18"/>
        <v>4.5559999999999993E-3</v>
      </c>
      <c r="V66" s="80">
        <f t="shared" si="19"/>
        <v>6.6239999999999979E-3</v>
      </c>
    </row>
    <row r="67" spans="1:22" ht="15" customHeight="1">
      <c r="A67" s="72">
        <v>56</v>
      </c>
      <c r="B67" s="132" t="s">
        <v>98</v>
      </c>
      <c r="C67" s="133" t="s">
        <v>99</v>
      </c>
      <c r="D67" s="2">
        <v>1708511737.0599999</v>
      </c>
      <c r="E67" s="3">
        <f>(D67/$K$98)</f>
        <v>7.3788680410919035E-3</v>
      </c>
      <c r="F67" s="7">
        <v>1.0697000000000001</v>
      </c>
      <c r="G67" s="7">
        <v>1.0697000000000001</v>
      </c>
      <c r="H67" s="58">
        <v>856</v>
      </c>
      <c r="I67" s="5">
        <v>2.2000000000000001E-3</v>
      </c>
      <c r="J67" s="5">
        <v>5.0700000000000002E-2</v>
      </c>
      <c r="K67" s="2">
        <v>1693334171.1099999</v>
      </c>
      <c r="L67" s="3">
        <f t="shared" si="14"/>
        <v>7.3133178584968818E-3</v>
      </c>
      <c r="M67" s="7">
        <v>1.0722</v>
      </c>
      <c r="N67" s="7">
        <v>1.0722</v>
      </c>
      <c r="O67" s="58">
        <v>856</v>
      </c>
      <c r="P67" s="5">
        <v>2.3E-3</v>
      </c>
      <c r="Q67" s="5">
        <v>5.3100000000000001E-2</v>
      </c>
      <c r="R67" s="77">
        <f t="shared" si="15"/>
        <v>-8.8835011318784043E-3</v>
      </c>
      <c r="S67" s="77">
        <f t="shared" si="16"/>
        <v>2.3371038608955281E-3</v>
      </c>
      <c r="T67" s="77">
        <f t="shared" si="17"/>
        <v>0</v>
      </c>
      <c r="U67" s="78">
        <f t="shared" si="18"/>
        <v>9.9999999999999829E-5</v>
      </c>
      <c r="V67" s="80">
        <v>7.87</v>
      </c>
    </row>
    <row r="68" spans="1:22">
      <c r="A68" s="72">
        <v>57</v>
      </c>
      <c r="B68" s="132" t="s">
        <v>100</v>
      </c>
      <c r="C68" s="133" t="s">
        <v>101</v>
      </c>
      <c r="D68" s="2">
        <v>414710059.00129181</v>
      </c>
      <c r="E68" s="3">
        <f t="shared" ref="E68:E84" si="20">(D68/$D$98)</f>
        <v>1.7821145970483626E-3</v>
      </c>
      <c r="F68" s="7">
        <v>2.3628999999999998</v>
      </c>
      <c r="G68" s="7">
        <v>2.3628999999999998</v>
      </c>
      <c r="H68" s="58">
        <v>1392</v>
      </c>
      <c r="I68" s="5">
        <v>0.1331</v>
      </c>
      <c r="J68" s="5">
        <v>0.1143</v>
      </c>
      <c r="K68" s="2">
        <v>415750075.13550556</v>
      </c>
      <c r="L68" s="3">
        <f t="shared" si="14"/>
        <v>1.795577329645939E-3</v>
      </c>
      <c r="M68" s="7">
        <v>2.3687999999999998</v>
      </c>
      <c r="N68" s="7">
        <v>2.3687999999999998</v>
      </c>
      <c r="O68" s="58">
        <v>1392</v>
      </c>
      <c r="P68" s="5">
        <v>0.13059999999999999</v>
      </c>
      <c r="Q68" s="5">
        <v>0.1152</v>
      </c>
      <c r="R68" s="77">
        <f t="shared" si="15"/>
        <v>2.5078150665511249E-3</v>
      </c>
      <c r="S68" s="77">
        <f t="shared" si="16"/>
        <v>2.4969317364255859E-3</v>
      </c>
      <c r="T68" s="77">
        <f t="shared" si="17"/>
        <v>0</v>
      </c>
      <c r="U68" s="78">
        <f t="shared" si="18"/>
        <v>-2.5000000000000022E-3</v>
      </c>
      <c r="V68" s="80">
        <f t="shared" si="19"/>
        <v>8.9999999999999802E-4</v>
      </c>
    </row>
    <row r="69" spans="1:22">
      <c r="A69" s="72">
        <v>58</v>
      </c>
      <c r="B69" s="132" t="s">
        <v>270</v>
      </c>
      <c r="C69" s="133" t="s">
        <v>268</v>
      </c>
      <c r="D69" s="2">
        <v>133712861.83</v>
      </c>
      <c r="E69" s="3">
        <f t="shared" si="20"/>
        <v>5.7459817457577403E-4</v>
      </c>
      <c r="F69" s="7">
        <v>10.73</v>
      </c>
      <c r="G69" s="7">
        <v>10.8</v>
      </c>
      <c r="H69" s="58">
        <v>29</v>
      </c>
      <c r="I69" s="5">
        <v>-0.45900000000000002</v>
      </c>
      <c r="J69" s="5">
        <v>3.7499999999999999E-2</v>
      </c>
      <c r="K69" s="2">
        <v>133139525.38</v>
      </c>
      <c r="L69" s="3">
        <f t="shared" si="14"/>
        <v>5.7501448045254222E-4</v>
      </c>
      <c r="M69" s="7">
        <v>10.69</v>
      </c>
      <c r="N69" s="7">
        <v>10.71</v>
      </c>
      <c r="O69" s="58">
        <v>29</v>
      </c>
      <c r="P69" s="5">
        <v>-0.14899999999999999</v>
      </c>
      <c r="Q69" s="5">
        <v>3.6999999999999998E-2</v>
      </c>
      <c r="R69" s="77">
        <f>((K69-D69)/D69)</f>
        <v>-4.2878182558752807E-3</v>
      </c>
      <c r="S69" s="77">
        <f>((N69-G69)/G69)</f>
        <v>-8.3333333333333193E-3</v>
      </c>
      <c r="T69" s="77">
        <f>((O69-H69)/H69)</f>
        <v>0</v>
      </c>
      <c r="U69" s="78">
        <f>P69-I69</f>
        <v>0.31000000000000005</v>
      </c>
      <c r="V69" s="80">
        <f>Q69-J69</f>
        <v>-5.0000000000000044E-4</v>
      </c>
    </row>
    <row r="70" spans="1:22">
      <c r="A70" s="72">
        <v>59</v>
      </c>
      <c r="B70" s="132" t="s">
        <v>102</v>
      </c>
      <c r="C70" s="133" t="s">
        <v>56</v>
      </c>
      <c r="D70" s="2">
        <v>2555629249.6802802</v>
      </c>
      <c r="E70" s="3">
        <f t="shared" si="20"/>
        <v>1.0982188860976712E-2</v>
      </c>
      <c r="F70" s="2">
        <v>4182.1063723981197</v>
      </c>
      <c r="G70" s="2">
        <v>4182.1063723981197</v>
      </c>
      <c r="H70" s="58">
        <v>1044</v>
      </c>
      <c r="I70" s="5">
        <v>0.10502181173628342</v>
      </c>
      <c r="J70" s="5">
        <v>9.327044658555135E-2</v>
      </c>
      <c r="K70" s="2">
        <v>2576344946.1739898</v>
      </c>
      <c r="L70" s="3">
        <f t="shared" si="14"/>
        <v>1.1126941052722938E-2</v>
      </c>
      <c r="M70" s="2">
        <v>4190.7164258048597</v>
      </c>
      <c r="N70" s="2">
        <v>4190.7164258048597</v>
      </c>
      <c r="O70" s="58">
        <v>1045</v>
      </c>
      <c r="P70" s="5">
        <v>0.10764498851123276</v>
      </c>
      <c r="Q70" s="5">
        <v>9.3993366686717733E-2</v>
      </c>
      <c r="R70" s="77">
        <f t="shared" si="15"/>
        <v>8.1059083575214137E-3</v>
      </c>
      <c r="S70" s="77">
        <f t="shared" si="16"/>
        <v>2.0587839332749437E-3</v>
      </c>
      <c r="T70" s="77">
        <f t="shared" si="17"/>
        <v>9.5785440613026815E-4</v>
      </c>
      <c r="U70" s="78">
        <f t="shared" si="18"/>
        <v>2.6231767749493456E-3</v>
      </c>
      <c r="V70" s="80">
        <f t="shared" si="19"/>
        <v>7.2292010116638272E-4</v>
      </c>
    </row>
    <row r="71" spans="1:22">
      <c r="A71" s="72">
        <v>60</v>
      </c>
      <c r="B71" s="132" t="s">
        <v>103</v>
      </c>
      <c r="C71" s="133" t="s">
        <v>58</v>
      </c>
      <c r="D71" s="2">
        <v>347957300.49000001</v>
      </c>
      <c r="E71" s="3">
        <f t="shared" si="20"/>
        <v>1.4952610164462898E-3</v>
      </c>
      <c r="F71" s="14">
        <v>108.37</v>
      </c>
      <c r="G71" s="14">
        <v>108.37</v>
      </c>
      <c r="H71" s="58">
        <v>128</v>
      </c>
      <c r="I71" s="5">
        <v>1.8E-3</v>
      </c>
      <c r="J71" s="5">
        <v>0.1124</v>
      </c>
      <c r="K71" s="2">
        <v>347392478.83999997</v>
      </c>
      <c r="L71" s="3">
        <f t="shared" si="14"/>
        <v>1.5003486392427107E-3</v>
      </c>
      <c r="M71" s="14">
        <v>108.6</v>
      </c>
      <c r="N71" s="14">
        <v>108.6</v>
      </c>
      <c r="O71" s="58">
        <v>128</v>
      </c>
      <c r="P71" s="5">
        <v>2.0999999999999999E-3</v>
      </c>
      <c r="Q71" s="5">
        <v>0.1116</v>
      </c>
      <c r="R71" s="77">
        <f t="shared" si="15"/>
        <v>-1.6232498907326942E-3</v>
      </c>
      <c r="S71" s="77">
        <f t="shared" si="16"/>
        <v>2.122358586324534E-3</v>
      </c>
      <c r="T71" s="77">
        <f t="shared" si="17"/>
        <v>0</v>
      </c>
      <c r="U71" s="78">
        <f t="shared" si="18"/>
        <v>2.9999999999999992E-4</v>
      </c>
      <c r="V71" s="80">
        <f t="shared" si="19"/>
        <v>-7.9999999999999516E-4</v>
      </c>
    </row>
    <row r="72" spans="1:22" ht="13.5" customHeight="1">
      <c r="A72" s="72">
        <v>61</v>
      </c>
      <c r="B72" s="132" t="s">
        <v>104</v>
      </c>
      <c r="C72" s="133" t="s">
        <v>105</v>
      </c>
      <c r="D72" s="2">
        <v>329358361.42000002</v>
      </c>
      <c r="E72" s="3">
        <f t="shared" si="20"/>
        <v>1.4153366449804006E-3</v>
      </c>
      <c r="F72" s="14">
        <v>1.3694999999999999</v>
      </c>
      <c r="G72" s="14">
        <v>1.3694999999999999</v>
      </c>
      <c r="H72" s="58">
        <v>331</v>
      </c>
      <c r="I72" s="5">
        <v>2.5622254758417284E-3</v>
      </c>
      <c r="J72" s="5">
        <v>2.5370363426333253E-2</v>
      </c>
      <c r="K72" s="2">
        <v>329584113.63</v>
      </c>
      <c r="L72" s="3">
        <f t="shared" si="14"/>
        <v>1.4234363336016128E-3</v>
      </c>
      <c r="M72" s="14">
        <v>1.3303</v>
      </c>
      <c r="N72" s="14">
        <v>1.3303</v>
      </c>
      <c r="O72" s="58">
        <v>334</v>
      </c>
      <c r="P72" s="5">
        <v>-2.8623585250091232E-2</v>
      </c>
      <c r="Q72" s="5">
        <v>1.5632677499092362E-2</v>
      </c>
      <c r="R72" s="77">
        <f t="shared" si="15"/>
        <v>6.8543032891792231E-4</v>
      </c>
      <c r="S72" s="77">
        <f t="shared" si="16"/>
        <v>-2.8623585250091205E-2</v>
      </c>
      <c r="T72" s="77">
        <f t="shared" si="17"/>
        <v>9.0634441087613302E-3</v>
      </c>
      <c r="U72" s="78">
        <f t="shared" si="18"/>
        <v>-3.1185810725932961E-2</v>
      </c>
      <c r="V72" s="80">
        <f t="shared" si="19"/>
        <v>-9.7376859272408911E-3</v>
      </c>
    </row>
    <row r="73" spans="1:22">
      <c r="A73" s="72">
        <v>62</v>
      </c>
      <c r="B73" s="132" t="s">
        <v>106</v>
      </c>
      <c r="C73" s="133" t="s">
        <v>25</v>
      </c>
      <c r="D73" s="2">
        <v>107566044.22</v>
      </c>
      <c r="E73" s="3">
        <f t="shared" si="20"/>
        <v>4.6223864936590438E-4</v>
      </c>
      <c r="F73" s="14">
        <v>119.54770000000001</v>
      </c>
      <c r="G73" s="14">
        <v>119.54770000000001</v>
      </c>
      <c r="H73" s="58">
        <v>125</v>
      </c>
      <c r="I73" s="5">
        <v>3.8099999999999999E-4</v>
      </c>
      <c r="J73" s="5">
        <v>0.15790000000000001</v>
      </c>
      <c r="K73" s="2">
        <v>108710859.94</v>
      </c>
      <c r="L73" s="3">
        <f t="shared" si="14"/>
        <v>4.6950985043347902E-4</v>
      </c>
      <c r="M73" s="14">
        <v>119.8441</v>
      </c>
      <c r="N73" s="14">
        <v>119.8441</v>
      </c>
      <c r="O73" s="58">
        <v>126</v>
      </c>
      <c r="P73" s="5">
        <v>4.1300000000000001E-4</v>
      </c>
      <c r="Q73" s="5">
        <v>0.15759999999999999</v>
      </c>
      <c r="R73" s="77">
        <f t="shared" si="15"/>
        <v>1.0642909928513859E-2</v>
      </c>
      <c r="S73" s="77">
        <f t="shared" si="16"/>
        <v>2.4793450647732354E-3</v>
      </c>
      <c r="T73" s="77">
        <f t="shared" si="17"/>
        <v>8.0000000000000002E-3</v>
      </c>
      <c r="U73" s="78">
        <f t="shared" si="18"/>
        <v>3.2000000000000019E-5</v>
      </c>
      <c r="V73" s="80">
        <f t="shared" si="19"/>
        <v>-3.0000000000002247E-4</v>
      </c>
    </row>
    <row r="74" spans="1:22">
      <c r="A74" s="72">
        <v>63</v>
      </c>
      <c r="B74" s="132" t="s">
        <v>107</v>
      </c>
      <c r="C74" s="133" t="s">
        <v>108</v>
      </c>
      <c r="D74" s="2">
        <v>1618857586.2</v>
      </c>
      <c r="E74" s="3">
        <f t="shared" si="20"/>
        <v>6.9566427731633856E-3</v>
      </c>
      <c r="F74" s="7">
        <v>1000</v>
      </c>
      <c r="G74" s="7">
        <v>1000</v>
      </c>
      <c r="H74" s="58">
        <v>327</v>
      </c>
      <c r="I74" s="5">
        <v>8.0000000000000002E-3</v>
      </c>
      <c r="J74" s="5">
        <v>0.15060000000000001</v>
      </c>
      <c r="K74" s="2">
        <v>1650874679.4800003</v>
      </c>
      <c r="L74" s="3">
        <f t="shared" si="14"/>
        <v>7.1299401391440465E-3</v>
      </c>
      <c r="M74" s="7">
        <v>1000</v>
      </c>
      <c r="N74" s="7">
        <v>1000</v>
      </c>
      <c r="O74" s="58">
        <v>325</v>
      </c>
      <c r="P74" s="5">
        <v>1.9777584855475094E-2</v>
      </c>
      <c r="Q74" s="5">
        <v>0.15890000000000001</v>
      </c>
      <c r="R74" s="77">
        <f t="shared" si="15"/>
        <v>1.9777584855475171E-2</v>
      </c>
      <c r="S74" s="77">
        <f t="shared" si="16"/>
        <v>0</v>
      </c>
      <c r="T74" s="77">
        <f t="shared" si="17"/>
        <v>-6.1162079510703364E-3</v>
      </c>
      <c r="U74" s="78">
        <f t="shared" si="18"/>
        <v>1.1777584855475094E-2</v>
      </c>
      <c r="V74" s="80">
        <f t="shared" si="19"/>
        <v>8.3000000000000018E-3</v>
      </c>
    </row>
    <row r="75" spans="1:22">
      <c r="A75" s="72">
        <v>64</v>
      </c>
      <c r="B75" s="132" t="s">
        <v>109</v>
      </c>
      <c r="C75" s="133" t="s">
        <v>64</v>
      </c>
      <c r="D75" s="2">
        <v>221156446.66999999</v>
      </c>
      <c r="E75" s="3">
        <f t="shared" si="20"/>
        <v>9.5036549822565799E-4</v>
      </c>
      <c r="F75" s="7">
        <v>1079.75</v>
      </c>
      <c r="G75" s="7">
        <v>1091.6400000000001</v>
      </c>
      <c r="H75" s="58">
        <v>76</v>
      </c>
      <c r="I75" s="5">
        <v>2.3999999999999998E-3</v>
      </c>
      <c r="J75" s="5">
        <v>2.5700000000000001E-2</v>
      </c>
      <c r="K75" s="2">
        <v>221618313.91</v>
      </c>
      <c r="L75" s="3">
        <f t="shared" si="14"/>
        <v>9.5714431359141645E-4</v>
      </c>
      <c r="M75" s="7">
        <v>1080.79</v>
      </c>
      <c r="N75" s="7">
        <v>1092.94</v>
      </c>
      <c r="O75" s="58">
        <v>76</v>
      </c>
      <c r="P75" s="5">
        <v>1.1000000000000001E-3</v>
      </c>
      <c r="Q75" s="5">
        <v>2.6800000000000001E-2</v>
      </c>
      <c r="R75" s="77">
        <f t="shared" si="15"/>
        <v>2.0884186147609239E-3</v>
      </c>
      <c r="S75" s="77">
        <f t="shared" si="16"/>
        <v>1.1908687845809556E-3</v>
      </c>
      <c r="T75" s="77">
        <f t="shared" si="17"/>
        <v>0</v>
      </c>
      <c r="U75" s="78">
        <f t="shared" si="18"/>
        <v>-1.2999999999999997E-3</v>
      </c>
      <c r="V75" s="80">
        <f t="shared" si="19"/>
        <v>1.1000000000000003E-3</v>
      </c>
    </row>
    <row r="76" spans="1:22">
      <c r="A76" s="72">
        <v>65</v>
      </c>
      <c r="B76" s="132" t="s">
        <v>110</v>
      </c>
      <c r="C76" s="133" t="s">
        <v>67</v>
      </c>
      <c r="D76" s="2">
        <v>903089016.94000006</v>
      </c>
      <c r="E76" s="3">
        <f t="shared" si="20"/>
        <v>3.8808031890970283E-3</v>
      </c>
      <c r="F76" s="15">
        <v>1.1701999999999999</v>
      </c>
      <c r="G76" s="15">
        <v>1.1701999999999999</v>
      </c>
      <c r="H76" s="58">
        <v>40</v>
      </c>
      <c r="I76" s="5">
        <v>1.8835616438355992E-3</v>
      </c>
      <c r="J76" s="5">
        <v>0.23923114750479724</v>
      </c>
      <c r="K76" s="2">
        <v>906071349.73000002</v>
      </c>
      <c r="L76" s="3">
        <f t="shared" si="14"/>
        <v>3.9132191956588874E-3</v>
      </c>
      <c r="M76" s="15">
        <v>1.1731</v>
      </c>
      <c r="N76" s="15">
        <v>1.1731</v>
      </c>
      <c r="O76" s="58">
        <v>43</v>
      </c>
      <c r="P76" s="5">
        <v>2.4782088531875961E-3</v>
      </c>
      <c r="Q76" s="5">
        <v>0.25118030240618094</v>
      </c>
      <c r="R76" s="77">
        <f t="shared" si="15"/>
        <v>3.302368575032846E-3</v>
      </c>
      <c r="S76" s="77">
        <f t="shared" si="16"/>
        <v>2.4782088531875961E-3</v>
      </c>
      <c r="T76" s="77">
        <f t="shared" si="17"/>
        <v>7.4999999999999997E-2</v>
      </c>
      <c r="U76" s="78">
        <f t="shared" si="18"/>
        <v>5.9464720935199691E-4</v>
      </c>
      <c r="V76" s="80">
        <f t="shared" si="19"/>
        <v>1.1949154901383707E-2</v>
      </c>
    </row>
    <row r="77" spans="1:22">
      <c r="A77" s="72">
        <v>66</v>
      </c>
      <c r="B77" s="132" t="s">
        <v>111</v>
      </c>
      <c r="C77" s="133" t="s">
        <v>27</v>
      </c>
      <c r="D77" s="2">
        <v>41875908740.220001</v>
      </c>
      <c r="E77" s="3">
        <f t="shared" si="20"/>
        <v>0.17995143018794899</v>
      </c>
      <c r="F77" s="15">
        <v>1639.01</v>
      </c>
      <c r="G77" s="15">
        <v>1639.01</v>
      </c>
      <c r="H77" s="58">
        <v>2354</v>
      </c>
      <c r="I77" s="5">
        <v>1.6999999999999999E-3</v>
      </c>
      <c r="J77" s="5">
        <v>5.9200000000000003E-2</v>
      </c>
      <c r="K77" s="2">
        <v>41180752717.480003</v>
      </c>
      <c r="L77" s="3">
        <f t="shared" si="14"/>
        <v>0.17785499130255636</v>
      </c>
      <c r="M77" s="15">
        <v>1642.73</v>
      </c>
      <c r="N77" s="15">
        <v>1642.73</v>
      </c>
      <c r="O77" s="58">
        <v>2350</v>
      </c>
      <c r="P77" s="5">
        <v>2.3E-3</v>
      </c>
      <c r="Q77" s="5">
        <v>6.1600000000000002E-2</v>
      </c>
      <c r="R77" s="77">
        <f t="shared" si="15"/>
        <v>-1.6600380592393701E-2</v>
      </c>
      <c r="S77" s="77">
        <f t="shared" si="16"/>
        <v>2.2696627842417236E-3</v>
      </c>
      <c r="T77" s="77">
        <f t="shared" si="17"/>
        <v>-1.6992353440951572E-3</v>
      </c>
      <c r="U77" s="78">
        <f t="shared" si="18"/>
        <v>6.0000000000000006E-4</v>
      </c>
      <c r="V77" s="80">
        <f t="shared" si="19"/>
        <v>2.3999999999999994E-3</v>
      </c>
    </row>
    <row r="78" spans="1:22">
      <c r="A78" s="72">
        <v>67</v>
      </c>
      <c r="B78" s="132" t="s">
        <v>112</v>
      </c>
      <c r="C78" s="133" t="s">
        <v>72</v>
      </c>
      <c r="D78" s="2">
        <v>24163655.390000001</v>
      </c>
      <c r="E78" s="3">
        <f t="shared" si="20"/>
        <v>1.038373727713974E-4</v>
      </c>
      <c r="F78" s="14">
        <v>0.7369</v>
      </c>
      <c r="G78" s="14">
        <v>0.7369</v>
      </c>
      <c r="H78" s="58">
        <v>746</v>
      </c>
      <c r="I78" s="5">
        <v>2E-3</v>
      </c>
      <c r="J78" s="5">
        <v>-3.5999999999999997E-2</v>
      </c>
      <c r="K78" s="2">
        <v>24213631.420000002</v>
      </c>
      <c r="L78" s="3">
        <f t="shared" si="14"/>
        <v>1.0457592252264535E-4</v>
      </c>
      <c r="M78" s="14">
        <v>0.73850000000000005</v>
      </c>
      <c r="N78" s="14">
        <v>0.73850000000000005</v>
      </c>
      <c r="O78" s="58">
        <v>746</v>
      </c>
      <c r="P78" s="5">
        <v>2.2000000000000001E-3</v>
      </c>
      <c r="Q78" s="5">
        <v>-3.39E-2</v>
      </c>
      <c r="R78" s="77">
        <f t="shared" si="15"/>
        <v>2.068231366214712E-3</v>
      </c>
      <c r="S78" s="77">
        <f t="shared" si="16"/>
        <v>2.1712579725879301E-3</v>
      </c>
      <c r="T78" s="77">
        <f t="shared" si="17"/>
        <v>0</v>
      </c>
      <c r="U78" s="78">
        <f t="shared" si="18"/>
        <v>2.0000000000000009E-4</v>
      </c>
      <c r="V78" s="80">
        <f t="shared" si="19"/>
        <v>2.0999999999999977E-3</v>
      </c>
    </row>
    <row r="79" spans="1:22">
      <c r="A79" s="72">
        <v>68</v>
      </c>
      <c r="B79" s="132" t="s">
        <v>250</v>
      </c>
      <c r="C79" s="133" t="s">
        <v>32</v>
      </c>
      <c r="D79" s="2">
        <v>10354762108.23</v>
      </c>
      <c r="E79" s="3">
        <f t="shared" si="20"/>
        <v>4.4497046313464211E-2</v>
      </c>
      <c r="F79" s="14">
        <v>1</v>
      </c>
      <c r="G79" s="14">
        <v>1</v>
      </c>
      <c r="H79" s="58">
        <v>5258</v>
      </c>
      <c r="I79" s="5">
        <v>0.06</v>
      </c>
      <c r="J79" s="5">
        <v>0.06</v>
      </c>
      <c r="K79" s="2">
        <v>10355656545.66</v>
      </c>
      <c r="L79" s="3">
        <f t="shared" si="14"/>
        <v>4.4724903828162146E-2</v>
      </c>
      <c r="M79" s="14">
        <v>1</v>
      </c>
      <c r="N79" s="14">
        <v>1</v>
      </c>
      <c r="O79" s="58">
        <v>5234</v>
      </c>
      <c r="P79" s="5">
        <v>0.06</v>
      </c>
      <c r="Q79" s="5">
        <v>0.06</v>
      </c>
      <c r="R79" s="77">
        <f>((K79-D79)/D79)</f>
        <v>8.6379331620704578E-5</v>
      </c>
      <c r="S79" s="77">
        <f>((N79-G79)/G79)</f>
        <v>0</v>
      </c>
      <c r="T79" s="77">
        <f>((O79-H79)/H79)</f>
        <v>-4.5644731837200456E-3</v>
      </c>
      <c r="U79" s="78">
        <f>P79-I79</f>
        <v>0</v>
      </c>
      <c r="V79" s="80">
        <f>Q79-J79</f>
        <v>0</v>
      </c>
    </row>
    <row r="80" spans="1:22">
      <c r="A80" s="72">
        <v>69</v>
      </c>
      <c r="B80" s="132" t="s">
        <v>113</v>
      </c>
      <c r="C80" s="133" t="s">
        <v>114</v>
      </c>
      <c r="D80" s="2">
        <v>1187967643.04</v>
      </c>
      <c r="E80" s="3">
        <f t="shared" si="20"/>
        <v>5.1049990988430013E-3</v>
      </c>
      <c r="F80" s="2">
        <v>225.491817</v>
      </c>
      <c r="G80" s="2">
        <v>227.14369199999999</v>
      </c>
      <c r="H80" s="58">
        <v>488</v>
      </c>
      <c r="I80" s="5">
        <v>1.2999999999999999E-3</v>
      </c>
      <c r="J80" s="5">
        <v>8.6499999999999994E-2</v>
      </c>
      <c r="K80" s="2">
        <v>1192852630.27</v>
      </c>
      <c r="L80" s="3">
        <f t="shared" si="14"/>
        <v>5.1517949571584431E-3</v>
      </c>
      <c r="M80" s="2">
        <v>226.570131</v>
      </c>
      <c r="N80" s="2">
        <v>228.30785399999999</v>
      </c>
      <c r="O80" s="58">
        <v>488</v>
      </c>
      <c r="P80" s="5">
        <v>1.1000000000000001E-3</v>
      </c>
      <c r="Q80" s="5">
        <v>8.6499999999999994E-2</v>
      </c>
      <c r="R80" s="77">
        <f t="shared" si="15"/>
        <v>4.1120541107494942E-3</v>
      </c>
      <c r="S80" s="77">
        <f t="shared" si="16"/>
        <v>5.1252226718231063E-3</v>
      </c>
      <c r="T80" s="77">
        <f t="shared" si="17"/>
        <v>0</v>
      </c>
      <c r="U80" s="78">
        <f t="shared" si="18"/>
        <v>-1.9999999999999987E-4</v>
      </c>
      <c r="V80" s="80">
        <f t="shared" si="19"/>
        <v>0</v>
      </c>
    </row>
    <row r="81" spans="1:22">
      <c r="A81" s="72">
        <v>70</v>
      </c>
      <c r="B81" s="132" t="s">
        <v>115</v>
      </c>
      <c r="C81" s="133" t="s">
        <v>34</v>
      </c>
      <c r="D81" s="2">
        <v>1116257786.1099999</v>
      </c>
      <c r="E81" s="3">
        <f t="shared" si="20"/>
        <v>4.7968436055931861E-3</v>
      </c>
      <c r="F81" s="14">
        <v>3.46</v>
      </c>
      <c r="G81" s="14">
        <v>3.46</v>
      </c>
      <c r="H81" s="59">
        <v>772</v>
      </c>
      <c r="I81" s="12">
        <v>0</v>
      </c>
      <c r="J81" s="12">
        <v>-7.4999999999999997E-3</v>
      </c>
      <c r="K81" s="2">
        <v>1049100332.73</v>
      </c>
      <c r="L81" s="3">
        <f t="shared" si="14"/>
        <v>4.5309451197574199E-3</v>
      </c>
      <c r="M81" s="14">
        <v>3.47</v>
      </c>
      <c r="N81" s="14">
        <v>3.47</v>
      </c>
      <c r="O81" s="59">
        <v>771</v>
      </c>
      <c r="P81" s="12">
        <v>1.4E-3</v>
      </c>
      <c r="Q81" s="12">
        <v>-6.2899999999999998E-2</v>
      </c>
      <c r="R81" s="77">
        <f t="shared" si="15"/>
        <v>-6.0163032424646351E-2</v>
      </c>
      <c r="S81" s="77">
        <f t="shared" si="16"/>
        <v>2.8901734104046909E-3</v>
      </c>
      <c r="T81" s="77">
        <f t="shared" si="17"/>
        <v>-1.2953367875647669E-3</v>
      </c>
      <c r="U81" s="78">
        <f t="shared" si="18"/>
        <v>1.4E-3</v>
      </c>
      <c r="V81" s="80">
        <f t="shared" si="19"/>
        <v>-5.5399999999999998E-2</v>
      </c>
    </row>
    <row r="82" spans="1:22">
      <c r="A82" s="72">
        <v>71</v>
      </c>
      <c r="B82" s="132" t="s">
        <v>257</v>
      </c>
      <c r="C82" s="133" t="s">
        <v>36</v>
      </c>
      <c r="D82" s="2">
        <v>540771021.12909997</v>
      </c>
      <c r="E82" s="3">
        <f t="shared" si="20"/>
        <v>2.323830612490438E-3</v>
      </c>
      <c r="F82" s="14">
        <v>103.62</v>
      </c>
      <c r="G82" s="14">
        <v>103.62</v>
      </c>
      <c r="H82" s="59">
        <v>65</v>
      </c>
      <c r="I82" s="12">
        <v>0.14019999999999999</v>
      </c>
      <c r="J82" s="12">
        <v>0.1648</v>
      </c>
      <c r="K82" s="2">
        <v>529140184.31050003</v>
      </c>
      <c r="L82" s="3">
        <f t="shared" si="14"/>
        <v>2.2852963257864408E-3</v>
      </c>
      <c r="M82" s="14">
        <v>104.48</v>
      </c>
      <c r="N82" s="14">
        <v>104.48</v>
      </c>
      <c r="O82" s="59">
        <v>64</v>
      </c>
      <c r="P82" s="12">
        <v>0.14019999999999999</v>
      </c>
      <c r="Q82" s="12">
        <v>0.16389999999999999</v>
      </c>
      <c r="R82" s="77">
        <f>((K82-D82)/D82)</f>
        <v>-2.150787739016672E-2</v>
      </c>
      <c r="S82" s="77">
        <f>((N82-G82)/G82)</f>
        <v>8.2995560702567011E-3</v>
      </c>
      <c r="T82" s="77">
        <f>((O82-H82)/H82)</f>
        <v>-1.5384615384615385E-2</v>
      </c>
      <c r="U82" s="78">
        <f>P82-I82</f>
        <v>0</v>
      </c>
      <c r="V82" s="80">
        <f>Q82-J82</f>
        <v>-9.000000000000119E-4</v>
      </c>
    </row>
    <row r="83" spans="1:22">
      <c r="A83" s="72">
        <v>72</v>
      </c>
      <c r="B83" s="133" t="s">
        <v>116</v>
      </c>
      <c r="C83" s="143" t="s">
        <v>40</v>
      </c>
      <c r="D83" s="2">
        <v>1719150606.1700001</v>
      </c>
      <c r="E83" s="3">
        <f t="shared" si="20"/>
        <v>7.387627387573337E-3</v>
      </c>
      <c r="F83" s="14">
        <v>104.03</v>
      </c>
      <c r="G83" s="14">
        <v>104.03</v>
      </c>
      <c r="H83" s="58">
        <v>139</v>
      </c>
      <c r="I83" s="5">
        <v>2.7000000000000001E-3</v>
      </c>
      <c r="J83" s="5">
        <v>0.10879999999999999</v>
      </c>
      <c r="K83" s="2">
        <v>1725507598.99</v>
      </c>
      <c r="L83" s="3">
        <f t="shared" si="14"/>
        <v>7.45227123739765E-3</v>
      </c>
      <c r="M83" s="14">
        <v>104.26</v>
      </c>
      <c r="N83" s="14">
        <v>104.26</v>
      </c>
      <c r="O83" s="58">
        <v>139</v>
      </c>
      <c r="P83" s="5">
        <v>2.2000000000000001E-3</v>
      </c>
      <c r="Q83" s="5">
        <v>0.1091</v>
      </c>
      <c r="R83" s="77">
        <f t="shared" si="15"/>
        <v>3.6977521324686752E-3</v>
      </c>
      <c r="S83" s="77">
        <f t="shared" si="16"/>
        <v>2.2109007017206959E-3</v>
      </c>
      <c r="T83" s="77">
        <f t="shared" si="17"/>
        <v>0</v>
      </c>
      <c r="U83" s="78">
        <f t="shared" si="18"/>
        <v>-5.0000000000000001E-4</v>
      </c>
      <c r="V83" s="80">
        <f t="shared" si="19"/>
        <v>3.0000000000000859E-4</v>
      </c>
    </row>
    <row r="84" spans="1:22">
      <c r="A84" s="72">
        <v>73</v>
      </c>
      <c r="B84" s="132" t="s">
        <v>117</v>
      </c>
      <c r="C84" s="133" t="s">
        <v>17</v>
      </c>
      <c r="D84" s="2">
        <v>1264054822.0899999</v>
      </c>
      <c r="E84" s="3">
        <f t="shared" si="20"/>
        <v>5.4319650585300675E-3</v>
      </c>
      <c r="F84" s="14">
        <v>343.87099999999998</v>
      </c>
      <c r="G84" s="14">
        <v>343.87099999999998</v>
      </c>
      <c r="H84" s="58">
        <v>105</v>
      </c>
      <c r="I84" s="5">
        <v>2.3E-3</v>
      </c>
      <c r="J84" s="5">
        <v>5.0700000000000002E-2</v>
      </c>
      <c r="K84" s="2">
        <v>1267128970.6500001</v>
      </c>
      <c r="L84" s="3">
        <f t="shared" si="14"/>
        <v>5.4725860306703948E-3</v>
      </c>
      <c r="M84" s="14">
        <v>344.70729999999998</v>
      </c>
      <c r="N84" s="14">
        <v>344.70729999999998</v>
      </c>
      <c r="O84" s="58">
        <v>105</v>
      </c>
      <c r="P84" s="5">
        <v>2.3999999999999998E-3</v>
      </c>
      <c r="Q84" s="5">
        <v>5.3199999999999997E-2</v>
      </c>
      <c r="R84" s="77">
        <f t="shared" si="15"/>
        <v>2.4319740776095103E-3</v>
      </c>
      <c r="S84" s="77">
        <f t="shared" si="16"/>
        <v>2.4320166574093027E-3</v>
      </c>
      <c r="T84" s="77">
        <f t="shared" si="17"/>
        <v>0</v>
      </c>
      <c r="U84" s="78">
        <f t="shared" si="18"/>
        <v>9.9999999999999829E-5</v>
      </c>
      <c r="V84" s="80">
        <f t="shared" si="19"/>
        <v>2.4999999999999953E-3</v>
      </c>
    </row>
    <row r="85" spans="1:22">
      <c r="A85" s="72">
        <v>74</v>
      </c>
      <c r="B85" s="132" t="s">
        <v>251</v>
      </c>
      <c r="C85" s="133" t="s">
        <v>78</v>
      </c>
      <c r="D85" s="9">
        <v>1677408148.9300001</v>
      </c>
      <c r="E85" s="3">
        <f>(D85/$K$60)</f>
        <v>1.498915018272744E-3</v>
      </c>
      <c r="F85" s="14">
        <v>104.45</v>
      </c>
      <c r="G85" s="14">
        <v>104.45</v>
      </c>
      <c r="H85" s="58">
        <v>372</v>
      </c>
      <c r="I85" s="5">
        <v>3.0999999999999999E-3</v>
      </c>
      <c r="J85" s="5">
        <v>6.6900000000000001E-2</v>
      </c>
      <c r="K85" s="9">
        <v>1640866546.5699999</v>
      </c>
      <c r="L85" s="3">
        <f>(K85/$K$60)</f>
        <v>1.4662618106416176E-3</v>
      </c>
      <c r="M85" s="14">
        <v>101.32</v>
      </c>
      <c r="N85" s="14">
        <v>101.32</v>
      </c>
      <c r="O85" s="58">
        <v>372</v>
      </c>
      <c r="P85" s="5">
        <v>2.5999999999999999E-3</v>
      </c>
      <c r="Q85" s="5">
        <v>6.6900000000000001E-2</v>
      </c>
      <c r="R85" s="77">
        <f t="shared" si="15"/>
        <v>-2.1784562322121549E-2</v>
      </c>
      <c r="S85" s="77">
        <f t="shared" si="16"/>
        <v>-2.9966491144088173E-2</v>
      </c>
      <c r="T85" s="77">
        <f t="shared" si="17"/>
        <v>0</v>
      </c>
      <c r="U85" s="78">
        <f t="shared" si="18"/>
        <v>-5.0000000000000001E-4</v>
      </c>
      <c r="V85" s="80">
        <f t="shared" si="19"/>
        <v>0</v>
      </c>
    </row>
    <row r="86" spans="1:22">
      <c r="A86" s="72">
        <v>75</v>
      </c>
      <c r="B86" s="132" t="s">
        <v>118</v>
      </c>
      <c r="C86" s="133" t="s">
        <v>38</v>
      </c>
      <c r="D86" s="2">
        <v>57170006.030000001</v>
      </c>
      <c r="E86" s="3">
        <f t="shared" ref="E86:E97" si="21">(D86/$D$98)</f>
        <v>2.456740560013485E-4</v>
      </c>
      <c r="F86" s="2">
        <v>12.483731000000001</v>
      </c>
      <c r="G86" s="2">
        <v>12.639594000000001</v>
      </c>
      <c r="H86" s="58">
        <v>56</v>
      </c>
      <c r="I86" s="5">
        <v>-3.5000000000000001E-3</v>
      </c>
      <c r="J86" s="5">
        <v>8.7099999999999997E-2</v>
      </c>
      <c r="K86" s="2">
        <v>57170006.030000001</v>
      </c>
      <c r="L86" s="3">
        <f t="shared" ref="L86:L97" si="22">(K86/$K$98)</f>
        <v>2.4691075937805147E-4</v>
      </c>
      <c r="M86" s="2">
        <v>12.483731000000001</v>
      </c>
      <c r="N86" s="2">
        <v>12.639594000000001</v>
      </c>
      <c r="O86" s="58">
        <v>56</v>
      </c>
      <c r="P86" s="5">
        <v>-3.5000000000000001E-3</v>
      </c>
      <c r="Q86" s="5">
        <v>8.7099999999999997E-2</v>
      </c>
      <c r="R86" s="77">
        <f t="shared" si="15"/>
        <v>0</v>
      </c>
      <c r="S86" s="77">
        <f t="shared" si="16"/>
        <v>0</v>
      </c>
      <c r="T86" s="77">
        <f t="shared" si="17"/>
        <v>0</v>
      </c>
      <c r="U86" s="78">
        <f t="shared" si="18"/>
        <v>0</v>
      </c>
      <c r="V86" s="80">
        <f t="shared" si="19"/>
        <v>0</v>
      </c>
    </row>
    <row r="87" spans="1:22">
      <c r="A87" s="72">
        <v>76</v>
      </c>
      <c r="B87" s="132" t="s">
        <v>235</v>
      </c>
      <c r="C87" s="133" t="s">
        <v>236</v>
      </c>
      <c r="D87" s="2">
        <v>288801442.61000001</v>
      </c>
      <c r="E87" s="3">
        <f t="shared" si="21"/>
        <v>1.2410532499823033E-3</v>
      </c>
      <c r="F87" s="2">
        <v>120.52</v>
      </c>
      <c r="G87" s="2">
        <v>120.52</v>
      </c>
      <c r="H87" s="58">
        <v>82</v>
      </c>
      <c r="I87" s="5">
        <v>0.17760000000000001</v>
      </c>
      <c r="J87" s="5">
        <v>0.17899999999999999</v>
      </c>
      <c r="K87" s="2">
        <v>305050580.69999999</v>
      </c>
      <c r="L87" s="3">
        <f t="shared" si="22"/>
        <v>1.3174787928101354E-3</v>
      </c>
      <c r="M87" s="2">
        <v>121.46</v>
      </c>
      <c r="N87" s="2">
        <v>121.46</v>
      </c>
      <c r="O87" s="58">
        <v>84</v>
      </c>
      <c r="P87" s="5">
        <v>0.15229999999999999</v>
      </c>
      <c r="Q87" s="5">
        <v>0.17510000000000001</v>
      </c>
      <c r="R87" s="77">
        <f>((K87-D87)/D87)</f>
        <v>5.6264047517044266E-2</v>
      </c>
      <c r="S87" s="77">
        <f>((N87-G87)/G87)</f>
        <v>7.7995353468303828E-3</v>
      </c>
      <c r="T87" s="77">
        <f>((O87-H87)/H87)</f>
        <v>2.4390243902439025E-2</v>
      </c>
      <c r="U87" s="78">
        <f t="shared" si="18"/>
        <v>-2.5300000000000017E-2</v>
      </c>
      <c r="V87" s="80">
        <f t="shared" si="19"/>
        <v>-3.8999999999999868E-3</v>
      </c>
    </row>
    <row r="88" spans="1:22">
      <c r="A88" s="72">
        <v>77</v>
      </c>
      <c r="B88" s="132" t="s">
        <v>119</v>
      </c>
      <c r="C88" s="133" t="s">
        <v>120</v>
      </c>
      <c r="D88" s="2">
        <v>6973736729.2713242</v>
      </c>
      <c r="E88" s="3">
        <f t="shared" si="21"/>
        <v>2.9967920361362681E-2</v>
      </c>
      <c r="F88" s="14">
        <v>1.0653874422651712</v>
      </c>
      <c r="G88" s="14">
        <v>1.0653874422651712</v>
      </c>
      <c r="H88" s="58">
        <v>4424</v>
      </c>
      <c r="I88" s="5">
        <v>0.15040000000000001</v>
      </c>
      <c r="J88" s="5">
        <v>0.15040000000000001</v>
      </c>
      <c r="K88" s="2">
        <v>6998325206.69699</v>
      </c>
      <c r="L88" s="3">
        <f t="shared" si="22"/>
        <v>3.0224971294447015E-2</v>
      </c>
      <c r="M88" s="2">
        <v>1.0683113006584466</v>
      </c>
      <c r="N88" s="2">
        <v>1.0683113006584466</v>
      </c>
      <c r="O88" s="58">
        <v>4443</v>
      </c>
      <c r="P88" s="5">
        <v>0.15029999999999999</v>
      </c>
      <c r="Q88" s="5">
        <v>0.15029999999999999</v>
      </c>
      <c r="R88" s="77">
        <f t="shared" si="15"/>
        <v>3.5258683228546642E-3</v>
      </c>
      <c r="S88" s="77">
        <f t="shared" si="16"/>
        <v>2.7444085384175382E-3</v>
      </c>
      <c r="T88" s="77">
        <f t="shared" si="17"/>
        <v>4.2947558770343583E-3</v>
      </c>
      <c r="U88" s="78">
        <f t="shared" si="18"/>
        <v>-1.0000000000001674E-4</v>
      </c>
      <c r="V88" s="80">
        <f t="shared" si="19"/>
        <v>-1.0000000000001674E-4</v>
      </c>
    </row>
    <row r="89" spans="1:22" ht="14.25" customHeight="1">
      <c r="A89" s="72">
        <v>78</v>
      </c>
      <c r="B89" s="132" t="s">
        <v>121</v>
      </c>
      <c r="C89" s="133" t="s">
        <v>42</v>
      </c>
      <c r="D89" s="2">
        <v>13366908262.200001</v>
      </c>
      <c r="E89" s="3">
        <f t="shared" si="21"/>
        <v>5.744100441845993E-2</v>
      </c>
      <c r="F89" s="2">
        <v>5161.6099999999997</v>
      </c>
      <c r="G89" s="2">
        <v>5161.6099999999997</v>
      </c>
      <c r="H89" s="58">
        <v>366</v>
      </c>
      <c r="I89" s="5">
        <v>0</v>
      </c>
      <c r="J89" s="5">
        <v>2.9899999999999999E-2</v>
      </c>
      <c r="K89" s="2">
        <v>13219180421.1</v>
      </c>
      <c r="L89" s="3">
        <f t="shared" si="22"/>
        <v>5.709213804204441E-2</v>
      </c>
      <c r="M89" s="2">
        <v>5162.13</v>
      </c>
      <c r="N89" s="2">
        <v>5162.13</v>
      </c>
      <c r="O89" s="58">
        <v>363</v>
      </c>
      <c r="P89" s="5">
        <v>1E-4</v>
      </c>
      <c r="Q89" s="5">
        <v>0.03</v>
      </c>
      <c r="R89" s="77">
        <f t="shared" si="15"/>
        <v>-1.1051758432258927E-2</v>
      </c>
      <c r="S89" s="77">
        <f t="shared" si="16"/>
        <v>1.0074376018343823E-4</v>
      </c>
      <c r="T89" s="77">
        <f t="shared" si="17"/>
        <v>-8.1967213114754103E-3</v>
      </c>
      <c r="U89" s="78">
        <f t="shared" si="18"/>
        <v>1E-4</v>
      </c>
      <c r="V89" s="80">
        <f t="shared" si="19"/>
        <v>9.9999999999999395E-5</v>
      </c>
    </row>
    <row r="90" spans="1:22">
      <c r="A90" s="72">
        <v>79</v>
      </c>
      <c r="B90" s="132" t="s">
        <v>122</v>
      </c>
      <c r="C90" s="133" t="s">
        <v>42</v>
      </c>
      <c r="D90" s="2">
        <v>27713975226.43</v>
      </c>
      <c r="E90" s="3">
        <f t="shared" si="21"/>
        <v>0.11909400006403933</v>
      </c>
      <c r="F90" s="14">
        <v>258.35000000000002</v>
      </c>
      <c r="G90" s="14">
        <v>258.35000000000002</v>
      </c>
      <c r="H90" s="58">
        <v>6567</v>
      </c>
      <c r="I90" s="5">
        <v>0</v>
      </c>
      <c r="J90" s="5">
        <v>9.9000000000000008E-3</v>
      </c>
      <c r="K90" s="2">
        <v>27555256229.25</v>
      </c>
      <c r="L90" s="3">
        <f t="shared" si="22"/>
        <v>0.11900802033938321</v>
      </c>
      <c r="M90" s="14">
        <v>258.37</v>
      </c>
      <c r="N90" s="14">
        <v>258.37</v>
      </c>
      <c r="O90" s="58">
        <v>6560</v>
      </c>
      <c r="P90" s="5">
        <v>1E-4</v>
      </c>
      <c r="Q90" s="5">
        <v>0.01</v>
      </c>
      <c r="R90" s="77">
        <f t="shared" si="15"/>
        <v>-5.7270382860353675E-3</v>
      </c>
      <c r="S90" s="77">
        <f t="shared" si="16"/>
        <v>7.7414360363777082E-5</v>
      </c>
      <c r="T90" s="77">
        <f t="shared" si="17"/>
        <v>-1.0659357393025734E-3</v>
      </c>
      <c r="U90" s="78">
        <f t="shared" si="18"/>
        <v>1E-4</v>
      </c>
      <c r="V90" s="80">
        <f t="shared" si="19"/>
        <v>9.9999999999999395E-5</v>
      </c>
    </row>
    <row r="91" spans="1:22" ht="12.75" customHeight="1">
      <c r="A91" s="72">
        <v>80</v>
      </c>
      <c r="B91" s="132" t="s">
        <v>123</v>
      </c>
      <c r="C91" s="133" t="s">
        <v>42</v>
      </c>
      <c r="D91" s="2">
        <v>343150434.48000002</v>
      </c>
      <c r="E91" s="3">
        <f t="shared" si="21"/>
        <v>1.4746046906674883E-3</v>
      </c>
      <c r="F91" s="2">
        <v>5950.43</v>
      </c>
      <c r="G91" s="7">
        <v>5978.08</v>
      </c>
      <c r="H91" s="58">
        <v>15</v>
      </c>
      <c r="I91" s="5">
        <v>5.1999999999999998E-3</v>
      </c>
      <c r="J91" s="5">
        <v>0.126</v>
      </c>
      <c r="K91" s="2">
        <v>341207288.31999999</v>
      </c>
      <c r="L91" s="3">
        <f t="shared" si="22"/>
        <v>1.4736355042573878E-3</v>
      </c>
      <c r="M91" s="2">
        <v>5919.5</v>
      </c>
      <c r="N91" s="7">
        <v>5942.34</v>
      </c>
      <c r="O91" s="58">
        <v>15</v>
      </c>
      <c r="P91" s="5">
        <v>-6.0000000000000001E-3</v>
      </c>
      <c r="Q91" s="5">
        <v>0.1193</v>
      </c>
      <c r="R91" s="77">
        <f t="shared" si="15"/>
        <v>-5.6626655972171862E-3</v>
      </c>
      <c r="S91" s="77">
        <f t="shared" si="16"/>
        <v>-5.978508149773804E-3</v>
      </c>
      <c r="T91" s="77">
        <f t="shared" si="17"/>
        <v>0</v>
      </c>
      <c r="U91" s="78">
        <f t="shared" si="18"/>
        <v>-1.12E-2</v>
      </c>
      <c r="V91" s="80">
        <f t="shared" si="19"/>
        <v>-6.6999999999999976E-3</v>
      </c>
    </row>
    <row r="92" spans="1:22" ht="12.75" customHeight="1">
      <c r="A92" s="72">
        <v>81</v>
      </c>
      <c r="B92" s="132" t="s">
        <v>124</v>
      </c>
      <c r="C92" s="133" t="s">
        <v>42</v>
      </c>
      <c r="D92" s="2">
        <v>12352544949.290001</v>
      </c>
      <c r="E92" s="3">
        <f t="shared" si="21"/>
        <v>5.3082027279104806E-2</v>
      </c>
      <c r="F92" s="14">
        <v>131.06</v>
      </c>
      <c r="G92" s="14">
        <v>131.06</v>
      </c>
      <c r="H92" s="58">
        <v>4415</v>
      </c>
      <c r="I92" s="5">
        <v>8.0000000000000004E-4</v>
      </c>
      <c r="J92" s="5">
        <v>4.0800000000000003E-2</v>
      </c>
      <c r="K92" s="2">
        <v>12250352600.57</v>
      </c>
      <c r="L92" s="3">
        <f t="shared" si="22"/>
        <v>5.2907880780498601E-2</v>
      </c>
      <c r="M92" s="14">
        <v>131.25</v>
      </c>
      <c r="N92" s="14">
        <v>131.25</v>
      </c>
      <c r="O92" s="58">
        <v>4417</v>
      </c>
      <c r="P92" s="5">
        <v>1.4E-3</v>
      </c>
      <c r="Q92" s="5">
        <v>4.2299999999999997E-2</v>
      </c>
      <c r="R92" s="77">
        <f t="shared" si="15"/>
        <v>-8.2729793042262949E-3</v>
      </c>
      <c r="S92" s="77">
        <f t="shared" si="16"/>
        <v>1.4497176865557585E-3</v>
      </c>
      <c r="T92" s="77">
        <f t="shared" si="17"/>
        <v>4.5300113250283127E-4</v>
      </c>
      <c r="U92" s="78">
        <f t="shared" si="18"/>
        <v>5.9999999999999995E-4</v>
      </c>
      <c r="V92" s="80">
        <f t="shared" si="19"/>
        <v>1.4999999999999944E-3</v>
      </c>
    </row>
    <row r="93" spans="1:22" ht="12.75" customHeight="1">
      <c r="A93" s="72">
        <v>82</v>
      </c>
      <c r="B93" s="132" t="s">
        <v>125</v>
      </c>
      <c r="C93" s="133" t="s">
        <v>42</v>
      </c>
      <c r="D93" s="2">
        <v>10467952510.700001</v>
      </c>
      <c r="E93" s="3">
        <f t="shared" si="21"/>
        <v>4.4983454260677617E-2</v>
      </c>
      <c r="F93" s="14">
        <v>358.67</v>
      </c>
      <c r="G93" s="14">
        <v>359.12</v>
      </c>
      <c r="H93" s="58">
        <v>10219</v>
      </c>
      <c r="I93" s="5">
        <v>8.9999999999999998E-4</v>
      </c>
      <c r="J93" s="5">
        <v>1.6299999999999999E-2</v>
      </c>
      <c r="K93" s="2">
        <v>10332876354.6</v>
      </c>
      <c r="L93" s="3">
        <f t="shared" si="22"/>
        <v>4.4626518771661537E-2</v>
      </c>
      <c r="M93" s="14">
        <v>359.37</v>
      </c>
      <c r="N93" s="14">
        <v>359.84</v>
      </c>
      <c r="O93" s="58">
        <v>10206</v>
      </c>
      <c r="P93" s="5">
        <v>2E-3</v>
      </c>
      <c r="Q93" s="5">
        <v>1.84E-2</v>
      </c>
      <c r="R93" s="77">
        <f t="shared" si="15"/>
        <v>-1.2903779985811928E-2</v>
      </c>
      <c r="S93" s="77">
        <f t="shared" si="16"/>
        <v>2.004900868790294E-3</v>
      </c>
      <c r="T93" s="77">
        <f t="shared" si="17"/>
        <v>-1.2721401311282905E-3</v>
      </c>
      <c r="U93" s="78">
        <f t="shared" si="18"/>
        <v>1.1000000000000001E-3</v>
      </c>
      <c r="V93" s="80">
        <f t="shared" si="19"/>
        <v>2.1000000000000012E-3</v>
      </c>
    </row>
    <row r="94" spans="1:22">
      <c r="A94" s="72">
        <v>83</v>
      </c>
      <c r="B94" s="132" t="s">
        <v>126</v>
      </c>
      <c r="C94" s="133" t="s">
        <v>45</v>
      </c>
      <c r="D94" s="2">
        <v>87128905336.669998</v>
      </c>
      <c r="E94" s="3">
        <f t="shared" si="21"/>
        <v>0.37441506579140127</v>
      </c>
      <c r="F94" s="2">
        <v>1.8894</v>
      </c>
      <c r="G94" s="2">
        <v>1.8894</v>
      </c>
      <c r="H94" s="58">
        <v>6232</v>
      </c>
      <c r="I94" s="5">
        <v>4.82E-2</v>
      </c>
      <c r="J94" s="5">
        <v>5.0999999999999997E-2</v>
      </c>
      <c r="K94" s="2">
        <v>87209708217.240005</v>
      </c>
      <c r="L94" s="3">
        <f t="shared" si="22"/>
        <v>0.37664881948337664</v>
      </c>
      <c r="M94" s="2">
        <v>1.8915</v>
      </c>
      <c r="N94" s="2">
        <v>1.8915</v>
      </c>
      <c r="O94" s="58">
        <v>6222</v>
      </c>
      <c r="P94" s="5">
        <v>5.96E-2</v>
      </c>
      <c r="Q94" s="5">
        <v>5.11E-2</v>
      </c>
      <c r="R94" s="77">
        <f t="shared" si="15"/>
        <v>9.2739464885713155E-4</v>
      </c>
      <c r="S94" s="77">
        <f t="shared" si="16"/>
        <v>1.1114639568116814E-3</v>
      </c>
      <c r="T94" s="77">
        <f t="shared" si="17"/>
        <v>-1.6046213093709885E-3</v>
      </c>
      <c r="U94" s="78">
        <f t="shared" si="18"/>
        <v>1.14E-2</v>
      </c>
      <c r="V94" s="80">
        <f t="shared" si="19"/>
        <v>1.0000000000000286E-4</v>
      </c>
    </row>
    <row r="95" spans="1:22">
      <c r="A95" s="72">
        <v>84</v>
      </c>
      <c r="B95" s="132" t="s">
        <v>240</v>
      </c>
      <c r="C95" s="132" t="s">
        <v>241</v>
      </c>
      <c r="D95" s="2">
        <v>86386902.849999994</v>
      </c>
      <c r="E95" s="3">
        <f t="shared" si="21"/>
        <v>3.7122649239213228E-4</v>
      </c>
      <c r="F95" s="2">
        <v>106.38286301633481</v>
      </c>
      <c r="G95" s="2">
        <v>106.38286301633481</v>
      </c>
      <c r="H95" s="58">
        <v>59</v>
      </c>
      <c r="I95" s="5">
        <v>1.510663808774724E-3</v>
      </c>
      <c r="J95" s="5">
        <v>4.7085729351025174E-2</v>
      </c>
      <c r="K95" s="2">
        <v>88630904.390000001</v>
      </c>
      <c r="L95" s="3">
        <f t="shared" si="22"/>
        <v>3.8278680425212429E-4</v>
      </c>
      <c r="M95" s="2">
        <v>106.53926033514425</v>
      </c>
      <c r="N95" s="2">
        <v>106.53926033514425</v>
      </c>
      <c r="O95" s="58">
        <v>59</v>
      </c>
      <c r="P95" s="5">
        <v>1.4701363957973664E-3</v>
      </c>
      <c r="Q95" s="5">
        <v>4.862508819126421E-2</v>
      </c>
      <c r="R95" s="77">
        <f>((K95-D95)/D95)</f>
        <v>2.597617770712805E-2</v>
      </c>
      <c r="S95" s="77">
        <f>((N95-G95)/G95)</f>
        <v>1.4701363957973664E-3</v>
      </c>
      <c r="T95" s="77">
        <f>((O95-H95)/H95)</f>
        <v>0</v>
      </c>
      <c r="U95" s="78">
        <f>P95-I95</f>
        <v>-4.0527412977357661E-5</v>
      </c>
      <c r="V95" s="80">
        <f>Q95-J95</f>
        <v>1.5393588402390357E-3</v>
      </c>
    </row>
    <row r="96" spans="1:22">
      <c r="A96" s="72">
        <v>85</v>
      </c>
      <c r="B96" s="132" t="s">
        <v>261</v>
      </c>
      <c r="C96" s="133" t="s">
        <v>260</v>
      </c>
      <c r="D96" s="2">
        <v>236980752.75</v>
      </c>
      <c r="E96" s="3">
        <f t="shared" si="21"/>
        <v>1.0183665660590314E-3</v>
      </c>
      <c r="F96" s="2">
        <v>0.99790000000000001</v>
      </c>
      <c r="G96" s="2">
        <v>0.99790000000000001</v>
      </c>
      <c r="H96" s="58">
        <v>279</v>
      </c>
      <c r="I96" s="5">
        <v>-1.4401000000000001E-2</v>
      </c>
      <c r="J96" s="5">
        <v>-4.1314999999999998E-2</v>
      </c>
      <c r="K96" s="2">
        <v>238063424.56</v>
      </c>
      <c r="L96" s="3">
        <f t="shared" si="22"/>
        <v>1.0281688777049281E-3</v>
      </c>
      <c r="M96" s="2">
        <v>1.0017</v>
      </c>
      <c r="N96" s="2">
        <v>1.0017</v>
      </c>
      <c r="O96" s="58">
        <v>284</v>
      </c>
      <c r="P96" s="5">
        <v>-8.5999999999999998E-4</v>
      </c>
      <c r="Q96" s="5">
        <v>-3.7641000000000001E-2</v>
      </c>
      <c r="R96" s="77">
        <f>((K96-D96)/D96)</f>
        <v>4.5686065110197112E-3</v>
      </c>
      <c r="S96" s="77">
        <f>((N96-G96)/G96)</f>
        <v>3.8079967932658841E-3</v>
      </c>
      <c r="T96" s="77">
        <f>((O96-H96)/H96)</f>
        <v>1.7921146953405017E-2</v>
      </c>
      <c r="U96" s="78">
        <f>P96-I96</f>
        <v>1.3541000000000001E-2</v>
      </c>
      <c r="V96" s="80">
        <f>Q96-J96</f>
        <v>3.6739999999999967E-3</v>
      </c>
    </row>
    <row r="97" spans="1:28">
      <c r="A97" s="72">
        <v>86</v>
      </c>
      <c r="B97" s="132" t="s">
        <v>127</v>
      </c>
      <c r="C97" s="133" t="s">
        <v>91</v>
      </c>
      <c r="D97" s="2">
        <v>2574140754.4299998</v>
      </c>
      <c r="E97" s="3">
        <f t="shared" si="21"/>
        <v>1.106173750493112E-2</v>
      </c>
      <c r="F97" s="14">
        <v>26.6614</v>
      </c>
      <c r="G97" s="14">
        <v>26.6614</v>
      </c>
      <c r="H97" s="58">
        <v>1316</v>
      </c>
      <c r="I97" s="5">
        <v>0</v>
      </c>
      <c r="J97" s="5">
        <v>0.12479999999999999</v>
      </c>
      <c r="K97" s="2">
        <v>2578414512.0100002</v>
      </c>
      <c r="L97" s="3">
        <f t="shared" si="22"/>
        <v>1.1135879272388056E-2</v>
      </c>
      <c r="M97" s="14">
        <v>26.714500000000001</v>
      </c>
      <c r="N97" s="14">
        <v>26.714500000000001</v>
      </c>
      <c r="O97" s="58">
        <v>1316</v>
      </c>
      <c r="P97" s="5">
        <v>0</v>
      </c>
      <c r="Q97" s="5">
        <v>0.12330000000000001</v>
      </c>
      <c r="R97" s="77">
        <f t="shared" si="15"/>
        <v>1.6602656916275553E-3</v>
      </c>
      <c r="S97" s="77">
        <f t="shared" si="16"/>
        <v>1.9916433495615607E-3</v>
      </c>
      <c r="T97" s="77">
        <f t="shared" si="17"/>
        <v>0</v>
      </c>
      <c r="U97" s="78">
        <f t="shared" si="18"/>
        <v>0</v>
      </c>
      <c r="V97" s="80">
        <f t="shared" si="19"/>
        <v>-1.4999999999999875E-3</v>
      </c>
    </row>
    <row r="98" spans="1:28">
      <c r="A98" s="72"/>
      <c r="B98" s="152"/>
      <c r="C98" s="69" t="s">
        <v>46</v>
      </c>
      <c r="D98" s="57">
        <f>SUM(D63:D97)</f>
        <v>232706729235.12198</v>
      </c>
      <c r="E98" s="97">
        <f>(D98/$D$196)</f>
        <v>7.8326516476085559E-2</v>
      </c>
      <c r="F98" s="30"/>
      <c r="G98" s="11"/>
      <c r="H98" s="63">
        <f>SUM(H63:H97)</f>
        <v>50090</v>
      </c>
      <c r="I98" s="12"/>
      <c r="J98" s="12"/>
      <c r="K98" s="57">
        <f>SUM(K63:K97)</f>
        <v>231541169667.96704</v>
      </c>
      <c r="L98" s="97">
        <f>(K98/$K$196)</f>
        <v>7.5989414336495129E-2</v>
      </c>
      <c r="M98" s="30"/>
      <c r="N98" s="11"/>
      <c r="O98" s="63">
        <f>SUM(O63:O97)</f>
        <v>50050</v>
      </c>
      <c r="P98" s="12"/>
      <c r="Q98" s="12"/>
      <c r="R98" s="77">
        <f t="shared" si="15"/>
        <v>-5.0087058977021717E-3</v>
      </c>
      <c r="S98" s="77" t="e">
        <f t="shared" si="16"/>
        <v>#DIV/0!</v>
      </c>
      <c r="T98" s="77">
        <f t="shared" si="17"/>
        <v>-7.9856258734278297E-4</v>
      </c>
      <c r="U98" s="78">
        <f t="shared" si="18"/>
        <v>0</v>
      </c>
      <c r="V98" s="80">
        <f t="shared" si="19"/>
        <v>0</v>
      </c>
    </row>
    <row r="99" spans="1:28" ht="8.25" customHeight="1">
      <c r="A99" s="154"/>
      <c r="B99" s="154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</row>
    <row r="100" spans="1:28" ht="15" customHeight="1">
      <c r="A100" s="161" t="s">
        <v>128</v>
      </c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</row>
    <row r="101" spans="1:28">
      <c r="A101" s="165" t="s">
        <v>229</v>
      </c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Z101" s="111"/>
      <c r="AB101" s="100"/>
    </row>
    <row r="102" spans="1:28" ht="16.5" customHeight="1">
      <c r="A102" s="72">
        <v>87</v>
      </c>
      <c r="B102" s="132" t="s">
        <v>129</v>
      </c>
      <c r="C102" s="133" t="s">
        <v>17</v>
      </c>
      <c r="D102" s="2">
        <v>2608364223.5799999</v>
      </c>
      <c r="E102" s="3">
        <f>(D102/$D$131)</f>
        <v>1.8104258318220115E-3</v>
      </c>
      <c r="F102" s="2">
        <f>110.8624*1470.691</f>
        <v>163044.33391839999</v>
      </c>
      <c r="G102" s="2">
        <f>110.8624*1470.691</f>
        <v>163044.33391839999</v>
      </c>
      <c r="H102" s="58">
        <v>241</v>
      </c>
      <c r="I102" s="5">
        <v>1.1000000000000001E-3</v>
      </c>
      <c r="J102" s="5">
        <v>2.8400000000000002E-2</v>
      </c>
      <c r="K102" s="2">
        <v>2722803272.1300001</v>
      </c>
      <c r="L102" s="3">
        <f t="shared" ref="L102:L116" si="23">(K102/$K$131)</f>
        <v>1.861961043140465E-3</v>
      </c>
      <c r="M102" s="2">
        <f>110.9826*1513.21</f>
        <v>167939.98014600002</v>
      </c>
      <c r="N102" s="2">
        <f>110.9826*1513.21</f>
        <v>167939.98014600002</v>
      </c>
      <c r="O102" s="58">
        <v>241</v>
      </c>
      <c r="P102" s="5">
        <v>1.1000000000000001E-3</v>
      </c>
      <c r="Q102" s="5">
        <v>2.9499999999999998E-2</v>
      </c>
      <c r="R102" s="78">
        <f>((K102-D102)/D102)</f>
        <v>4.387387601603112E-2</v>
      </c>
      <c r="S102" s="78">
        <f>((N102-G102)/G102)</f>
        <v>3.0026472616032057E-2</v>
      </c>
      <c r="T102" s="78">
        <f>((O102-H102)/H102)</f>
        <v>0</v>
      </c>
      <c r="U102" s="78">
        <f>P102-I102</f>
        <v>0</v>
      </c>
      <c r="V102" s="80">
        <f>Q102-J102</f>
        <v>1.0999999999999968E-3</v>
      </c>
      <c r="X102" s="111"/>
      <c r="Y102" s="113"/>
      <c r="Z102" s="111"/>
      <c r="AA102" s="101"/>
    </row>
    <row r="103" spans="1:28" ht="16.5" customHeight="1">
      <c r="A103" s="72">
        <v>88</v>
      </c>
      <c r="B103" s="132" t="s">
        <v>267</v>
      </c>
      <c r="C103" s="133" t="s">
        <v>50</v>
      </c>
      <c r="D103" s="2">
        <f>967649.84*1470.691</f>
        <v>1423113910.8394399</v>
      </c>
      <c r="E103" s="3">
        <f>(D103/$D$131)</f>
        <v>9.8776166400288304E-4</v>
      </c>
      <c r="F103" s="2">
        <f>100*1470.691</f>
        <v>147069.1</v>
      </c>
      <c r="G103" s="2">
        <f>100*1470.691</f>
        <v>147069.1</v>
      </c>
      <c r="H103" s="58">
        <v>14</v>
      </c>
      <c r="I103" s="5">
        <v>2.7219E-2</v>
      </c>
      <c r="J103" s="5">
        <v>6.9458000000000006E-2</v>
      </c>
      <c r="K103" s="2">
        <f>968850.76*1513.21</f>
        <v>1466074658.5396001</v>
      </c>
      <c r="L103" s="3">
        <f t="shared" si="23"/>
        <v>1.0025600925625236E-3</v>
      </c>
      <c r="M103" s="2">
        <f>100*1513.21</f>
        <v>151321</v>
      </c>
      <c r="N103" s="2">
        <f>100*1513.21</f>
        <v>151321</v>
      </c>
      <c r="O103" s="58">
        <v>14</v>
      </c>
      <c r="P103" s="5">
        <v>-2.5869999999999999E-3</v>
      </c>
      <c r="Q103" s="5">
        <v>6.6687099999999999E-2</v>
      </c>
      <c r="R103" s="78">
        <f>((K103-D103)/D103)</f>
        <v>3.0187848894555027E-2</v>
      </c>
      <c r="S103" s="78">
        <f>((N103-G103)/G103)</f>
        <v>2.8910899706328482E-2</v>
      </c>
      <c r="T103" s="78">
        <f>((O103-H103)/H103)</f>
        <v>0</v>
      </c>
      <c r="U103" s="78">
        <f>P103-I103</f>
        <v>-2.9805999999999999E-2</v>
      </c>
      <c r="V103" s="80">
        <f>Q103-J103</f>
        <v>-2.7709000000000067E-3</v>
      </c>
      <c r="X103" s="111"/>
      <c r="Y103" s="113"/>
      <c r="Z103" s="111"/>
      <c r="AA103" s="101"/>
    </row>
    <row r="104" spans="1:28">
      <c r="A104" s="72">
        <v>89</v>
      </c>
      <c r="B104" s="132" t="s">
        <v>130</v>
      </c>
      <c r="C104" s="133" t="s">
        <v>21</v>
      </c>
      <c r="D104" s="2">
        <f>10880720.47*1470.191</f>
        <v>15996737308.509771</v>
      </c>
      <c r="E104" s="3">
        <f>(D104/$D$131)</f>
        <v>1.1103091426567699E-2</v>
      </c>
      <c r="F104" s="2">
        <f>1.1302*1470.191</f>
        <v>1661.6098682000002</v>
      </c>
      <c r="G104" s="2">
        <f>1.1302*1470.191</f>
        <v>1661.6098682000002</v>
      </c>
      <c r="H104" s="58">
        <v>302</v>
      </c>
      <c r="I104" s="5">
        <v>-7.9000000000000001E-2</v>
      </c>
      <c r="J104" s="5">
        <v>-1.1900000000000001E-2</v>
      </c>
      <c r="K104" s="2">
        <f>10897871.89*1512.71</f>
        <v>16485319786.721901</v>
      </c>
      <c r="L104" s="3">
        <f t="shared" si="23"/>
        <v>1.1273316563402207E-2</v>
      </c>
      <c r="M104" s="2">
        <f>1.1314*1512.71</f>
        <v>1711.480094</v>
      </c>
      <c r="N104" s="2">
        <f>1.1314*1512.71</f>
        <v>1711.480094</v>
      </c>
      <c r="O104" s="58">
        <v>305</v>
      </c>
      <c r="P104" s="5">
        <v>5.5500000000000001E-2</v>
      </c>
      <c r="Q104" s="5">
        <v>-7.4099999999999999E-2</v>
      </c>
      <c r="R104" s="78">
        <f t="shared" ref="R104:R116" si="24">((K104-D104)/D104)</f>
        <v>3.05426330875746E-2</v>
      </c>
      <c r="S104" s="78">
        <f t="shared" ref="S104:S116" si="25">((N104-G104)/G104)</f>
        <v>3.0013197895859631E-2</v>
      </c>
      <c r="T104" s="78">
        <f t="shared" ref="T104:T116" si="26">((O104-H104)/H104)</f>
        <v>9.9337748344370865E-3</v>
      </c>
      <c r="U104" s="78">
        <f t="shared" ref="U104:U116" si="27">P104-I104</f>
        <v>0.13450000000000001</v>
      </c>
      <c r="V104" s="80">
        <f t="shared" ref="V104:V116" si="28">Q104-J104</f>
        <v>-6.2199999999999998E-2</v>
      </c>
    </row>
    <row r="105" spans="1:28">
      <c r="A105" s="72">
        <v>90</v>
      </c>
      <c r="B105" s="132" t="s">
        <v>266</v>
      </c>
      <c r="C105" s="133" t="s">
        <v>99</v>
      </c>
      <c r="D105" s="2">
        <f>1744242.72*1470.691</f>
        <v>2565242070.1195202</v>
      </c>
      <c r="E105" s="3">
        <f>(D105/$D$131)</f>
        <v>1.7804954026883477E-3</v>
      </c>
      <c r="F105" s="2">
        <f>1.0261*1470.691</f>
        <v>1509.0760351000001</v>
      </c>
      <c r="G105" s="2">
        <f>1.0261*1470.691</f>
        <v>1509.0760351000001</v>
      </c>
      <c r="H105" s="58">
        <v>215</v>
      </c>
      <c r="I105" s="5">
        <v>1.4E-3</v>
      </c>
      <c r="J105" s="5">
        <v>2.6100000000000002E-2</v>
      </c>
      <c r="K105" s="2">
        <f>1746792.53*1513.21</f>
        <v>2643263924.3213</v>
      </c>
      <c r="L105" s="3">
        <f t="shared" si="23"/>
        <v>1.8075688773411547E-3</v>
      </c>
      <c r="M105" s="2">
        <f>1.0276*1513.21</f>
        <v>1554.9745960000002</v>
      </c>
      <c r="N105" s="2">
        <f>1.0276*1513.21</f>
        <v>1554.9745960000002</v>
      </c>
      <c r="O105" s="58">
        <v>215</v>
      </c>
      <c r="P105" s="5">
        <v>1.1000000000000001E-3</v>
      </c>
      <c r="Q105" s="5">
        <v>2.76E-2</v>
      </c>
      <c r="R105" s="78">
        <f>((K105-D105)/D105)</f>
        <v>3.0415006486364322E-2</v>
      </c>
      <c r="S105" s="78">
        <f t="shared" ref="S105:T108" si="29">((N105-G105)/G105)</f>
        <v>3.0415008808325962E-2</v>
      </c>
      <c r="T105" s="78">
        <f t="shared" si="29"/>
        <v>0</v>
      </c>
      <c r="U105" s="78">
        <f>P105-I105</f>
        <v>-2.9999999999999992E-4</v>
      </c>
      <c r="V105" s="80">
        <f>Q105-J105</f>
        <v>1.4999999999999979E-3</v>
      </c>
    </row>
    <row r="106" spans="1:28">
      <c r="A106" s="72">
        <v>91</v>
      </c>
      <c r="B106" s="132" t="s">
        <v>271</v>
      </c>
      <c r="C106" s="133" t="s">
        <v>268</v>
      </c>
      <c r="D106" s="2">
        <f>378041.97*1470.691</f>
        <v>555982922.90126991</v>
      </c>
      <c r="E106" s="3">
        <f>(D106/$D$131)</f>
        <v>3.8589926842764528E-4</v>
      </c>
      <c r="F106" s="2">
        <f>1.06*1470.691</f>
        <v>1558.9324600000002</v>
      </c>
      <c r="G106" s="2">
        <f>1.07*1470.691</f>
        <v>1573.6393700000001</v>
      </c>
      <c r="H106" s="58">
        <v>14</v>
      </c>
      <c r="I106" s="5">
        <v>1.67E-2</v>
      </c>
      <c r="J106" s="5">
        <v>6.1800000000000001E-2</v>
      </c>
      <c r="K106" s="2">
        <f>380420.63*1513.21</f>
        <v>575656301.5223</v>
      </c>
      <c r="L106" s="3">
        <f t="shared" si="23"/>
        <v>3.9365664741336786E-4</v>
      </c>
      <c r="M106" s="2">
        <f>1.06*1513.21</f>
        <v>1604.0026</v>
      </c>
      <c r="N106" s="2">
        <f>1.07*1513.21</f>
        <v>1619.1347000000001</v>
      </c>
      <c r="O106" s="58">
        <v>14</v>
      </c>
      <c r="P106" s="5">
        <v>6.4000000000000003E-3</v>
      </c>
      <c r="Q106" s="5">
        <v>6.25E-2</v>
      </c>
      <c r="R106" s="78">
        <f>((K106-D106)/D106)</f>
        <v>3.5384861316187663E-2</v>
      </c>
      <c r="S106" s="78">
        <f t="shared" si="29"/>
        <v>2.8910899706328499E-2</v>
      </c>
      <c r="T106" s="78">
        <f t="shared" si="29"/>
        <v>0</v>
      </c>
      <c r="U106" s="78">
        <f>P106-I106</f>
        <v>-1.03E-2</v>
      </c>
      <c r="V106" s="80">
        <f>Q106-J106</f>
        <v>6.9999999999999923E-4</v>
      </c>
    </row>
    <row r="107" spans="1:28">
      <c r="A107" s="72">
        <v>92</v>
      </c>
      <c r="B107" s="132" t="s">
        <v>242</v>
      </c>
      <c r="C107" s="133" t="s">
        <v>25</v>
      </c>
      <c r="D107" s="2">
        <f>473867.59*1470.691</f>
        <v>696912799.80469</v>
      </c>
      <c r="E107" s="3">
        <v>0</v>
      </c>
      <c r="F107" s="2">
        <f>1.1484*1470.691</f>
        <v>1688.9415444000001</v>
      </c>
      <c r="G107" s="2">
        <f>1.1484*1470.691</f>
        <v>1688.9415444000001</v>
      </c>
      <c r="H107" s="58">
        <v>33</v>
      </c>
      <c r="I107" s="5">
        <v>1.74E-4</v>
      </c>
      <c r="J107" s="5">
        <v>0.1154</v>
      </c>
      <c r="K107" s="2">
        <f>488977.65*1513.21</f>
        <v>739925869.75650001</v>
      </c>
      <c r="L107" s="3">
        <f t="shared" si="23"/>
        <v>5.0599070391915181E-4</v>
      </c>
      <c r="M107" s="2">
        <f>1.1501*1513.21</f>
        <v>1740.342821</v>
      </c>
      <c r="N107" s="2">
        <f>1.1501*1513.21</f>
        <v>1740.342821</v>
      </c>
      <c r="O107" s="58">
        <v>33</v>
      </c>
      <c r="P107" s="5">
        <v>2.2599999999999999E-4</v>
      </c>
      <c r="Q107" s="5">
        <v>0.1167</v>
      </c>
      <c r="R107" s="78">
        <f>((K107-D107)/D107)</f>
        <v>6.1719443184089069E-2</v>
      </c>
      <c r="S107" s="78">
        <f t="shared" si="29"/>
        <v>3.0434017548108958E-2</v>
      </c>
      <c r="T107" s="78">
        <f t="shared" si="29"/>
        <v>0</v>
      </c>
      <c r="U107" s="78">
        <f>P107-I107</f>
        <v>5.199999999999999E-5</v>
      </c>
      <c r="V107" s="80">
        <f t="shared" si="28"/>
        <v>1.2999999999999956E-3</v>
      </c>
    </row>
    <row r="108" spans="1:28">
      <c r="A108" s="72">
        <v>93</v>
      </c>
      <c r="B108" s="132" t="s">
        <v>139</v>
      </c>
      <c r="C108" s="133" t="s">
        <v>64</v>
      </c>
      <c r="D108" s="2">
        <f>424392.98*1470.691</f>
        <v>624150936.14917994</v>
      </c>
      <c r="E108" s="3">
        <f t="shared" ref="E108:E116" si="30">(D108/$D$131)</f>
        <v>4.332136469075862E-4</v>
      </c>
      <c r="F108" s="2">
        <f>105.84*1470.691</f>
        <v>155657.93544</v>
      </c>
      <c r="G108" s="2">
        <f>107.87*1470.691</f>
        <v>158643.43817000001</v>
      </c>
      <c r="H108" s="58">
        <v>43</v>
      </c>
      <c r="I108" s="5">
        <v>1.9E-3</v>
      </c>
      <c r="J108" s="5">
        <v>3.7600000000000001E-2</v>
      </c>
      <c r="K108" s="2">
        <f>427529.44*1513.21</f>
        <v>646941823.90240002</v>
      </c>
      <c r="L108" s="3">
        <f t="shared" si="23"/>
        <v>4.4240451949442022E-4</v>
      </c>
      <c r="M108" s="2">
        <f>105.89*1513.21</f>
        <v>160233.8069</v>
      </c>
      <c r="N108" s="2">
        <f>107.94*1513.21</f>
        <v>163335.88740000001</v>
      </c>
      <c r="O108" s="58">
        <v>43</v>
      </c>
      <c r="P108" s="5">
        <v>5.0000000000000001E-4</v>
      </c>
      <c r="Q108" s="5">
        <v>3.8100000000000002E-2</v>
      </c>
      <c r="R108" s="78">
        <f>((K108-D108)/D108)</f>
        <v>3.6515026147093323E-2</v>
      </c>
      <c r="S108" s="78">
        <f t="shared" si="29"/>
        <v>2.957859010198479E-2</v>
      </c>
      <c r="T108" s="78">
        <f t="shared" si="29"/>
        <v>0</v>
      </c>
      <c r="U108" s="78">
        <f>P108-I108</f>
        <v>-1.4E-3</v>
      </c>
      <c r="V108" s="80">
        <f>Q108-J108</f>
        <v>5.0000000000000044E-4</v>
      </c>
    </row>
    <row r="109" spans="1:28">
      <c r="A109" s="72">
        <v>94</v>
      </c>
      <c r="B109" s="132" t="s">
        <v>131</v>
      </c>
      <c r="C109" s="133" t="s">
        <v>67</v>
      </c>
      <c r="D109" s="2">
        <v>4288584797.7179904</v>
      </c>
      <c r="E109" s="3">
        <f t="shared" si="30"/>
        <v>2.9766413101201985E-3</v>
      </c>
      <c r="F109" s="2">
        <v>157762.49426100001</v>
      </c>
      <c r="G109" s="2">
        <v>157762.49426100001</v>
      </c>
      <c r="H109" s="58">
        <v>56</v>
      </c>
      <c r="I109" s="5">
        <v>3.1826255283920059E-2</v>
      </c>
      <c r="J109" s="5">
        <v>0.11203346851533835</v>
      </c>
      <c r="K109" s="2">
        <v>4448084139.1941004</v>
      </c>
      <c r="L109" s="3">
        <f t="shared" si="23"/>
        <v>3.0417766382774395E-3</v>
      </c>
      <c r="M109" s="2">
        <v>162521.78042</v>
      </c>
      <c r="N109" s="2">
        <v>162521.78042</v>
      </c>
      <c r="O109" s="58">
        <v>57</v>
      </c>
      <c r="P109" s="5">
        <v>1.1849734511673365E-3</v>
      </c>
      <c r="Q109" s="5">
        <v>0.11700592546989474</v>
      </c>
      <c r="R109" s="78">
        <f t="shared" si="24"/>
        <v>3.7191602591368035E-2</v>
      </c>
      <c r="S109" s="78">
        <f t="shared" si="25"/>
        <v>3.0167411977692786E-2</v>
      </c>
      <c r="T109" s="78">
        <f t="shared" si="26"/>
        <v>1.7857142857142856E-2</v>
      </c>
      <c r="U109" s="78">
        <f t="shared" si="27"/>
        <v>-3.0641281832752724E-2</v>
      </c>
      <c r="V109" s="80">
        <f t="shared" si="28"/>
        <v>4.9724569545563924E-3</v>
      </c>
      <c r="X109" s="105"/>
    </row>
    <row r="110" spans="1:28">
      <c r="A110" s="72">
        <v>95</v>
      </c>
      <c r="B110" s="132" t="s">
        <v>132</v>
      </c>
      <c r="C110" s="133" t="s">
        <v>27</v>
      </c>
      <c r="D110" s="2">
        <v>42936619515.169998</v>
      </c>
      <c r="E110" s="3">
        <f t="shared" si="30"/>
        <v>2.980165285148979E-2</v>
      </c>
      <c r="F110" s="2">
        <v>193566.53</v>
      </c>
      <c r="G110" s="2">
        <v>193566.53</v>
      </c>
      <c r="H110" s="58">
        <v>2127</v>
      </c>
      <c r="I110" s="5">
        <v>1.5E-3</v>
      </c>
      <c r="J110" s="5">
        <v>3.7699999999999997E-2</v>
      </c>
      <c r="K110" s="2">
        <v>43061267776.169998</v>
      </c>
      <c r="L110" s="3">
        <f t="shared" si="23"/>
        <v>2.9447005550550208E-2</v>
      </c>
      <c r="M110" s="2">
        <v>194400.21</v>
      </c>
      <c r="N110" s="2">
        <v>194400.21</v>
      </c>
      <c r="O110" s="58">
        <v>2134</v>
      </c>
      <c r="P110" s="5">
        <v>1.4E-3</v>
      </c>
      <c r="Q110" s="5">
        <v>3.9100000000000003E-2</v>
      </c>
      <c r="R110" s="78">
        <f t="shared" si="24"/>
        <v>2.9030757988751385E-3</v>
      </c>
      <c r="S110" s="78">
        <f t="shared" si="25"/>
        <v>4.3069429410135781E-3</v>
      </c>
      <c r="T110" s="78">
        <f t="shared" si="26"/>
        <v>3.2910202162670429E-3</v>
      </c>
      <c r="U110" s="78">
        <f t="shared" si="27"/>
        <v>-1.0000000000000005E-4</v>
      </c>
      <c r="V110" s="80">
        <f t="shared" si="28"/>
        <v>1.4000000000000054E-3</v>
      </c>
    </row>
    <row r="111" spans="1:28">
      <c r="A111" s="72">
        <v>96</v>
      </c>
      <c r="B111" s="145" t="s">
        <v>133</v>
      </c>
      <c r="C111" s="145" t="s">
        <v>27</v>
      </c>
      <c r="D111" s="2">
        <v>78207203452.699997</v>
      </c>
      <c r="E111" s="3">
        <f t="shared" si="30"/>
        <v>5.4282427310322713E-2</v>
      </c>
      <c r="F111" s="2">
        <v>176270.63</v>
      </c>
      <c r="G111" s="2">
        <v>176270.63</v>
      </c>
      <c r="H111" s="58">
        <v>421</v>
      </c>
      <c r="I111" s="5">
        <v>2E-3</v>
      </c>
      <c r="J111" s="5">
        <v>4.6699999999999998E-2</v>
      </c>
      <c r="K111" s="2">
        <v>78899143085.350006</v>
      </c>
      <c r="L111" s="3">
        <f t="shared" si="23"/>
        <v>5.395436837681053E-2</v>
      </c>
      <c r="M111" s="2">
        <v>177114.48</v>
      </c>
      <c r="N111" s="2">
        <v>177114.48</v>
      </c>
      <c r="O111" s="58">
        <v>430</v>
      </c>
      <c r="P111" s="5">
        <v>1.9E-3</v>
      </c>
      <c r="Q111" s="5">
        <v>4.8599999999999997E-2</v>
      </c>
      <c r="R111" s="78">
        <f t="shared" si="24"/>
        <v>8.8475179024716921E-3</v>
      </c>
      <c r="S111" s="78">
        <f t="shared" si="25"/>
        <v>4.7872410735696914E-3</v>
      </c>
      <c r="T111" s="78">
        <f t="shared" si="26"/>
        <v>2.1377672209026127E-2</v>
      </c>
      <c r="U111" s="78">
        <f t="shared" si="27"/>
        <v>-1.0000000000000005E-4</v>
      </c>
      <c r="V111" s="80">
        <f t="shared" si="28"/>
        <v>1.8999999999999989E-3</v>
      </c>
    </row>
    <row r="112" spans="1:28">
      <c r="A112" s="72">
        <v>97</v>
      </c>
      <c r="B112" s="132" t="s">
        <v>134</v>
      </c>
      <c r="C112" s="133" t="s">
        <v>31</v>
      </c>
      <c r="D112" s="2">
        <f>96980.39*1470.691</f>
        <v>142628186.74948999</v>
      </c>
      <c r="E112" s="3">
        <f t="shared" si="30"/>
        <v>9.8996049440827231E-5</v>
      </c>
      <c r="F112" s="2">
        <f>112.195*1470.691</f>
        <v>165004.176745</v>
      </c>
      <c r="G112" s="2">
        <f>112.195*1470.691</f>
        <v>165004.176745</v>
      </c>
      <c r="H112" s="58">
        <v>4</v>
      </c>
      <c r="I112" s="5">
        <v>2.2000000000000001E-3</v>
      </c>
      <c r="J112" s="5">
        <v>-2.1000000000000001E-2</v>
      </c>
      <c r="K112" s="2">
        <f>97196.3644*1513.21</f>
        <v>147078510.573724</v>
      </c>
      <c r="L112" s="3">
        <f t="shared" si="23"/>
        <v>1.0057812834827602E-4</v>
      </c>
      <c r="M112" s="2">
        <f>112.4447*1513.21</f>
        <v>170152.444487</v>
      </c>
      <c r="N112" s="2">
        <f>112.4447*1513.21</f>
        <v>170152.444487</v>
      </c>
      <c r="O112" s="58">
        <v>4</v>
      </c>
      <c r="P112" s="5">
        <v>2.2000000000000001E-3</v>
      </c>
      <c r="Q112" s="5">
        <v>-1.8800000000000001E-2</v>
      </c>
      <c r="R112" s="78">
        <f t="shared" si="24"/>
        <v>3.1202274428759939E-2</v>
      </c>
      <c r="S112" s="78">
        <f t="shared" si="25"/>
        <v>3.1200832873195743E-2</v>
      </c>
      <c r="T112" s="78">
        <f t="shared" si="26"/>
        <v>0</v>
      </c>
      <c r="U112" s="78">
        <f t="shared" si="27"/>
        <v>0</v>
      </c>
      <c r="V112" s="80">
        <f t="shared" si="28"/>
        <v>2.2000000000000006E-3</v>
      </c>
    </row>
    <row r="113" spans="1:24">
      <c r="A113" s="72">
        <v>98</v>
      </c>
      <c r="B113" s="132" t="s">
        <v>135</v>
      </c>
      <c r="C113" s="133" t="s">
        <v>34</v>
      </c>
      <c r="D113" s="2">
        <f>10214100.46*1470.691</f>
        <v>15021785619.617861</v>
      </c>
      <c r="E113" s="3">
        <f t="shared" si="30"/>
        <v>1.0426392326652186E-2</v>
      </c>
      <c r="F113" s="2">
        <f>1.35*1470.691</f>
        <v>1985.4328500000001</v>
      </c>
      <c r="G113" s="2">
        <f>1.35*1470.691</f>
        <v>1985.4328500000001</v>
      </c>
      <c r="H113" s="59">
        <v>113</v>
      </c>
      <c r="I113" s="12">
        <v>0</v>
      </c>
      <c r="J113" s="12">
        <v>5.1999999999999998E-3</v>
      </c>
      <c r="K113" s="2">
        <f>10275238.12*1513.21</f>
        <v>15548593075.565199</v>
      </c>
      <c r="L113" s="3">
        <f t="shared" si="23"/>
        <v>1.0632745626054077E-2</v>
      </c>
      <c r="M113" s="2">
        <f>1.35*1513.21</f>
        <v>2042.8335000000002</v>
      </c>
      <c r="N113" s="2">
        <f>1.35*1513.21</f>
        <v>2042.8335000000002</v>
      </c>
      <c r="O113" s="59">
        <v>112</v>
      </c>
      <c r="P113" s="12">
        <v>8.9999999999999998E-4</v>
      </c>
      <c r="Q113" s="12">
        <v>4.7399999999999998E-2</v>
      </c>
      <c r="R113" s="78">
        <f t="shared" si="24"/>
        <v>3.506956291929425E-2</v>
      </c>
      <c r="S113" s="78">
        <f t="shared" si="25"/>
        <v>2.8910899706328541E-2</v>
      </c>
      <c r="T113" s="78">
        <f t="shared" si="26"/>
        <v>-8.8495575221238937E-3</v>
      </c>
      <c r="U113" s="78">
        <f t="shared" si="27"/>
        <v>8.9999999999999998E-4</v>
      </c>
      <c r="V113" s="80">
        <f t="shared" si="28"/>
        <v>4.2200000000000001E-2</v>
      </c>
    </row>
    <row r="114" spans="1:24">
      <c r="A114" s="72">
        <v>99</v>
      </c>
      <c r="B114" s="132" t="s">
        <v>136</v>
      </c>
      <c r="C114" s="133" t="s">
        <v>78</v>
      </c>
      <c r="D114" s="2">
        <f>11497239.93*1470.691</f>
        <v>16908887289.89163</v>
      </c>
      <c r="E114" s="3">
        <f t="shared" si="30"/>
        <v>1.1736200818983437E-2</v>
      </c>
      <c r="F114" s="2">
        <f>105.29*1470.691</f>
        <v>154849.05539000002</v>
      </c>
      <c r="G114" s="2">
        <f>105.29*1470.691</f>
        <v>154849.05539000002</v>
      </c>
      <c r="H114" s="58">
        <v>349</v>
      </c>
      <c r="I114" s="5">
        <v>1.8E-3</v>
      </c>
      <c r="J114" s="5">
        <v>5.0999999999999997E-2</v>
      </c>
      <c r="K114" s="2">
        <f>11538581.11*1513.21</f>
        <v>17460296321.4631</v>
      </c>
      <c r="L114" s="3">
        <f t="shared" si="23"/>
        <v>1.1940044249623942E-2</v>
      </c>
      <c r="M114" s="2">
        <f>102.98*1513.21</f>
        <v>155830.3658</v>
      </c>
      <c r="N114" s="2">
        <f>102.98*1513.21</f>
        <v>155830.3658</v>
      </c>
      <c r="O114" s="58">
        <v>350</v>
      </c>
      <c r="P114" s="5">
        <v>1.8E-3</v>
      </c>
      <c r="Q114" s="5">
        <v>5.28E-2</v>
      </c>
      <c r="R114" s="78">
        <f t="shared" si="24"/>
        <v>3.2610604241303937E-2</v>
      </c>
      <c r="S114" s="78">
        <f t="shared" si="25"/>
        <v>6.3372063040905598E-3</v>
      </c>
      <c r="T114" s="78">
        <f t="shared" si="26"/>
        <v>2.8653295128939827E-3</v>
      </c>
      <c r="U114" s="78">
        <f t="shared" si="27"/>
        <v>0</v>
      </c>
      <c r="V114" s="80">
        <f t="shared" si="28"/>
        <v>1.800000000000003E-3</v>
      </c>
    </row>
    <row r="115" spans="1:24">
      <c r="A115" s="72">
        <v>100</v>
      </c>
      <c r="B115" s="132" t="s">
        <v>137</v>
      </c>
      <c r="C115" s="133" t="s">
        <v>38</v>
      </c>
      <c r="D115" s="2">
        <f>1925422.6*1480.518</f>
        <v>2850622816.9068003</v>
      </c>
      <c r="E115" s="3">
        <f t="shared" si="30"/>
        <v>1.9785738271728037E-3</v>
      </c>
      <c r="F115" s="2">
        <f>135.9*1480.518</f>
        <v>201202.39620000002</v>
      </c>
      <c r="G115" s="2">
        <f>139.45*1480.518</f>
        <v>206458.23509999999</v>
      </c>
      <c r="H115" s="58">
        <v>49</v>
      </c>
      <c r="I115" s="5">
        <v>5.5599999999999997E-2</v>
      </c>
      <c r="J115" s="5">
        <v>3.1099999999999999E-2</v>
      </c>
      <c r="K115" s="2">
        <f>1925422.6*1480.518</f>
        <v>2850622816.9068003</v>
      </c>
      <c r="L115" s="3">
        <f t="shared" si="23"/>
        <v>1.9493691255981342E-3</v>
      </c>
      <c r="M115" s="2">
        <f>135.9*1480.518</f>
        <v>201202.39620000002</v>
      </c>
      <c r="N115" s="2">
        <f>139.45*1480.518</f>
        <v>206458.23509999999</v>
      </c>
      <c r="O115" s="58">
        <v>49</v>
      </c>
      <c r="P115" s="5">
        <v>5.5599999999999997E-2</v>
      </c>
      <c r="Q115" s="5">
        <v>3.1099999999999999E-2</v>
      </c>
      <c r="R115" s="78">
        <f t="shared" si="24"/>
        <v>0</v>
      </c>
      <c r="S115" s="78">
        <f t="shared" si="25"/>
        <v>0</v>
      </c>
      <c r="T115" s="78">
        <f t="shared" si="26"/>
        <v>0</v>
      </c>
      <c r="U115" s="78">
        <f t="shared" si="27"/>
        <v>0</v>
      </c>
      <c r="V115" s="80">
        <f t="shared" si="28"/>
        <v>0</v>
      </c>
    </row>
    <row r="116" spans="1:24" ht="16.5" customHeight="1">
      <c r="A116" s="72">
        <v>101</v>
      </c>
      <c r="B116" s="132" t="s">
        <v>138</v>
      </c>
      <c r="C116" s="133" t="s">
        <v>45</v>
      </c>
      <c r="D116" s="4">
        <v>223539019399.04001</v>
      </c>
      <c r="E116" s="3">
        <f t="shared" si="30"/>
        <v>0.15515502454819319</v>
      </c>
      <c r="F116" s="2">
        <v>181970.45</v>
      </c>
      <c r="G116" s="2">
        <v>181970.45</v>
      </c>
      <c r="H116" s="58">
        <v>3199</v>
      </c>
      <c r="I116" s="5">
        <v>6.4299999999999996E-2</v>
      </c>
      <c r="J116" s="5">
        <v>5.3600000000000002E-2</v>
      </c>
      <c r="K116" s="4">
        <v>220912580754.59698</v>
      </c>
      <c r="L116" s="3">
        <f t="shared" si="23"/>
        <v>0.1510687986587092</v>
      </c>
      <c r="M116" s="2">
        <v>182688.94</v>
      </c>
      <c r="N116" s="2">
        <v>182688.94</v>
      </c>
      <c r="O116" s="58">
        <v>3196</v>
      </c>
      <c r="P116" s="5">
        <v>5.5800000000000002E-2</v>
      </c>
      <c r="Q116" s="5">
        <v>5.3499999999999999E-2</v>
      </c>
      <c r="R116" s="78">
        <f t="shared" si="24"/>
        <v>-1.1749352088525369E-2</v>
      </c>
      <c r="S116" s="78">
        <f t="shared" si="25"/>
        <v>3.9483883234887347E-3</v>
      </c>
      <c r="T116" s="78">
        <f t="shared" si="26"/>
        <v>-9.3779306033135354E-4</v>
      </c>
      <c r="U116" s="78">
        <f t="shared" si="27"/>
        <v>-8.4999999999999937E-3</v>
      </c>
      <c r="V116" s="80">
        <f t="shared" si="28"/>
        <v>-1.0000000000000286E-4</v>
      </c>
    </row>
    <row r="117" spans="1:24" ht="6" customHeight="1">
      <c r="A117" s="154"/>
      <c r="B117" s="154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</row>
    <row r="118" spans="1:24">
      <c r="A118" s="165" t="s">
        <v>230</v>
      </c>
      <c r="B118" s="165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</row>
    <row r="119" spans="1:24">
      <c r="A119" s="72">
        <v>102</v>
      </c>
      <c r="B119" s="132" t="s">
        <v>140</v>
      </c>
      <c r="C119" s="133" t="s">
        <v>97</v>
      </c>
      <c r="D119" s="4">
        <v>1610883903.6800001</v>
      </c>
      <c r="E119" s="3">
        <f>(D119/$D$131)</f>
        <v>1.1180899526699502E-3</v>
      </c>
      <c r="F119" s="2">
        <v>169078.23</v>
      </c>
      <c r="G119" s="2">
        <v>169078.23</v>
      </c>
      <c r="H119" s="58">
        <v>22</v>
      </c>
      <c r="I119" s="5">
        <v>9.5589999999999998E-3</v>
      </c>
      <c r="J119" s="5">
        <v>0.05</v>
      </c>
      <c r="K119" s="4">
        <v>1613075129</v>
      </c>
      <c r="L119" s="3">
        <f t="shared" ref="L119:L130" si="31">(K119/$K$131)</f>
        <v>1.1030848539810992E-3</v>
      </c>
      <c r="M119" s="2">
        <v>169822.07</v>
      </c>
      <c r="N119" s="2">
        <v>169822.07</v>
      </c>
      <c r="O119" s="58">
        <v>22</v>
      </c>
      <c r="P119" s="5">
        <v>4.3990000000000001E-3</v>
      </c>
      <c r="Q119" s="5">
        <v>5.45E-2</v>
      </c>
      <c r="R119" s="78">
        <f>((K119-D119)/D119)</f>
        <v>1.3602627197367646E-3</v>
      </c>
      <c r="S119" s="78">
        <f>((N119-G119)/G119)</f>
        <v>4.3993836462565081E-3</v>
      </c>
      <c r="T119" s="78">
        <f>((O119-H119)/H119)</f>
        <v>0</v>
      </c>
      <c r="U119" s="78">
        <f>P119-I119</f>
        <v>-5.1599999999999997E-3</v>
      </c>
      <c r="V119" s="80">
        <f>Q119-J119</f>
        <v>4.4999999999999971E-3</v>
      </c>
    </row>
    <row r="120" spans="1:24">
      <c r="A120" s="72">
        <v>103</v>
      </c>
      <c r="B120" s="133" t="s">
        <v>141</v>
      </c>
      <c r="C120" s="133" t="s">
        <v>23</v>
      </c>
      <c r="D120" s="2">
        <f>8747587.21*1470.691</f>
        <v>12864997781.462112</v>
      </c>
      <c r="E120" s="3">
        <f>(D120/$D$131)</f>
        <v>8.9293987777230854E-3</v>
      </c>
      <c r="F120" s="4">
        <f>129.78*1470.691</f>
        <v>190866.27798000001</v>
      </c>
      <c r="G120" s="4">
        <f>129.78*1470.691</f>
        <v>190866.27798000001</v>
      </c>
      <c r="H120" s="58">
        <v>441</v>
      </c>
      <c r="I120" s="5">
        <v>5.0000000000000001E-4</v>
      </c>
      <c r="J120" s="5">
        <v>2.7900000000000001E-2</v>
      </c>
      <c r="K120" s="2">
        <f>8962721.99*1513.21</f>
        <v>13562480542.4879</v>
      </c>
      <c r="L120" s="3">
        <f t="shared" si="31"/>
        <v>9.2745629759392097E-3</v>
      </c>
      <c r="M120" s="4">
        <f>129.93*1513.21</f>
        <v>196611.37530000001</v>
      </c>
      <c r="N120" s="4">
        <f>129.93*1513.21</f>
        <v>196611.37530000001</v>
      </c>
      <c r="O120" s="58">
        <v>445</v>
      </c>
      <c r="P120" s="5">
        <v>5.0000000000000001E-4</v>
      </c>
      <c r="Q120" s="5">
        <v>2.9000000000000001E-2</v>
      </c>
      <c r="R120" s="78">
        <f t="shared" ref="R120:R131" si="32">((K120-D120)/D120)</f>
        <v>5.421553682899416E-2</v>
      </c>
      <c r="S120" s="78">
        <f t="shared" ref="S120:S131" si="33">((N120-G120)/G120)</f>
        <v>3.0100117112369124E-2</v>
      </c>
      <c r="T120" s="78">
        <f t="shared" ref="T120:T131" si="34">((O120-H120)/H120)</f>
        <v>9.0702947845804991E-3</v>
      </c>
      <c r="U120" s="78">
        <f t="shared" ref="U120:U131" si="35">P120-I120</f>
        <v>0</v>
      </c>
      <c r="V120" s="80">
        <f t="shared" ref="V120:V131" si="36">Q120-J120</f>
        <v>1.1000000000000003E-3</v>
      </c>
    </row>
    <row r="121" spans="1:24">
      <c r="A121" s="72">
        <v>104</v>
      </c>
      <c r="B121" s="132" t="s">
        <v>142</v>
      </c>
      <c r="C121" s="133" t="s">
        <v>58</v>
      </c>
      <c r="D121" s="4">
        <v>16040201323.32</v>
      </c>
      <c r="E121" s="3">
        <f t="shared" ref="E121:E130" si="37">(D121/$D$131)</f>
        <v>1.1133259136451072E-2</v>
      </c>
      <c r="F121" s="4">
        <v>169218.69</v>
      </c>
      <c r="G121" s="4">
        <v>169218.69</v>
      </c>
      <c r="H121" s="58">
        <v>611</v>
      </c>
      <c r="I121" s="5">
        <v>1.1999999999999999E-3</v>
      </c>
      <c r="J121" s="5">
        <v>6.3600000000000004E-2</v>
      </c>
      <c r="K121" s="4">
        <v>15810835493.1</v>
      </c>
      <c r="L121" s="3">
        <f t="shared" si="31"/>
        <v>1.0812077408965738E-2</v>
      </c>
      <c r="M121" s="4">
        <v>170722.98</v>
      </c>
      <c r="N121" s="4">
        <v>170722.98</v>
      </c>
      <c r="O121" s="58">
        <v>614</v>
      </c>
      <c r="P121" s="5">
        <v>1.2999999999999999E-3</v>
      </c>
      <c r="Q121" s="5">
        <v>6.4399999999999999E-2</v>
      </c>
      <c r="R121" s="78">
        <f t="shared" si="32"/>
        <v>-1.4299435873447328E-2</v>
      </c>
      <c r="S121" s="78">
        <f t="shared" si="33"/>
        <v>8.8896208805304428E-3</v>
      </c>
      <c r="T121" s="78">
        <f t="shared" si="34"/>
        <v>4.9099836333878887E-3</v>
      </c>
      <c r="U121" s="78">
        <f t="shared" si="35"/>
        <v>1.0000000000000005E-4</v>
      </c>
      <c r="V121" s="80">
        <f t="shared" si="36"/>
        <v>7.9999999999999516E-4</v>
      </c>
    </row>
    <row r="122" spans="1:24">
      <c r="A122" s="72">
        <v>105</v>
      </c>
      <c r="B122" s="132" t="s">
        <v>143</v>
      </c>
      <c r="C122" s="133" t="s">
        <v>56</v>
      </c>
      <c r="D122" s="4">
        <v>6507957943.0830212</v>
      </c>
      <c r="E122" s="3">
        <f t="shared" si="37"/>
        <v>4.5170743664002646E-3</v>
      </c>
      <c r="F122" s="4">
        <v>1826.1311912710194</v>
      </c>
      <c r="G122" s="4">
        <v>1826.1311912710194</v>
      </c>
      <c r="H122" s="58">
        <v>194</v>
      </c>
      <c r="I122" s="5">
        <v>5.5910425255906893E-2</v>
      </c>
      <c r="J122" s="5">
        <v>5.2012758743197801E-2</v>
      </c>
      <c r="K122" s="4">
        <v>6750668179.8156939</v>
      </c>
      <c r="L122" s="3">
        <f t="shared" si="31"/>
        <v>4.6163750773488285E-3</v>
      </c>
      <c r="M122" s="4">
        <v>1869.2650476337376</v>
      </c>
      <c r="N122" s="4">
        <v>1869.2650476337376</v>
      </c>
      <c r="O122" s="58">
        <v>195</v>
      </c>
      <c r="P122" s="5">
        <v>5.6075892872155308E-2</v>
      </c>
      <c r="Q122" s="5">
        <v>5.2218549684671406E-2</v>
      </c>
      <c r="R122" s="78">
        <f t="shared" si="32"/>
        <v>3.7294376954392756E-2</v>
      </c>
      <c r="S122" s="78">
        <f t="shared" si="33"/>
        <v>2.362034916708055E-2</v>
      </c>
      <c r="T122" s="78">
        <f t="shared" si="34"/>
        <v>5.1546391752577319E-3</v>
      </c>
      <c r="U122" s="78">
        <f t="shared" si="35"/>
        <v>1.6546761624841588E-4</v>
      </c>
      <c r="V122" s="80">
        <f t="shared" si="36"/>
        <v>2.0579094147360477E-4</v>
      </c>
    </row>
    <row r="123" spans="1:24" ht="15.75">
      <c r="A123" s="72">
        <v>106</v>
      </c>
      <c r="B123" s="132" t="s">
        <v>252</v>
      </c>
      <c r="C123" s="133" t="s">
        <v>114</v>
      </c>
      <c r="D123" s="4">
        <v>1362428703.4100001</v>
      </c>
      <c r="E123" s="3">
        <f t="shared" si="37"/>
        <v>9.4564098693388735E-4</v>
      </c>
      <c r="F123" s="4">
        <f>1.06*1470.691</f>
        <v>1558.9324600000002</v>
      </c>
      <c r="G123" s="4">
        <f>1.08*1470.691</f>
        <v>1588.3462800000002</v>
      </c>
      <c r="H123" s="58">
        <v>36</v>
      </c>
      <c r="I123" s="5">
        <v>5.8999999999999999E-3</v>
      </c>
      <c r="J123" s="5">
        <v>7.4200000000000002E-2</v>
      </c>
      <c r="K123" s="4">
        <v>1354158399.4300001</v>
      </c>
      <c r="L123" s="3">
        <f t="shared" si="31"/>
        <v>9.2602730861553108E-4</v>
      </c>
      <c r="M123" s="4">
        <f>1.06*1513.21</f>
        <v>1604.0026</v>
      </c>
      <c r="N123" s="4">
        <f>1.08*1513.21</f>
        <v>1634.2668000000001</v>
      </c>
      <c r="O123" s="58">
        <v>36</v>
      </c>
      <c r="P123" s="5">
        <v>5.1000000000000004E-3</v>
      </c>
      <c r="Q123" s="5">
        <v>0.08</v>
      </c>
      <c r="R123" s="78">
        <f t="shared" si="32"/>
        <v>-6.0702655187023094E-3</v>
      </c>
      <c r="S123" s="78">
        <f t="shared" si="33"/>
        <v>2.8910899706328454E-2</v>
      </c>
      <c r="T123" s="78">
        <f t="shared" si="34"/>
        <v>0</v>
      </c>
      <c r="U123" s="78">
        <f t="shared" si="35"/>
        <v>-7.999999999999995E-4</v>
      </c>
      <c r="V123" s="80">
        <f t="shared" si="36"/>
        <v>5.7999999999999996E-3</v>
      </c>
      <c r="X123" s="114"/>
    </row>
    <row r="124" spans="1:24" ht="15.75">
      <c r="A124" s="72">
        <v>107</v>
      </c>
      <c r="B124" s="132" t="s">
        <v>258</v>
      </c>
      <c r="C124" s="133" t="s">
        <v>36</v>
      </c>
      <c r="D124" s="2">
        <f>1292838.9197*1470.691</f>
        <v>1901366563.6525128</v>
      </c>
      <c r="E124" s="3">
        <f t="shared" si="37"/>
        <v>1.3197095372956007E-3</v>
      </c>
      <c r="F124" s="4">
        <f>10.18*1470.691</f>
        <v>14971.63438</v>
      </c>
      <c r="G124" s="4">
        <f>10.18*1470.691</f>
        <v>14971.63438</v>
      </c>
      <c r="H124" s="58">
        <v>52</v>
      </c>
      <c r="I124" s="5">
        <v>7.6399999999999996E-2</v>
      </c>
      <c r="J124" s="5">
        <v>9.7600000000000006E-2</v>
      </c>
      <c r="K124" s="2">
        <f>1603426.6447*1513.21</f>
        <v>2426321233.0264874</v>
      </c>
      <c r="L124" s="3">
        <f t="shared" si="31"/>
        <v>1.6592148468022553E-3</v>
      </c>
      <c r="M124" s="4">
        <f>10.21*1513.21</f>
        <v>15449.874100000001</v>
      </c>
      <c r="N124" s="4">
        <f>10.21*1513.21</f>
        <v>15449.874100000001</v>
      </c>
      <c r="O124" s="58">
        <v>56</v>
      </c>
      <c r="P124" s="5">
        <v>7.6399999999999996E-2</v>
      </c>
      <c r="Q124" s="5">
        <v>9.5200000000000007E-2</v>
      </c>
      <c r="R124" s="78">
        <f>((K124-D124)/D124)</f>
        <v>0.27609335275442104</v>
      </c>
      <c r="S124" s="78">
        <f>((N124-G124)/G124)</f>
        <v>3.1943053634736263E-2</v>
      </c>
      <c r="T124" s="78">
        <f>((O124-H124)/H124)</f>
        <v>7.6923076923076927E-2</v>
      </c>
      <c r="U124" s="78">
        <f>P124-I124</f>
        <v>0</v>
      </c>
      <c r="V124" s="80">
        <f>Q124-J124</f>
        <v>-2.3999999999999994E-3</v>
      </c>
      <c r="X124" s="114"/>
    </row>
    <row r="125" spans="1:24" ht="15.75">
      <c r="A125" s="72">
        <v>108</v>
      </c>
      <c r="B125" s="133" t="s">
        <v>144</v>
      </c>
      <c r="C125" s="143" t="s">
        <v>40</v>
      </c>
      <c r="D125" s="4">
        <v>19252170687</v>
      </c>
      <c r="E125" s="3">
        <f t="shared" si="37"/>
        <v>1.3362638091452227E-2</v>
      </c>
      <c r="F125" s="4">
        <f>1.0687*1470.691</f>
        <v>1571.7274717</v>
      </c>
      <c r="G125" s="4">
        <f>1.0687*1470.691</f>
        <v>1571.7274717</v>
      </c>
      <c r="H125" s="58">
        <v>371</v>
      </c>
      <c r="I125" s="5">
        <v>1.47E-2</v>
      </c>
      <c r="J125" s="5">
        <v>0.1048</v>
      </c>
      <c r="K125" s="4">
        <v>17317828162</v>
      </c>
      <c r="L125" s="3">
        <f t="shared" si="31"/>
        <v>1.1842618862515199E-2</v>
      </c>
      <c r="M125" s="4">
        <f>1.0685*1513.21</f>
        <v>1616.864885</v>
      </c>
      <c r="N125" s="4">
        <f>1.0685*1513.21</f>
        <v>1616.864885</v>
      </c>
      <c r="O125" s="58">
        <v>371</v>
      </c>
      <c r="P125" s="5">
        <v>-4.5999999999999999E-3</v>
      </c>
      <c r="Q125" s="5">
        <v>0.10050000000000001</v>
      </c>
      <c r="R125" s="78">
        <f t="shared" si="32"/>
        <v>-0.1004739962287038</v>
      </c>
      <c r="S125" s="78">
        <f t="shared" si="33"/>
        <v>2.8718345968196855E-2</v>
      </c>
      <c r="T125" s="78">
        <f t="shared" si="34"/>
        <v>0</v>
      </c>
      <c r="U125" s="78">
        <f t="shared" si="35"/>
        <v>-1.9299999999999998E-2</v>
      </c>
      <c r="V125" s="80">
        <f t="shared" si="36"/>
        <v>-4.2999999999999983E-3</v>
      </c>
      <c r="X125" s="114"/>
    </row>
    <row r="126" spans="1:24">
      <c r="A126" s="72">
        <v>109</v>
      </c>
      <c r="B126" s="132" t="s">
        <v>145</v>
      </c>
      <c r="C126" s="133" t="s">
        <v>80</v>
      </c>
      <c r="D126" s="2">
        <v>430409387.80000001</v>
      </c>
      <c r="E126" s="3">
        <f t="shared" si="37"/>
        <v>2.9874059262411078E-4</v>
      </c>
      <c r="F126" s="4">
        <f>1.04*1470.691</f>
        <v>1529.51864</v>
      </c>
      <c r="G126" s="4">
        <f>1.04*1470.691</f>
        <v>1529.51864</v>
      </c>
      <c r="H126" s="58">
        <v>3</v>
      </c>
      <c r="I126" s="5">
        <v>5.2839999999999996E-3</v>
      </c>
      <c r="J126" s="5">
        <v>8.5559999999999994E-3</v>
      </c>
      <c r="K126" s="2">
        <v>456183443.31999999</v>
      </c>
      <c r="L126" s="3">
        <f t="shared" si="31"/>
        <v>3.119563608145106E-4</v>
      </c>
      <c r="M126" s="4">
        <f>1.05*1521.73</f>
        <v>1597.8165000000001</v>
      </c>
      <c r="N126" s="4">
        <f>1.05*1521.73</f>
        <v>1597.8165000000001</v>
      </c>
      <c r="O126" s="58">
        <v>3</v>
      </c>
      <c r="P126" s="5">
        <v>8.6759999999999997E-3</v>
      </c>
      <c r="Q126" s="5">
        <v>1.7305999999999998E-2</v>
      </c>
      <c r="R126" s="78">
        <f t="shared" si="32"/>
        <v>5.9882651843961431E-2</v>
      </c>
      <c r="S126" s="78">
        <f t="shared" si="33"/>
        <v>4.4653172713213958E-2</v>
      </c>
      <c r="T126" s="78">
        <f t="shared" si="34"/>
        <v>0</v>
      </c>
      <c r="U126" s="78">
        <f t="shared" si="35"/>
        <v>3.392E-3</v>
      </c>
      <c r="V126" s="80">
        <f t="shared" si="36"/>
        <v>8.7499999999999991E-3</v>
      </c>
    </row>
    <row r="127" spans="1:24">
      <c r="A127" s="72">
        <v>110</v>
      </c>
      <c r="B127" s="132" t="s">
        <v>146</v>
      </c>
      <c r="C127" s="133" t="s">
        <v>42</v>
      </c>
      <c r="D127" s="2">
        <v>854333596379.18005</v>
      </c>
      <c r="E127" s="3">
        <f t="shared" si="37"/>
        <v>0.59297992124558419</v>
      </c>
      <c r="F127" s="4">
        <v>2259.1</v>
      </c>
      <c r="G127" s="4">
        <v>2259.1</v>
      </c>
      <c r="H127" s="58">
        <v>7663</v>
      </c>
      <c r="I127" s="5">
        <v>1.5E-3</v>
      </c>
      <c r="J127" s="5">
        <v>3.6400000000000002E-2</v>
      </c>
      <c r="K127" s="2">
        <v>874949741426.57996</v>
      </c>
      <c r="L127" s="3">
        <f t="shared" si="31"/>
        <v>0.59832539130441176</v>
      </c>
      <c r="M127" s="4">
        <v>2313.1799999999998</v>
      </c>
      <c r="N127" s="4">
        <v>2313.1799999999998</v>
      </c>
      <c r="O127" s="58">
        <v>7734</v>
      </c>
      <c r="P127" s="5">
        <v>1.4E-3</v>
      </c>
      <c r="Q127" s="5">
        <v>3.78E-2</v>
      </c>
      <c r="R127" s="78">
        <f t="shared" si="32"/>
        <v>2.413125871998344E-2</v>
      </c>
      <c r="S127" s="78">
        <f t="shared" si="33"/>
        <v>2.3938736665043571E-2</v>
      </c>
      <c r="T127" s="78">
        <f t="shared" si="34"/>
        <v>9.2653007960328861E-3</v>
      </c>
      <c r="U127" s="78">
        <f t="shared" si="35"/>
        <v>-1.0000000000000005E-4</v>
      </c>
      <c r="V127" s="80">
        <f t="shared" si="36"/>
        <v>1.3999999999999985E-3</v>
      </c>
    </row>
    <row r="128" spans="1:24" ht="16.5" customHeight="1">
      <c r="A128" s="72">
        <v>111</v>
      </c>
      <c r="B128" s="132" t="s">
        <v>147</v>
      </c>
      <c r="C128" s="133" t="s">
        <v>45</v>
      </c>
      <c r="D128" s="2">
        <v>60074440342.190002</v>
      </c>
      <c r="E128" s="3">
        <f t="shared" si="37"/>
        <v>4.1696752947514661E-2</v>
      </c>
      <c r="F128" s="4">
        <f>1.1129*1505.3</f>
        <v>1675.24837</v>
      </c>
      <c r="G128" s="4">
        <f>1.1129*1505.3</f>
        <v>1675.24837</v>
      </c>
      <c r="H128" s="58">
        <v>288</v>
      </c>
      <c r="I128" s="5">
        <v>0.1038</v>
      </c>
      <c r="J128" s="5">
        <v>8.2600000000000007E-2</v>
      </c>
      <c r="K128" s="2">
        <v>60972719155.952499</v>
      </c>
      <c r="L128" s="3">
        <f t="shared" si="31"/>
        <v>4.1695567551568412E-2</v>
      </c>
      <c r="M128" s="4">
        <f>1.115*1513.21</f>
        <v>1687.2291500000001</v>
      </c>
      <c r="N128" s="4">
        <f>1.115*1513.21</f>
        <v>1687.2291500000001</v>
      </c>
      <c r="O128" s="58">
        <v>289</v>
      </c>
      <c r="P128" s="5">
        <v>0.1033</v>
      </c>
      <c r="Q128" s="5">
        <v>8.3299999999999999E-2</v>
      </c>
      <c r="R128" s="78">
        <f t="shared" si="32"/>
        <v>1.4952762083938049E-2</v>
      </c>
      <c r="S128" s="78">
        <f t="shared" si="33"/>
        <v>7.1516440275659517E-3</v>
      </c>
      <c r="T128" s="78">
        <f t="shared" si="34"/>
        <v>3.472222222222222E-3</v>
      </c>
      <c r="U128" s="78">
        <f t="shared" si="35"/>
        <v>-5.0000000000000044E-4</v>
      </c>
      <c r="V128" s="80">
        <f t="shared" si="36"/>
        <v>6.999999999999923E-4</v>
      </c>
    </row>
    <row r="129" spans="1:22" ht="16.5" customHeight="1">
      <c r="A129" s="72">
        <v>112</v>
      </c>
      <c r="B129" s="132" t="s">
        <v>282</v>
      </c>
      <c r="C129" s="133" t="s">
        <v>32</v>
      </c>
      <c r="D129" s="4">
        <v>56785983111.650002</v>
      </c>
      <c r="E129" s="3">
        <f>(D129/$D$131)</f>
        <v>3.9414284930513466E-2</v>
      </c>
      <c r="F129" s="4">
        <f>100*1470.691</f>
        <v>147069.1</v>
      </c>
      <c r="G129" s="4">
        <f>100*1470.691</f>
        <v>147069.1</v>
      </c>
      <c r="H129" s="58">
        <v>1521</v>
      </c>
      <c r="I129" s="5">
        <v>6.0100000000000001E-2</v>
      </c>
      <c r="J129" s="5">
        <v>6.0117999999999998E-2</v>
      </c>
      <c r="K129" s="4">
        <v>57261142918.414001</v>
      </c>
      <c r="L129" s="3">
        <f>(K129/$K$131)</f>
        <v>3.9157444274841066E-2</v>
      </c>
      <c r="M129" s="4">
        <f>100*1513.21</f>
        <v>151321</v>
      </c>
      <c r="N129" s="4">
        <f>100*1513.21</f>
        <v>151321</v>
      </c>
      <c r="O129" s="58">
        <v>1457</v>
      </c>
      <c r="P129" s="5">
        <v>5.7700000000000001E-2</v>
      </c>
      <c r="Q129" s="5">
        <v>5.97356E-2</v>
      </c>
      <c r="R129" s="78">
        <f>((K129-D129)/D129)</f>
        <v>8.3675544690273735E-3</v>
      </c>
      <c r="S129" s="78">
        <f>((N129-G129)/G129)</f>
        <v>2.8910899706328482E-2</v>
      </c>
      <c r="T129" s="78">
        <f>((O129-H129)/H129)</f>
        <v>-4.2077580539119003E-2</v>
      </c>
      <c r="U129" s="78">
        <f>P129-I129</f>
        <v>-2.3999999999999994E-3</v>
      </c>
      <c r="V129" s="80">
        <f>Q129-J129</f>
        <v>-3.8239999999999802E-4</v>
      </c>
    </row>
    <row r="130" spans="1:22">
      <c r="A130" s="72">
        <v>113</v>
      </c>
      <c r="B130" s="132" t="s">
        <v>262</v>
      </c>
      <c r="C130" s="133" t="s">
        <v>260</v>
      </c>
      <c r="D130" s="4">
        <f>826792.39*1470.691</f>
        <v>1215956126.84149</v>
      </c>
      <c r="E130" s="3">
        <f t="shared" si="37"/>
        <v>8.4397660514398557E-4</v>
      </c>
      <c r="F130" s="4">
        <f>1.18*1470.691</f>
        <v>1735.4153799999999</v>
      </c>
      <c r="G130" s="4">
        <f>1.18*1470.691</f>
        <v>1735.4153799999999</v>
      </c>
      <c r="H130" s="58">
        <v>35</v>
      </c>
      <c r="I130" s="5">
        <v>3.0660000000000001E-3</v>
      </c>
      <c r="J130" s="5">
        <v>7.0523000000000002E-2</v>
      </c>
      <c r="K130" s="4">
        <f>824835.77*1513.21</f>
        <v>1248149735.5217001</v>
      </c>
      <c r="L130" s="3">
        <f t="shared" si="31"/>
        <v>8.5353437295139284E-4</v>
      </c>
      <c r="M130" s="4">
        <f>1.1768*1513.21</f>
        <v>1780.7455280000001</v>
      </c>
      <c r="N130" s="4">
        <f>1.1768*1513.21</f>
        <v>1780.7455280000001</v>
      </c>
      <c r="O130" s="58">
        <v>38</v>
      </c>
      <c r="P130" s="5">
        <v>-2.4910000000000002E-3</v>
      </c>
      <c r="Q130" s="5">
        <v>6.7586999999999994E-2</v>
      </c>
      <c r="R130" s="78">
        <f t="shared" si="32"/>
        <v>2.6475962388408457E-2</v>
      </c>
      <c r="S130" s="78">
        <f t="shared" si="33"/>
        <v>2.6120632859667429E-2</v>
      </c>
      <c r="T130" s="78">
        <f t="shared" si="34"/>
        <v>8.5714285714285715E-2</v>
      </c>
      <c r="U130" s="78">
        <f t="shared" si="35"/>
        <v>-5.5570000000000003E-3</v>
      </c>
      <c r="V130" s="80">
        <f t="shared" si="36"/>
        <v>-2.936000000000008E-3</v>
      </c>
    </row>
    <row r="131" spans="1:22">
      <c r="A131" s="72"/>
      <c r="B131" s="152"/>
      <c r="C131" s="64" t="s">
        <v>46</v>
      </c>
      <c r="D131" s="57">
        <f>SUM(D102:D130)</f>
        <v>1440746247502.9666</v>
      </c>
      <c r="E131" s="97">
        <f>(D131/$D$196)</f>
        <v>0.48493928415314402</v>
      </c>
      <c r="F131" s="30"/>
      <c r="G131" s="11"/>
      <c r="H131" s="63">
        <f>SUM(H102:H130)</f>
        <v>18417</v>
      </c>
      <c r="I131" s="33"/>
      <c r="J131" s="33"/>
      <c r="K131" s="57">
        <f>SUM(K102:K130)</f>
        <v>1462330955935.3621</v>
      </c>
      <c r="L131" s="97">
        <f>(K131/$K$196)</f>
        <v>0.47992187768164557</v>
      </c>
      <c r="M131" s="30"/>
      <c r="N131" s="11"/>
      <c r="O131" s="63">
        <f>SUM(O102:O130)</f>
        <v>18457</v>
      </c>
      <c r="P131" s="33"/>
      <c r="Q131" s="33"/>
      <c r="R131" s="78">
        <f t="shared" si="32"/>
        <v>1.4981616970930938E-2</v>
      </c>
      <c r="S131" s="78" t="e">
        <f t="shared" si="33"/>
        <v>#DIV/0!</v>
      </c>
      <c r="T131" s="78">
        <f t="shared" si="34"/>
        <v>2.1719063908345552E-3</v>
      </c>
      <c r="U131" s="78">
        <f t="shared" si="35"/>
        <v>0</v>
      </c>
      <c r="V131" s="80">
        <f t="shared" si="36"/>
        <v>0</v>
      </c>
    </row>
    <row r="132" spans="1:22" ht="8.25" customHeight="1">
      <c r="A132" s="154"/>
      <c r="B132" s="154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</row>
    <row r="133" spans="1:22" ht="15.75">
      <c r="A133" s="161" t="s">
        <v>148</v>
      </c>
      <c r="B133" s="161"/>
      <c r="C133" s="161"/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</row>
    <row r="134" spans="1:22">
      <c r="A134" s="72">
        <v>114</v>
      </c>
      <c r="B134" s="132" t="s">
        <v>244</v>
      </c>
      <c r="C134" s="133" t="s">
        <v>245</v>
      </c>
      <c r="D134" s="2">
        <v>2316010432.0468264</v>
      </c>
      <c r="E134" s="3">
        <f>(D134/$D$139)</f>
        <v>2.3486403670364586E-2</v>
      </c>
      <c r="F134" s="14">
        <v>109.14126300419694</v>
      </c>
      <c r="G134" s="14">
        <v>109.14126300419694</v>
      </c>
      <c r="H134" s="58">
        <v>7</v>
      </c>
      <c r="I134" s="5">
        <v>2.5890443650138373E-3</v>
      </c>
      <c r="J134" s="5">
        <v>6.8027948607206623E-2</v>
      </c>
      <c r="K134" s="2">
        <v>2316010432.0468264</v>
      </c>
      <c r="L134" s="3">
        <f>(K134/$K$139)</f>
        <v>2.3080487481540804E-2</v>
      </c>
      <c r="M134" s="14">
        <v>111.21</v>
      </c>
      <c r="N134" s="14">
        <v>111.21</v>
      </c>
      <c r="O134" s="58">
        <v>7</v>
      </c>
      <c r="P134" s="5">
        <v>1.1332358478306492E-2</v>
      </c>
      <c r="Q134" s="5">
        <v>7.9799999999999996E-2</v>
      </c>
      <c r="R134" s="78">
        <f t="shared" ref="R134:R139" si="38">((K134-D134)/D134)</f>
        <v>0</v>
      </c>
      <c r="S134" s="78">
        <f t="shared" ref="S134:T139" si="39">((N134-G134)/G134)</f>
        <v>1.8954673410032815E-2</v>
      </c>
      <c r="T134" s="78">
        <f t="shared" si="39"/>
        <v>0</v>
      </c>
      <c r="U134" s="78">
        <f t="shared" ref="U134:V139" si="40">P134-I134</f>
        <v>8.7433141132926551E-3</v>
      </c>
      <c r="V134" s="80">
        <f t="shared" si="40"/>
        <v>1.1772051392793373E-2</v>
      </c>
    </row>
    <row r="135" spans="1:22">
      <c r="A135" s="72">
        <v>115</v>
      </c>
      <c r="B135" s="132" t="s">
        <v>149</v>
      </c>
      <c r="C135" s="133" t="s">
        <v>40</v>
      </c>
      <c r="D135" s="2">
        <v>53749983529</v>
      </c>
      <c r="E135" s="3">
        <f>(D135/$D$139)</f>
        <v>0.545072592493408</v>
      </c>
      <c r="F135" s="14">
        <v>102.5</v>
      </c>
      <c r="G135" s="14">
        <v>102.5</v>
      </c>
      <c r="H135" s="58">
        <v>666</v>
      </c>
      <c r="I135" s="5">
        <v>0</v>
      </c>
      <c r="J135" s="5">
        <v>7.6999999999999999E-2</v>
      </c>
      <c r="K135" s="2">
        <v>53749983529</v>
      </c>
      <c r="L135" s="3">
        <f>(K135/$K$139)</f>
        <v>0.53565208723076529</v>
      </c>
      <c r="M135" s="14">
        <v>102.5</v>
      </c>
      <c r="N135" s="14">
        <v>102.5</v>
      </c>
      <c r="O135" s="58">
        <v>666</v>
      </c>
      <c r="P135" s="5">
        <v>0</v>
      </c>
      <c r="Q135" s="5">
        <v>7.6999999999999999E-2</v>
      </c>
      <c r="R135" s="78">
        <f t="shared" si="38"/>
        <v>0</v>
      </c>
      <c r="S135" s="78">
        <f t="shared" si="39"/>
        <v>0</v>
      </c>
      <c r="T135" s="78">
        <f t="shared" si="39"/>
        <v>0</v>
      </c>
      <c r="U135" s="78">
        <f t="shared" si="40"/>
        <v>0</v>
      </c>
      <c r="V135" s="80">
        <f t="shared" si="40"/>
        <v>0</v>
      </c>
    </row>
    <row r="136" spans="1:22" ht="15.75" customHeight="1">
      <c r="A136" s="72">
        <v>116</v>
      </c>
      <c r="B136" s="132" t="s">
        <v>150</v>
      </c>
      <c r="C136" s="133" t="s">
        <v>120</v>
      </c>
      <c r="D136" s="2">
        <v>2437922028.0983634</v>
      </c>
      <c r="E136" s="3">
        <f>(D136/$D$139)</f>
        <v>2.4722695578788482E-2</v>
      </c>
      <c r="F136" s="14">
        <v>101.4</v>
      </c>
      <c r="G136" s="14">
        <v>101.4</v>
      </c>
      <c r="H136" s="58">
        <v>2760</v>
      </c>
      <c r="I136" s="5">
        <v>0.34921159659278278</v>
      </c>
      <c r="J136" s="5">
        <v>0.10092941783687942</v>
      </c>
      <c r="K136" s="2">
        <v>2439813629.3793135</v>
      </c>
      <c r="L136" s="3">
        <f>(K136/$K$139)</f>
        <v>2.4314263507187576E-2</v>
      </c>
      <c r="M136" s="14">
        <v>101.4</v>
      </c>
      <c r="N136" s="14">
        <v>101.4</v>
      </c>
      <c r="O136" s="58">
        <v>2835</v>
      </c>
      <c r="P136" s="5">
        <v>4.8664835251371219E-2</v>
      </c>
      <c r="Q136" s="5">
        <v>9.8499132970574305E-2</v>
      </c>
      <c r="R136" s="78">
        <f t="shared" si="38"/>
        <v>7.7590721079195588E-4</v>
      </c>
      <c r="S136" s="78">
        <f t="shared" si="39"/>
        <v>0</v>
      </c>
      <c r="T136" s="78">
        <f t="shared" si="39"/>
        <v>2.717391304347826E-2</v>
      </c>
      <c r="U136" s="78">
        <f t="shared" si="40"/>
        <v>-0.30054676134141156</v>
      </c>
      <c r="V136" s="80">
        <f t="shared" si="40"/>
        <v>-2.4302848663051158E-3</v>
      </c>
    </row>
    <row r="137" spans="1:22">
      <c r="A137" s="72">
        <v>117</v>
      </c>
      <c r="B137" s="132" t="s">
        <v>151</v>
      </c>
      <c r="C137" s="133" t="s">
        <v>120</v>
      </c>
      <c r="D137" s="2">
        <v>10613592487.610001</v>
      </c>
      <c r="E137" s="3">
        <f>(D137/$D$139)</f>
        <v>0.10763125852436468</v>
      </c>
      <c r="F137" s="14">
        <v>36.6</v>
      </c>
      <c r="G137" s="14">
        <v>36.6</v>
      </c>
      <c r="H137" s="58">
        <v>5264</v>
      </c>
      <c r="I137" s="5">
        <v>0.25140000000000001</v>
      </c>
      <c r="J137" s="5">
        <v>0.20629084967320249</v>
      </c>
      <c r="K137" s="2">
        <v>12367927837.809999</v>
      </c>
      <c r="L137" s="3">
        <f>(K137/$K$139)</f>
        <v>0.12325410960299257</v>
      </c>
      <c r="M137" s="14">
        <v>36.6</v>
      </c>
      <c r="N137" s="14">
        <v>36.6</v>
      </c>
      <c r="O137" s="58">
        <v>5261</v>
      </c>
      <c r="P137" s="5">
        <v>1.8499999999999999E-2</v>
      </c>
      <c r="Q137" s="5">
        <v>0.20050000000000001</v>
      </c>
      <c r="R137" s="78">
        <f t="shared" si="38"/>
        <v>0.16529138010979402</v>
      </c>
      <c r="S137" s="78">
        <f t="shared" si="39"/>
        <v>0</v>
      </c>
      <c r="T137" s="78">
        <f t="shared" si="39"/>
        <v>-5.6990881458966562E-4</v>
      </c>
      <c r="U137" s="78">
        <f t="shared" si="40"/>
        <v>-0.23290000000000002</v>
      </c>
      <c r="V137" s="80">
        <f t="shared" si="40"/>
        <v>-5.7908496732024806E-3</v>
      </c>
    </row>
    <row r="138" spans="1:22">
      <c r="A138" s="72">
        <v>118</v>
      </c>
      <c r="B138" s="132" t="s">
        <v>152</v>
      </c>
      <c r="C138" s="133" t="s">
        <v>42</v>
      </c>
      <c r="D138" s="2">
        <v>29493179841.150002</v>
      </c>
      <c r="E138" s="3">
        <f>(D138/$D$139)</f>
        <v>0.29908704973307437</v>
      </c>
      <c r="F138" s="14">
        <v>5.45</v>
      </c>
      <c r="G138" s="14">
        <v>5.45</v>
      </c>
      <c r="H138" s="58">
        <v>208327</v>
      </c>
      <c r="I138" s="5">
        <v>0.09</v>
      </c>
      <c r="J138" s="5">
        <v>-0.1484</v>
      </c>
      <c r="K138" s="2">
        <v>29471217593.189999</v>
      </c>
      <c r="L138" s="3">
        <f>(K138/$K$139)</f>
        <v>0.29369905217751369</v>
      </c>
      <c r="M138" s="14">
        <v>4.5</v>
      </c>
      <c r="N138" s="14">
        <v>4.5</v>
      </c>
      <c r="O138" s="58">
        <v>208270</v>
      </c>
      <c r="P138" s="5">
        <v>-0.17430000000000001</v>
      </c>
      <c r="Q138" s="5">
        <v>-0.2969</v>
      </c>
      <c r="R138" s="78">
        <f t="shared" si="38"/>
        <v>-7.4465513987611264E-4</v>
      </c>
      <c r="S138" s="78">
        <f t="shared" si="39"/>
        <v>-0.17431192660550462</v>
      </c>
      <c r="T138" s="78">
        <f t="shared" si="39"/>
        <v>-2.7360831769285786E-4</v>
      </c>
      <c r="U138" s="78">
        <f t="shared" si="40"/>
        <v>-0.26429999999999998</v>
      </c>
      <c r="V138" s="80">
        <f t="shared" si="40"/>
        <v>-0.14849999999999999</v>
      </c>
    </row>
    <row r="139" spans="1:22">
      <c r="A139" s="116"/>
      <c r="B139" s="153"/>
      <c r="C139" s="69" t="s">
        <v>46</v>
      </c>
      <c r="D139" s="56">
        <f>SUM(D134:D138)</f>
        <v>98610688317.905182</v>
      </c>
      <c r="E139" s="97">
        <f>(D139/$D$196)</f>
        <v>3.3191269236767719E-2</v>
      </c>
      <c r="F139" s="30"/>
      <c r="G139" s="34"/>
      <c r="H139" s="63">
        <f>SUM(H134:H138)</f>
        <v>217024</v>
      </c>
      <c r="I139" s="35"/>
      <c r="J139" s="35"/>
      <c r="K139" s="56">
        <f>SUM(K134:K138)</f>
        <v>100344953021.42615</v>
      </c>
      <c r="L139" s="97">
        <f>(K139/$K$196)</f>
        <v>3.2932174535767689E-2</v>
      </c>
      <c r="M139" s="30"/>
      <c r="N139" s="34"/>
      <c r="O139" s="63">
        <f>SUM(O134:O138)</f>
        <v>217039</v>
      </c>
      <c r="P139" s="35"/>
      <c r="Q139" s="35"/>
      <c r="R139" s="78">
        <f t="shared" si="38"/>
        <v>1.7586985073362149E-2</v>
      </c>
      <c r="S139" s="78" t="e">
        <f t="shared" si="39"/>
        <v>#DIV/0!</v>
      </c>
      <c r="T139" s="78">
        <f t="shared" si="39"/>
        <v>6.9116779710999711E-5</v>
      </c>
      <c r="U139" s="78">
        <f t="shared" si="40"/>
        <v>0</v>
      </c>
      <c r="V139" s="80">
        <f t="shared" si="40"/>
        <v>0</v>
      </c>
    </row>
    <row r="140" spans="1:22" ht="7.5" customHeight="1">
      <c r="A140" s="154"/>
      <c r="B140" s="154"/>
      <c r="C140" s="154"/>
      <c r="D140" s="154"/>
      <c r="E140" s="154"/>
      <c r="F140" s="154"/>
      <c r="G140" s="154"/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</row>
    <row r="141" spans="1:22" ht="15" customHeight="1">
      <c r="A141" s="161" t="s">
        <v>153</v>
      </c>
      <c r="B141" s="161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</row>
    <row r="142" spans="1:22">
      <c r="A142" s="72">
        <v>119</v>
      </c>
      <c r="B142" s="132" t="s">
        <v>154</v>
      </c>
      <c r="C142" s="133" t="s">
        <v>50</v>
      </c>
      <c r="D142" s="4">
        <v>239619514.31999999</v>
      </c>
      <c r="E142" s="3">
        <f t="shared" ref="E142:E169" si="41">(D142/$D$170)</f>
        <v>4.7548962184335002E-3</v>
      </c>
      <c r="F142" s="4">
        <v>5.38</v>
      </c>
      <c r="G142" s="4">
        <v>5.46</v>
      </c>
      <c r="H142" s="60">
        <v>11833</v>
      </c>
      <c r="I142" s="6">
        <v>1.0740000000000001E-3</v>
      </c>
      <c r="J142" s="6">
        <v>6.9519999999999998E-2</v>
      </c>
      <c r="K142" s="4">
        <v>240516994.61000001</v>
      </c>
      <c r="L142" s="16">
        <f t="shared" ref="L142:L169" si="42">(K142/$K$170)</f>
        <v>4.7926796218787995E-3</v>
      </c>
      <c r="M142" s="4">
        <v>5.4</v>
      </c>
      <c r="N142" s="4">
        <v>5.48</v>
      </c>
      <c r="O142" s="60">
        <v>11833</v>
      </c>
      <c r="P142" s="6">
        <v>4.2550000000000001E-3</v>
      </c>
      <c r="Q142" s="6">
        <v>7.3380000000000001E-2</v>
      </c>
      <c r="R142" s="78">
        <f>((K142-D142)/D142)</f>
        <v>3.7454390663753745E-3</v>
      </c>
      <c r="S142" s="78">
        <f>((N142-G142)/G142)</f>
        <v>3.6630036630037476E-3</v>
      </c>
      <c r="T142" s="78">
        <f>((O142-H142)/H142)</f>
        <v>0</v>
      </c>
      <c r="U142" s="78">
        <f>P142-I142</f>
        <v>3.1809999999999998E-3</v>
      </c>
      <c r="V142" s="80">
        <f>Q142-J142</f>
        <v>3.8600000000000023E-3</v>
      </c>
    </row>
    <row r="143" spans="1:22">
      <c r="A143" s="72">
        <v>120</v>
      </c>
      <c r="B143" s="132" t="s">
        <v>254</v>
      </c>
      <c r="C143" s="132" t="s">
        <v>253</v>
      </c>
      <c r="D143" s="4">
        <v>606913126.24000001</v>
      </c>
      <c r="E143" s="3">
        <f t="shared" si="41"/>
        <v>1.2043296795194962E-2</v>
      </c>
      <c r="F143" s="4">
        <v>1157.8463999999999</v>
      </c>
      <c r="G143" s="4">
        <v>1168.8344</v>
      </c>
      <c r="H143" s="60">
        <v>173</v>
      </c>
      <c r="I143" s="6">
        <v>2.1399999999999999E-2</v>
      </c>
      <c r="J143" s="6">
        <v>3.3599999999999998E-2</v>
      </c>
      <c r="K143" s="4">
        <v>611088304.73397613</v>
      </c>
      <c r="L143" s="16">
        <f t="shared" si="42"/>
        <v>1.2176896148299121E-2</v>
      </c>
      <c r="M143" s="4">
        <v>1165.7870132328169</v>
      </c>
      <c r="N143" s="4">
        <v>1176.8913318659215</v>
      </c>
      <c r="O143" s="60">
        <v>173</v>
      </c>
      <c r="P143" s="6">
        <v>6.879367592789825E-3</v>
      </c>
      <c r="Q143" s="6">
        <v>4.0663575671979757E-2</v>
      </c>
      <c r="R143" s="78">
        <f>((K143-D143)/D143)</f>
        <v>6.8793675955610622E-3</v>
      </c>
      <c r="S143" s="78">
        <f>((N143-G143)/G143)</f>
        <v>6.8931337629364519E-3</v>
      </c>
      <c r="T143" s="78">
        <f>((O143-H143)/H143)</f>
        <v>0</v>
      </c>
      <c r="U143" s="78">
        <f>P143-I143</f>
        <v>-1.4520632407210174E-2</v>
      </c>
      <c r="V143" s="80">
        <f>Q143-J143</f>
        <v>7.0635756719797591E-3</v>
      </c>
    </row>
    <row r="144" spans="1:22">
      <c r="A144" s="72">
        <v>121</v>
      </c>
      <c r="B144" s="132" t="s">
        <v>155</v>
      </c>
      <c r="C144" s="133" t="s">
        <v>21</v>
      </c>
      <c r="D144" s="4">
        <v>7442263994.7299995</v>
      </c>
      <c r="E144" s="3">
        <f t="shared" si="41"/>
        <v>0.1476807639208701</v>
      </c>
      <c r="F144" s="4">
        <v>778.08489999999995</v>
      </c>
      <c r="G144" s="4">
        <v>801.54480000000001</v>
      </c>
      <c r="H144" s="60">
        <v>21283</v>
      </c>
      <c r="I144" s="6">
        <v>0.40479999999999999</v>
      </c>
      <c r="J144" s="6">
        <v>0.35489999999999999</v>
      </c>
      <c r="K144" s="4">
        <v>7470139290.9799995</v>
      </c>
      <c r="L144" s="16">
        <f t="shared" si="42"/>
        <v>0.14885428121422006</v>
      </c>
      <c r="M144" s="4">
        <v>780.60490000000004</v>
      </c>
      <c r="N144" s="4">
        <v>804.14070000000004</v>
      </c>
      <c r="O144" s="60">
        <v>21287</v>
      </c>
      <c r="P144" s="6">
        <v>0.16930000000000001</v>
      </c>
      <c r="Q144" s="6">
        <v>0.34899999999999998</v>
      </c>
      <c r="R144" s="78">
        <f t="shared" ref="R144:R170" si="43">((K144-D144)/D144)</f>
        <v>3.74553983434866E-3</v>
      </c>
      <c r="S144" s="78">
        <f t="shared" ref="S144:S170" si="44">((N144-G144)/G144)</f>
        <v>3.2386212224195438E-3</v>
      </c>
      <c r="T144" s="78">
        <f t="shared" ref="T144:T170" si="45">((O144-H144)/H144)</f>
        <v>1.8794342902786262E-4</v>
      </c>
      <c r="U144" s="78">
        <f t="shared" ref="U144:U170" si="46">P144-I144</f>
        <v>-0.23549999999999999</v>
      </c>
      <c r="V144" s="80">
        <f t="shared" ref="V144:V170" si="47">Q144-J144</f>
        <v>-5.9000000000000163E-3</v>
      </c>
    </row>
    <row r="145" spans="1:24">
      <c r="A145" s="72">
        <v>122</v>
      </c>
      <c r="B145" s="132" t="s">
        <v>156</v>
      </c>
      <c r="C145" s="133" t="s">
        <v>91</v>
      </c>
      <c r="D145" s="4">
        <v>3617699754.77</v>
      </c>
      <c r="E145" s="3">
        <f t="shared" si="41"/>
        <v>7.1787921497960885E-2</v>
      </c>
      <c r="F145" s="4">
        <v>20.299499999999998</v>
      </c>
      <c r="G145" s="4">
        <v>20.537099999999999</v>
      </c>
      <c r="H145" s="58">
        <v>6244</v>
      </c>
      <c r="I145" s="5">
        <v>1.12E-2</v>
      </c>
      <c r="J145" s="5">
        <v>0.10059999999999999</v>
      </c>
      <c r="K145" s="4">
        <v>3615680614.3400002</v>
      </c>
      <c r="L145" s="16">
        <f t="shared" si="42"/>
        <v>7.2048126277597588E-2</v>
      </c>
      <c r="M145" s="4">
        <v>20.3535</v>
      </c>
      <c r="N145" s="4">
        <v>20.591999999999999</v>
      </c>
      <c r="O145" s="58">
        <v>6242</v>
      </c>
      <c r="P145" s="5">
        <v>5.4999999999999997E-3</v>
      </c>
      <c r="Q145" s="5">
        <v>0.10349999999999999</v>
      </c>
      <c r="R145" s="78">
        <f t="shared" si="43"/>
        <v>-5.5812824912779356E-4</v>
      </c>
      <c r="S145" s="78">
        <f t="shared" si="44"/>
        <v>2.6732109207239559E-3</v>
      </c>
      <c r="T145" s="78">
        <f t="shared" si="45"/>
        <v>-3.2030749519538755E-4</v>
      </c>
      <c r="U145" s="78">
        <f t="shared" si="46"/>
        <v>-5.7000000000000002E-3</v>
      </c>
      <c r="V145" s="80">
        <f t="shared" si="47"/>
        <v>2.8999999999999998E-3</v>
      </c>
    </row>
    <row r="146" spans="1:24">
      <c r="A146" s="72">
        <v>123</v>
      </c>
      <c r="B146" s="132" t="s">
        <v>157</v>
      </c>
      <c r="C146" s="133" t="s">
        <v>101</v>
      </c>
      <c r="D146" s="2">
        <v>1550222844.874692</v>
      </c>
      <c r="E146" s="3">
        <f t="shared" si="41"/>
        <v>3.0761888336774155E-2</v>
      </c>
      <c r="F146" s="4">
        <v>3.6480000000000001</v>
      </c>
      <c r="G146" s="4">
        <v>3.7372000000000001</v>
      </c>
      <c r="H146" s="58">
        <v>2751</v>
      </c>
      <c r="I146" s="5">
        <v>0.30249999999999999</v>
      </c>
      <c r="J146" s="5">
        <v>0.35489999999999999</v>
      </c>
      <c r="K146" s="2">
        <v>1549504154.0195117</v>
      </c>
      <c r="L146" s="16">
        <f t="shared" si="42"/>
        <v>3.0876308740792405E-2</v>
      </c>
      <c r="M146" s="4">
        <v>3.6457999999999999</v>
      </c>
      <c r="N146" s="4">
        <v>3.7359</v>
      </c>
      <c r="O146" s="58">
        <v>2751</v>
      </c>
      <c r="P146" s="5">
        <v>-1.8200000000000001E-2</v>
      </c>
      <c r="Q146" s="5">
        <v>0.34079999999999999</v>
      </c>
      <c r="R146" s="78">
        <f t="shared" si="43"/>
        <v>-4.6360486658829808E-4</v>
      </c>
      <c r="S146" s="78">
        <f t="shared" si="44"/>
        <v>-3.4785400834851728E-4</v>
      </c>
      <c r="T146" s="78">
        <f t="shared" si="45"/>
        <v>0</v>
      </c>
      <c r="U146" s="78">
        <f t="shared" si="46"/>
        <v>-0.32069999999999999</v>
      </c>
      <c r="V146" s="80">
        <f t="shared" si="47"/>
        <v>-1.4100000000000001E-2</v>
      </c>
    </row>
    <row r="147" spans="1:24">
      <c r="A147" s="72">
        <v>124</v>
      </c>
      <c r="B147" s="132" t="s">
        <v>158</v>
      </c>
      <c r="C147" s="133" t="s">
        <v>56</v>
      </c>
      <c r="D147" s="4">
        <v>3433177986.8503699</v>
      </c>
      <c r="E147" s="3">
        <f t="shared" si="41"/>
        <v>6.81263588786159E-2</v>
      </c>
      <c r="F147" s="4">
        <v>6428.7234105851903</v>
      </c>
      <c r="G147" s="4">
        <v>6476.3315591560204</v>
      </c>
      <c r="H147" s="58">
        <v>872</v>
      </c>
      <c r="I147" s="5">
        <v>0.42474864126824441</v>
      </c>
      <c r="J147" s="5">
        <v>0.22528668751130423</v>
      </c>
      <c r="K147" s="4">
        <v>3453082551.97856</v>
      </c>
      <c r="L147" s="16">
        <f t="shared" si="42"/>
        <v>6.8808104002663281E-2</v>
      </c>
      <c r="M147" s="4">
        <v>6455.9430173873798</v>
      </c>
      <c r="N147" s="4">
        <v>6503.9327268330899</v>
      </c>
      <c r="O147" s="58">
        <v>871</v>
      </c>
      <c r="P147" s="5">
        <v>0.22138090151543982</v>
      </c>
      <c r="Q147" s="5">
        <v>0.22605865253941931</v>
      </c>
      <c r="R147" s="78">
        <f t="shared" si="43"/>
        <v>5.7977084801393236E-3</v>
      </c>
      <c r="S147" s="78">
        <f t="shared" si="44"/>
        <v>4.2618521650652505E-3</v>
      </c>
      <c r="T147" s="78">
        <f t="shared" si="45"/>
        <v>-1.1467889908256881E-3</v>
      </c>
      <c r="U147" s="78">
        <f t="shared" si="46"/>
        <v>-0.20336773975280459</v>
      </c>
      <c r="V147" s="80">
        <f t="shared" si="47"/>
        <v>7.7196502811507917E-4</v>
      </c>
    </row>
    <row r="148" spans="1:24">
      <c r="A148" s="72">
        <v>125</v>
      </c>
      <c r="B148" s="132" t="s">
        <v>159</v>
      </c>
      <c r="C148" s="133" t="s">
        <v>58</v>
      </c>
      <c r="D148" s="4">
        <v>685462678.99000001</v>
      </c>
      <c r="E148" s="3">
        <f t="shared" si="41"/>
        <v>1.36019969385891E-2</v>
      </c>
      <c r="F148" s="4">
        <v>170.48</v>
      </c>
      <c r="G148" s="4">
        <v>171.73</v>
      </c>
      <c r="H148" s="58">
        <v>672</v>
      </c>
      <c r="I148" s="5">
        <v>1.4999999999999999E-2</v>
      </c>
      <c r="J148" s="5">
        <v>0.10879999999999999</v>
      </c>
      <c r="K148" s="4">
        <v>695585330.00999999</v>
      </c>
      <c r="L148" s="16">
        <f t="shared" si="42"/>
        <v>1.3860632350834141E-2</v>
      </c>
      <c r="M148" s="4">
        <v>172.72</v>
      </c>
      <c r="N148" s="4">
        <v>174</v>
      </c>
      <c r="O148" s="58">
        <v>672</v>
      </c>
      <c r="P148" s="5">
        <v>1.32E-2</v>
      </c>
      <c r="Q148" s="5">
        <v>0.12180000000000001</v>
      </c>
      <c r="R148" s="78">
        <f t="shared" si="43"/>
        <v>1.4767618034165295E-2</v>
      </c>
      <c r="S148" s="78">
        <f t="shared" si="44"/>
        <v>1.3218424270657487E-2</v>
      </c>
      <c r="T148" s="78">
        <f t="shared" si="45"/>
        <v>0</v>
      </c>
      <c r="U148" s="78">
        <f t="shared" si="46"/>
        <v>-1.7999999999999995E-3</v>
      </c>
      <c r="V148" s="80">
        <f t="shared" si="47"/>
        <v>1.3000000000000012E-2</v>
      </c>
    </row>
    <row r="149" spans="1:24">
      <c r="A149" s="72">
        <v>126</v>
      </c>
      <c r="B149" s="132" t="s">
        <v>160</v>
      </c>
      <c r="C149" s="133" t="s">
        <v>60</v>
      </c>
      <c r="D149" s="4">
        <v>3734808.11</v>
      </c>
      <c r="E149" s="3">
        <f t="shared" si="41"/>
        <v>7.4111764265985454E-5</v>
      </c>
      <c r="F149" s="4">
        <v>102.747</v>
      </c>
      <c r="G149" s="4">
        <v>102.99</v>
      </c>
      <c r="H149" s="58">
        <v>0</v>
      </c>
      <c r="I149" s="5">
        <v>0</v>
      </c>
      <c r="J149" s="5">
        <v>0</v>
      </c>
      <c r="K149" s="4">
        <v>3734808.11</v>
      </c>
      <c r="L149" s="16">
        <f t="shared" si="42"/>
        <v>7.4421929100890459E-5</v>
      </c>
      <c r="M149" s="4">
        <v>102.747</v>
      </c>
      <c r="N149" s="4">
        <v>102.99</v>
      </c>
      <c r="O149" s="58">
        <v>0</v>
      </c>
      <c r="P149" s="5">
        <v>0</v>
      </c>
      <c r="Q149" s="5">
        <v>0</v>
      </c>
      <c r="R149" s="78">
        <f t="shared" si="43"/>
        <v>0</v>
      </c>
      <c r="S149" s="78">
        <f t="shared" si="44"/>
        <v>0</v>
      </c>
      <c r="T149" s="78" t="e">
        <f t="shared" si="45"/>
        <v>#DIV/0!</v>
      </c>
      <c r="U149" s="78">
        <f t="shared" si="46"/>
        <v>0</v>
      </c>
      <c r="V149" s="80">
        <f t="shared" si="47"/>
        <v>0</v>
      </c>
    </row>
    <row r="150" spans="1:24">
      <c r="A150" s="72">
        <v>127</v>
      </c>
      <c r="B150" s="132" t="s">
        <v>161</v>
      </c>
      <c r="C150" s="133" t="s">
        <v>105</v>
      </c>
      <c r="D150" s="4">
        <v>191003930.34999999</v>
      </c>
      <c r="E150" s="3">
        <f t="shared" si="41"/>
        <v>3.7901915822861126E-3</v>
      </c>
      <c r="F150" s="4">
        <v>1.4639</v>
      </c>
      <c r="G150" s="4">
        <v>1.4762</v>
      </c>
      <c r="H150" s="58">
        <v>309</v>
      </c>
      <c r="I150" s="5">
        <v>8.888281143171195E-4</v>
      </c>
      <c r="J150" s="5">
        <v>-1.4407863731232817E-2</v>
      </c>
      <c r="K150" s="4">
        <v>192373957.22</v>
      </c>
      <c r="L150" s="16">
        <f t="shared" si="42"/>
        <v>3.8333538386486408E-3</v>
      </c>
      <c r="M150" s="4">
        <v>1.4702</v>
      </c>
      <c r="N150" s="4">
        <v>1.4825999999999999</v>
      </c>
      <c r="O150" s="58">
        <v>312</v>
      </c>
      <c r="P150" s="5">
        <v>-4.064489906516755E-3</v>
      </c>
      <c r="Q150" s="5">
        <v>4.3035726484048631E-3</v>
      </c>
      <c r="R150" s="78">
        <f t="shared" si="43"/>
        <v>7.1727679503219436E-3</v>
      </c>
      <c r="S150" s="78">
        <f t="shared" si="44"/>
        <v>4.3354559002844878E-3</v>
      </c>
      <c r="T150" s="78">
        <f t="shared" si="45"/>
        <v>9.7087378640776691E-3</v>
      </c>
      <c r="U150" s="78">
        <f t="shared" si="46"/>
        <v>-4.9533180208338745E-3</v>
      </c>
      <c r="V150" s="80">
        <f t="shared" si="47"/>
        <v>1.871143637963768E-2</v>
      </c>
    </row>
    <row r="151" spans="1:24">
      <c r="A151" s="72">
        <v>128</v>
      </c>
      <c r="B151" s="132" t="s">
        <v>162</v>
      </c>
      <c r="C151" s="133" t="s">
        <v>25</v>
      </c>
      <c r="D151" s="9">
        <v>128815361.78</v>
      </c>
      <c r="E151" s="3">
        <f t="shared" si="41"/>
        <v>2.5561510644992666E-3</v>
      </c>
      <c r="F151" s="4">
        <v>146.9828</v>
      </c>
      <c r="G151" s="4">
        <v>147.5086</v>
      </c>
      <c r="H151" s="58">
        <v>109</v>
      </c>
      <c r="I151" s="5">
        <v>6.1899999999999998E-4</v>
      </c>
      <c r="J151" s="5">
        <v>0.28970000000000001</v>
      </c>
      <c r="K151" s="9">
        <v>129464650.83</v>
      </c>
      <c r="L151" s="16">
        <f t="shared" si="42"/>
        <v>2.5797869077514132E-3</v>
      </c>
      <c r="M151" s="4">
        <v>146.46629999999999</v>
      </c>
      <c r="N151" s="4">
        <v>146.99809999999999</v>
      </c>
      <c r="O151" s="58">
        <v>110</v>
      </c>
      <c r="P151" s="5">
        <v>-3.728E-3</v>
      </c>
      <c r="Q151" s="5">
        <v>0.28599999999999998</v>
      </c>
      <c r="R151" s="78">
        <f t="shared" si="43"/>
        <v>5.0404628844570483E-3</v>
      </c>
      <c r="S151" s="78">
        <f t="shared" si="44"/>
        <v>-3.4608151660310482E-3</v>
      </c>
      <c r="T151" s="78">
        <f t="shared" si="45"/>
        <v>9.1743119266055051E-3</v>
      </c>
      <c r="U151" s="78">
        <f t="shared" si="46"/>
        <v>-4.3470000000000002E-3</v>
      </c>
      <c r="V151" s="80">
        <f t="shared" si="47"/>
        <v>-3.7000000000000366E-3</v>
      </c>
    </row>
    <row r="152" spans="1:24">
      <c r="A152" s="72">
        <v>129</v>
      </c>
      <c r="B152" s="132" t="s">
        <v>163</v>
      </c>
      <c r="C152" s="133" t="s">
        <v>64</v>
      </c>
      <c r="D152" s="9">
        <v>208738919.61000001</v>
      </c>
      <c r="E152" s="3">
        <f t="shared" si="41"/>
        <v>4.1421163143165636E-3</v>
      </c>
      <c r="F152" s="4">
        <v>117.4</v>
      </c>
      <c r="G152" s="4">
        <v>118.74</v>
      </c>
      <c r="H152" s="58">
        <v>27</v>
      </c>
      <c r="I152" s="5">
        <v>1.9599999999999999E-2</v>
      </c>
      <c r="J152" s="5">
        <v>0.13669999999999999</v>
      </c>
      <c r="K152" s="9">
        <v>209462747.31999999</v>
      </c>
      <c r="L152" s="16">
        <f t="shared" si="42"/>
        <v>4.1738748742105453E-3</v>
      </c>
      <c r="M152" s="4">
        <v>117.81</v>
      </c>
      <c r="N152" s="4">
        <v>119.18</v>
      </c>
      <c r="O152" s="58">
        <v>27</v>
      </c>
      <c r="P152" s="5">
        <v>4.1000000000000003E-3</v>
      </c>
      <c r="Q152" s="5">
        <v>0.14080000000000001</v>
      </c>
      <c r="R152" s="78">
        <f t="shared" si="43"/>
        <v>3.4676221921257E-3</v>
      </c>
      <c r="S152" s="78">
        <f t="shared" si="44"/>
        <v>3.7055752063332656E-3</v>
      </c>
      <c r="T152" s="78">
        <f t="shared" si="45"/>
        <v>0</v>
      </c>
      <c r="U152" s="78">
        <f t="shared" si="46"/>
        <v>-1.55E-2</v>
      </c>
      <c r="V152" s="80">
        <f t="shared" si="47"/>
        <v>4.1000000000000203E-3</v>
      </c>
    </row>
    <row r="153" spans="1:24" ht="15.75" customHeight="1">
      <c r="A153" s="72">
        <v>130</v>
      </c>
      <c r="B153" s="132" t="s">
        <v>164</v>
      </c>
      <c r="C153" s="133" t="s">
        <v>67</v>
      </c>
      <c r="D153" s="2">
        <v>333078331.89999998</v>
      </c>
      <c r="E153" s="3">
        <f t="shared" si="41"/>
        <v>6.6094487558238874E-3</v>
      </c>
      <c r="F153" s="4">
        <v>1.2807999999999999</v>
      </c>
      <c r="G153" s="4">
        <v>1.2962</v>
      </c>
      <c r="H153" s="58">
        <v>107</v>
      </c>
      <c r="I153" s="5">
        <v>-1.5612802498046681E-4</v>
      </c>
      <c r="J153" s="5">
        <v>0.35100947910358338</v>
      </c>
      <c r="K153" s="2">
        <v>332378619.66000003</v>
      </c>
      <c r="L153" s="16">
        <f t="shared" si="42"/>
        <v>6.6231670646630251E-3</v>
      </c>
      <c r="M153" s="4">
        <v>1.2776000000000001</v>
      </c>
      <c r="N153" s="4">
        <v>1.2927999999999999</v>
      </c>
      <c r="O153" s="58">
        <v>107</v>
      </c>
      <c r="P153" s="5">
        <v>-2.498438475952428E-3</v>
      </c>
      <c r="Q153" s="5">
        <v>0.33893563526728809</v>
      </c>
      <c r="R153" s="78">
        <f t="shared" si="43"/>
        <v>-2.100743798038548E-3</v>
      </c>
      <c r="S153" s="78">
        <f t="shared" si="44"/>
        <v>-2.6230519981484874E-3</v>
      </c>
      <c r="T153" s="78">
        <f t="shared" si="45"/>
        <v>0</v>
      </c>
      <c r="U153" s="78">
        <f t="shared" si="46"/>
        <v>-2.3423104509719614E-3</v>
      </c>
      <c r="V153" s="80">
        <f t="shared" si="47"/>
        <v>-1.2073843836295284E-2</v>
      </c>
      <c r="X153" s="102"/>
    </row>
    <row r="154" spans="1:24">
      <c r="A154" s="72">
        <v>131</v>
      </c>
      <c r="B154" s="132" t="s">
        <v>165</v>
      </c>
      <c r="C154" s="133" t="s">
        <v>27</v>
      </c>
      <c r="D154" s="4">
        <v>8610939869.25</v>
      </c>
      <c r="E154" s="3">
        <f t="shared" si="41"/>
        <v>0.1708714147829222</v>
      </c>
      <c r="F154" s="4">
        <v>314.8</v>
      </c>
      <c r="G154" s="4">
        <v>316.92</v>
      </c>
      <c r="H154" s="58">
        <v>5495</v>
      </c>
      <c r="I154" s="5">
        <v>8.5000000000000006E-3</v>
      </c>
      <c r="J154" s="5">
        <v>0.1641</v>
      </c>
      <c r="K154" s="4">
        <v>8540734640</v>
      </c>
      <c r="L154" s="16">
        <f t="shared" si="42"/>
        <v>0.17018757835127418</v>
      </c>
      <c r="M154" s="4">
        <v>312.33999999999997</v>
      </c>
      <c r="N154" s="4">
        <v>314.42</v>
      </c>
      <c r="O154" s="58">
        <v>5494</v>
      </c>
      <c r="P154" s="5">
        <v>-7.9000000000000008E-3</v>
      </c>
      <c r="Q154" s="5">
        <v>0.15509999999999999</v>
      </c>
      <c r="R154" s="78">
        <f t="shared" si="43"/>
        <v>-8.1530274645983305E-3</v>
      </c>
      <c r="S154" s="78">
        <f t="shared" si="44"/>
        <v>-7.8884261012242829E-3</v>
      </c>
      <c r="T154" s="78">
        <f t="shared" si="45"/>
        <v>-1.8198362147406734E-4</v>
      </c>
      <c r="U154" s="78">
        <f t="shared" si="46"/>
        <v>-1.6400000000000001E-2</v>
      </c>
      <c r="V154" s="80">
        <f t="shared" si="47"/>
        <v>-9.000000000000008E-3</v>
      </c>
    </row>
    <row r="155" spans="1:24">
      <c r="A155" s="72">
        <v>132</v>
      </c>
      <c r="B155" s="132" t="s">
        <v>166</v>
      </c>
      <c r="C155" s="133" t="s">
        <v>72</v>
      </c>
      <c r="D155" s="4">
        <v>2752337313.2600002</v>
      </c>
      <c r="E155" s="3">
        <f t="shared" si="41"/>
        <v>5.4616078827353975E-2</v>
      </c>
      <c r="F155" s="4">
        <v>1.9275</v>
      </c>
      <c r="G155" s="4">
        <v>1.9593</v>
      </c>
      <c r="H155" s="58">
        <v>10310</v>
      </c>
      <c r="I155" s="5">
        <v>1E-3</v>
      </c>
      <c r="J155" s="5">
        <v>0.1047</v>
      </c>
      <c r="K155" s="4">
        <v>2767791109.48</v>
      </c>
      <c r="L155" s="16">
        <f t="shared" si="42"/>
        <v>5.515259356010007E-2</v>
      </c>
      <c r="M155" s="4">
        <v>1.9377</v>
      </c>
      <c r="N155" s="4">
        <v>1.9698</v>
      </c>
      <c r="O155" s="58">
        <v>10310</v>
      </c>
      <c r="P155" s="5">
        <v>5.3E-3</v>
      </c>
      <c r="Q155" s="5">
        <v>0.1105</v>
      </c>
      <c r="R155" s="78">
        <f t="shared" si="43"/>
        <v>5.6147900715321749E-3</v>
      </c>
      <c r="S155" s="78">
        <f t="shared" si="44"/>
        <v>5.3590568060021201E-3</v>
      </c>
      <c r="T155" s="78">
        <f t="shared" si="45"/>
        <v>0</v>
      </c>
      <c r="U155" s="78">
        <f t="shared" si="46"/>
        <v>4.3E-3</v>
      </c>
      <c r="V155" s="80">
        <f t="shared" si="47"/>
        <v>5.7999999999999996E-3</v>
      </c>
    </row>
    <row r="156" spans="1:24">
      <c r="A156" s="72">
        <v>133</v>
      </c>
      <c r="B156" s="132" t="s">
        <v>167</v>
      </c>
      <c r="C156" s="133" t="s">
        <v>74</v>
      </c>
      <c r="D156" s="4">
        <v>194664062.9534277</v>
      </c>
      <c r="E156" s="3">
        <f t="shared" si="41"/>
        <v>3.862821521147277E-3</v>
      </c>
      <c r="F156" s="4">
        <v>253.28576704408448</v>
      </c>
      <c r="G156" s="4">
        <v>260.6383137978296</v>
      </c>
      <c r="H156" s="58">
        <v>39</v>
      </c>
      <c r="I156" s="5">
        <v>3.9605066777319564E-2</v>
      </c>
      <c r="J156" s="5">
        <v>3.7121312931309713E-2</v>
      </c>
      <c r="K156" s="4">
        <v>198514142.08358791</v>
      </c>
      <c r="L156" s="16">
        <f t="shared" si="42"/>
        <v>3.9557066849329713E-3</v>
      </c>
      <c r="M156" s="4">
        <v>258.29527024086281</v>
      </c>
      <c r="N156" s="4">
        <v>265.78993278458438</v>
      </c>
      <c r="O156" s="58">
        <v>39</v>
      </c>
      <c r="P156" s="5">
        <v>1.9778068287218176E-2</v>
      </c>
      <c r="Q156" s="5">
        <v>5.7633569080594471E-2</v>
      </c>
      <c r="R156" s="78">
        <f t="shared" si="43"/>
        <v>1.9778068287218082E-2</v>
      </c>
      <c r="S156" s="78">
        <f t="shared" si="44"/>
        <v>1.976539408841772E-2</v>
      </c>
      <c r="T156" s="78">
        <f t="shared" si="45"/>
        <v>0</v>
      </c>
      <c r="U156" s="78">
        <f t="shared" si="46"/>
        <v>-1.9826998490101388E-2</v>
      </c>
      <c r="V156" s="80">
        <f t="shared" si="47"/>
        <v>2.0512256149284758E-2</v>
      </c>
    </row>
    <row r="157" spans="1:24">
      <c r="A157" s="72">
        <v>134</v>
      </c>
      <c r="B157" s="132" t="s">
        <v>276</v>
      </c>
      <c r="C157" s="132" t="s">
        <v>256</v>
      </c>
      <c r="D157" s="4">
        <v>50501492.170000002</v>
      </c>
      <c r="E157" s="3">
        <f t="shared" si="41"/>
        <v>1.0021277057748359E-3</v>
      </c>
      <c r="F157" s="4">
        <v>1.006</v>
      </c>
      <c r="G157" s="4">
        <v>1.006</v>
      </c>
      <c r="H157" s="58">
        <v>8</v>
      </c>
      <c r="I157" s="5">
        <v>3.0000000000000001E-3</v>
      </c>
      <c r="J157" s="5">
        <v>0.01</v>
      </c>
      <c r="K157" s="4">
        <v>50560966.329999998</v>
      </c>
      <c r="L157" s="16">
        <f t="shared" si="42"/>
        <v>1.0075068224813751E-3</v>
      </c>
      <c r="M157" s="4">
        <v>1.0069999999999999</v>
      </c>
      <c r="N157" s="4">
        <v>1.0069999999999999</v>
      </c>
      <c r="O157" s="58">
        <v>8</v>
      </c>
      <c r="P157" s="5">
        <v>1E-3</v>
      </c>
      <c r="Q157" s="5">
        <v>1.12E-2</v>
      </c>
      <c r="R157" s="78">
        <f t="shared" ref="R157" si="48">((K157-D157)/D157)</f>
        <v>1.1776713408742912E-3</v>
      </c>
      <c r="S157" s="78">
        <f t="shared" ref="S157" si="49">((N157-G157)/G157)</f>
        <v>9.9403578528816099E-4</v>
      </c>
      <c r="T157" s="78">
        <f t="shared" ref="T157" si="50">((O157-H157)/H157)</f>
        <v>0</v>
      </c>
      <c r="U157" s="78">
        <f t="shared" ref="U157" si="51">P157-I157</f>
        <v>-2E-3</v>
      </c>
      <c r="V157" s="80">
        <f t="shared" ref="V157" si="52">Q157-J157</f>
        <v>1.1999999999999997E-3</v>
      </c>
    </row>
    <row r="158" spans="1:24" ht="13.5" customHeight="1">
      <c r="A158" s="72">
        <v>135</v>
      </c>
      <c r="B158" s="132" t="s">
        <v>239</v>
      </c>
      <c r="C158" s="133" t="s">
        <v>32</v>
      </c>
      <c r="D158" s="2">
        <v>2695879053.48</v>
      </c>
      <c r="E158" s="3">
        <f t="shared" si="41"/>
        <v>5.3495747844758156E-2</v>
      </c>
      <c r="F158" s="4">
        <v>3.7993839999999999</v>
      </c>
      <c r="G158" s="4">
        <v>3.933697</v>
      </c>
      <c r="H158" s="58">
        <v>2337</v>
      </c>
      <c r="I158" s="5">
        <v>6.5915945512311502E-3</v>
      </c>
      <c r="J158" s="5">
        <v>4.4561625381464243E-2</v>
      </c>
      <c r="K158" s="2">
        <v>2705875439.8099999</v>
      </c>
      <c r="L158" s="16">
        <f t="shared" si="42"/>
        <v>5.3918826404546025E-2</v>
      </c>
      <c r="M158" s="4">
        <v>3.8132860000000002</v>
      </c>
      <c r="N158" s="4">
        <v>3.9346220000000001</v>
      </c>
      <c r="O158" s="58">
        <v>2320</v>
      </c>
      <c r="P158" s="5">
        <v>3.6590141980912261E-3</v>
      </c>
      <c r="Q158" s="5">
        <v>4.8383691199516132E-2</v>
      </c>
      <c r="R158" s="78">
        <f t="shared" si="43"/>
        <v>3.70802477844694E-3</v>
      </c>
      <c r="S158" s="78">
        <f t="shared" si="44"/>
        <v>2.3514775032242307E-4</v>
      </c>
      <c r="T158" s="78">
        <f t="shared" si="45"/>
        <v>-7.2742832691484807E-3</v>
      </c>
      <c r="U158" s="78">
        <f t="shared" si="46"/>
        <v>-2.9325803531399242E-3</v>
      </c>
      <c r="V158" s="80">
        <f>Q158-J158</f>
        <v>3.8220658180518896E-3</v>
      </c>
    </row>
    <row r="159" spans="1:24">
      <c r="A159" s="72">
        <v>136</v>
      </c>
      <c r="B159" s="132" t="s">
        <v>168</v>
      </c>
      <c r="C159" s="133" t="s">
        <v>114</v>
      </c>
      <c r="D159" s="2">
        <v>223953068.50999999</v>
      </c>
      <c r="E159" s="3">
        <f t="shared" si="41"/>
        <v>4.4440186834812274E-3</v>
      </c>
      <c r="F159" s="4">
        <v>192.412959</v>
      </c>
      <c r="G159" s="4">
        <v>196.181498</v>
      </c>
      <c r="H159" s="58">
        <v>139</v>
      </c>
      <c r="I159" s="5">
        <v>-1.9699999999999999E-2</v>
      </c>
      <c r="J159" s="5">
        <v>4.65E-2</v>
      </c>
      <c r="K159" s="2">
        <v>222427686.80000001</v>
      </c>
      <c r="L159" s="16">
        <f t="shared" si="42"/>
        <v>4.4322216964192765E-3</v>
      </c>
      <c r="M159" s="4">
        <v>193.05887899999999</v>
      </c>
      <c r="N159" s="4">
        <v>196.96256199999999</v>
      </c>
      <c r="O159" s="58">
        <v>139</v>
      </c>
      <c r="P159" s="5">
        <v>-1.9699999999999999E-2</v>
      </c>
      <c r="Q159" s="5">
        <v>0.2298</v>
      </c>
      <c r="R159" s="78">
        <f t="shared" si="43"/>
        <v>-6.8111668223553136E-3</v>
      </c>
      <c r="S159" s="78">
        <f t="shared" si="44"/>
        <v>3.9813336525750583E-3</v>
      </c>
      <c r="T159" s="78">
        <f t="shared" si="45"/>
        <v>0</v>
      </c>
      <c r="U159" s="78">
        <f t="shared" si="46"/>
        <v>0</v>
      </c>
      <c r="V159" s="80">
        <f t="shared" si="47"/>
        <v>0.18330000000000002</v>
      </c>
    </row>
    <row r="160" spans="1:24">
      <c r="A160" s="72">
        <v>137</v>
      </c>
      <c r="B160" s="132" t="s">
        <v>169</v>
      </c>
      <c r="C160" s="133" t="s">
        <v>29</v>
      </c>
      <c r="D160" s="2">
        <v>1716358022.27</v>
      </c>
      <c r="E160" s="3">
        <f t="shared" si="41"/>
        <v>3.4058596157034493E-2</v>
      </c>
      <c r="F160" s="4">
        <v>552.22</v>
      </c>
      <c r="G160" s="4">
        <v>552.22</v>
      </c>
      <c r="H160" s="58">
        <v>823</v>
      </c>
      <c r="I160" s="5">
        <v>4.6699999999999997E-3</v>
      </c>
      <c r="J160" s="5">
        <v>9.7913E-2</v>
      </c>
      <c r="K160" s="2">
        <v>1750283702.0599999</v>
      </c>
      <c r="L160" s="16">
        <f t="shared" si="42"/>
        <v>3.4877157204511212E-2</v>
      </c>
      <c r="M160" s="4">
        <v>552.22</v>
      </c>
      <c r="N160" s="4">
        <v>552.22</v>
      </c>
      <c r="O160" s="58">
        <v>823</v>
      </c>
      <c r="P160" s="5">
        <v>4.6699999999999997E-3</v>
      </c>
      <c r="Q160" s="5">
        <v>9.7913E-2</v>
      </c>
      <c r="R160" s="78">
        <f t="shared" si="43"/>
        <v>1.9766085717437289E-2</v>
      </c>
      <c r="S160" s="78">
        <f t="shared" si="44"/>
        <v>0</v>
      </c>
      <c r="T160" s="78">
        <f t="shared" si="45"/>
        <v>0</v>
      </c>
      <c r="U160" s="78">
        <f t="shared" si="46"/>
        <v>0</v>
      </c>
      <c r="V160" s="80">
        <f t="shared" si="47"/>
        <v>0</v>
      </c>
    </row>
    <row r="161" spans="1:22">
      <c r="A161" s="72">
        <v>138</v>
      </c>
      <c r="B161" s="132" t="s">
        <v>170</v>
      </c>
      <c r="C161" s="133" t="s">
        <v>80</v>
      </c>
      <c r="D161" s="4">
        <v>26762268.670000002</v>
      </c>
      <c r="E161" s="3">
        <f t="shared" si="41"/>
        <v>5.3105779158598018E-4</v>
      </c>
      <c r="F161" s="4">
        <v>1.68</v>
      </c>
      <c r="G161" s="4">
        <v>1.68</v>
      </c>
      <c r="H161" s="58">
        <v>8</v>
      </c>
      <c r="I161" s="5">
        <v>-6.0130000000000001E-3</v>
      </c>
      <c r="J161" s="117">
        <v>3.2384000000000003E-2</v>
      </c>
      <c r="K161" s="4">
        <v>26811299.920000002</v>
      </c>
      <c r="L161" s="16">
        <f t="shared" si="42"/>
        <v>5.3425734414744817E-4</v>
      </c>
      <c r="M161" s="4">
        <v>1.68</v>
      </c>
      <c r="N161" s="4">
        <v>1.68</v>
      </c>
      <c r="O161" s="58">
        <v>8</v>
      </c>
      <c r="P161" s="5">
        <v>1.8320000000000001E-3</v>
      </c>
      <c r="Q161" s="117">
        <v>3.4275E-2</v>
      </c>
      <c r="R161" s="78">
        <f t="shared" si="43"/>
        <v>1.8321036457930454E-3</v>
      </c>
      <c r="S161" s="78">
        <f t="shared" si="44"/>
        <v>0</v>
      </c>
      <c r="T161" s="78">
        <f t="shared" si="45"/>
        <v>0</v>
      </c>
      <c r="U161" s="78">
        <f t="shared" si="46"/>
        <v>7.8449999999999995E-3</v>
      </c>
      <c r="V161" s="80">
        <f t="shared" si="47"/>
        <v>1.8909999999999969E-3</v>
      </c>
    </row>
    <row r="162" spans="1:22">
      <c r="A162" s="72">
        <v>139</v>
      </c>
      <c r="B162" s="132" t="s">
        <v>171</v>
      </c>
      <c r="C162" s="133" t="s">
        <v>38</v>
      </c>
      <c r="D162" s="4">
        <v>269324215.75</v>
      </c>
      <c r="E162" s="3">
        <f t="shared" si="41"/>
        <v>5.3443422529103933E-3</v>
      </c>
      <c r="F162" s="4">
        <v>2.740405</v>
      </c>
      <c r="G162" s="4">
        <v>2.7839939999999999</v>
      </c>
      <c r="H162" s="58">
        <v>118</v>
      </c>
      <c r="I162" s="5">
        <v>1.03E-2</v>
      </c>
      <c r="J162" s="5">
        <v>0.1784</v>
      </c>
      <c r="K162" s="4">
        <v>269324215.75</v>
      </c>
      <c r="L162" s="16">
        <f t="shared" si="42"/>
        <v>5.3667088373382122E-3</v>
      </c>
      <c r="M162" s="4">
        <v>2.740405</v>
      </c>
      <c r="N162" s="4">
        <v>2.7839939999999999</v>
      </c>
      <c r="O162" s="58">
        <v>118</v>
      </c>
      <c r="P162" s="5">
        <v>1.03E-2</v>
      </c>
      <c r="Q162" s="5">
        <v>0.1784</v>
      </c>
      <c r="R162" s="78">
        <f t="shared" si="43"/>
        <v>0</v>
      </c>
      <c r="S162" s="78">
        <f t="shared" si="44"/>
        <v>0</v>
      </c>
      <c r="T162" s="78">
        <f t="shared" si="45"/>
        <v>0</v>
      </c>
      <c r="U162" s="78">
        <f t="shared" si="46"/>
        <v>0</v>
      </c>
      <c r="V162" s="80">
        <f t="shared" si="47"/>
        <v>0</v>
      </c>
    </row>
    <row r="163" spans="1:22">
      <c r="A163" s="72">
        <v>140</v>
      </c>
      <c r="B163" s="132" t="s">
        <v>172</v>
      </c>
      <c r="C163" s="133" t="s">
        <v>42</v>
      </c>
      <c r="D163" s="2">
        <v>2706364732.2399998</v>
      </c>
      <c r="E163" s="3">
        <f t="shared" si="41"/>
        <v>5.3703820690682746E-2</v>
      </c>
      <c r="F163" s="4">
        <v>5624</v>
      </c>
      <c r="G163" s="4">
        <v>5679.93</v>
      </c>
      <c r="H163" s="58">
        <v>2229</v>
      </c>
      <c r="I163" s="5">
        <v>4.1000000000000003E-3</v>
      </c>
      <c r="J163" s="5">
        <v>0.13120000000000001</v>
      </c>
      <c r="K163" s="2">
        <v>2712248069.5599999</v>
      </c>
      <c r="L163" s="3">
        <f t="shared" si="42"/>
        <v>5.4045811080993218E-2</v>
      </c>
      <c r="M163" s="4">
        <v>5666.28</v>
      </c>
      <c r="N163" s="4">
        <v>5724.22</v>
      </c>
      <c r="O163" s="58">
        <v>2231</v>
      </c>
      <c r="P163" s="5">
        <v>7.7999999999999996E-3</v>
      </c>
      <c r="Q163" s="5">
        <v>0.14000000000000001</v>
      </c>
      <c r="R163" s="78">
        <f t="shared" si="43"/>
        <v>2.1738892950805859E-3</v>
      </c>
      <c r="S163" s="78">
        <f t="shared" si="44"/>
        <v>7.7976313088365459E-3</v>
      </c>
      <c r="T163" s="78">
        <f t="shared" si="45"/>
        <v>8.9726334679228351E-4</v>
      </c>
      <c r="U163" s="78">
        <f t="shared" si="46"/>
        <v>3.6999999999999993E-3</v>
      </c>
      <c r="V163" s="80">
        <f t="shared" si="47"/>
        <v>8.8000000000000023E-3</v>
      </c>
    </row>
    <row r="164" spans="1:22">
      <c r="A164" s="72">
        <v>141</v>
      </c>
      <c r="B164" s="132" t="s">
        <v>274</v>
      </c>
      <c r="C164" s="132" t="s">
        <v>272</v>
      </c>
      <c r="D164" s="2">
        <v>78622515.730000004</v>
      </c>
      <c r="E164" s="3">
        <f t="shared" si="41"/>
        <v>1.5601479862322816E-3</v>
      </c>
      <c r="F164" s="4">
        <v>1037.67</v>
      </c>
      <c r="G164" s="4">
        <v>1051.83</v>
      </c>
      <c r="H164" s="58">
        <v>3</v>
      </c>
      <c r="I164" s="5">
        <v>3.5541330479007538E-3</v>
      </c>
      <c r="J164" s="5">
        <v>5.3199999999999997E-2</v>
      </c>
      <c r="K164" s="2">
        <v>78800709.920000002</v>
      </c>
      <c r="L164" s="3">
        <f t="shared" si="42"/>
        <v>1.5702281547112942E-3</v>
      </c>
      <c r="M164" s="4">
        <v>1040</v>
      </c>
      <c r="N164" s="4">
        <v>1054</v>
      </c>
      <c r="O164" s="58">
        <v>3</v>
      </c>
      <c r="P164" s="5">
        <v>1.9768516199942798E-3</v>
      </c>
      <c r="Q164" s="5">
        <v>5.5100000000000003E-2</v>
      </c>
      <c r="R164" s="78">
        <f>((K164-D164)/D164)</f>
        <v>2.2664524067372732E-3</v>
      </c>
      <c r="S164" s="78">
        <f>((N164-G164)/G164)</f>
        <v>2.0630710285883393E-3</v>
      </c>
      <c r="T164" s="78">
        <f t="shared" si="45"/>
        <v>0</v>
      </c>
      <c r="U164" s="78">
        <f>P164-I164</f>
        <v>-1.577281427906474E-3</v>
      </c>
      <c r="V164" s="80">
        <f>Q164-J164</f>
        <v>1.9000000000000059E-3</v>
      </c>
    </row>
    <row r="165" spans="1:22">
      <c r="A165" s="72">
        <v>142</v>
      </c>
      <c r="B165" s="132" t="s">
        <v>255</v>
      </c>
      <c r="C165" s="132" t="s">
        <v>256</v>
      </c>
      <c r="D165" s="2">
        <v>653881846.35000002</v>
      </c>
      <c r="E165" s="3">
        <f t="shared" si="41"/>
        <v>1.2975321844446388E-2</v>
      </c>
      <c r="F165" s="4">
        <v>1.2529999999999999</v>
      </c>
      <c r="G165" s="4">
        <v>1.2529999999999999</v>
      </c>
      <c r="H165" s="58">
        <v>38</v>
      </c>
      <c r="I165" s="5">
        <v>4.0000000000000001E-3</v>
      </c>
      <c r="J165" s="5">
        <v>0.1085</v>
      </c>
      <c r="K165" s="2">
        <v>655162799.01999998</v>
      </c>
      <c r="L165" s="3">
        <f t="shared" si="42"/>
        <v>1.3055149807470936E-2</v>
      </c>
      <c r="M165" s="4">
        <v>1.2549999999999999</v>
      </c>
      <c r="N165" s="4">
        <v>1.2549999999999999</v>
      </c>
      <c r="O165" s="58">
        <v>38</v>
      </c>
      <c r="P165" s="5">
        <v>1.6000000000000001E-3</v>
      </c>
      <c r="Q165" s="5">
        <v>0.11070000000000001</v>
      </c>
      <c r="R165" s="78">
        <f>((K165-D165)/D165)</f>
        <v>1.9589971447445693E-3</v>
      </c>
      <c r="S165" s="78">
        <f>((N165-G165)/G165)</f>
        <v>1.5961691939345587E-3</v>
      </c>
      <c r="T165" s="78">
        <f>((O165-H165)/H165)</f>
        <v>0</v>
      </c>
      <c r="U165" s="78">
        <f>P165-I165</f>
        <v>-2.4000000000000002E-3</v>
      </c>
      <c r="V165" s="80">
        <f>Q165-J165</f>
        <v>2.2000000000000075E-3</v>
      </c>
    </row>
    <row r="166" spans="1:22">
      <c r="A166" s="72">
        <v>143</v>
      </c>
      <c r="B166" s="132" t="s">
        <v>173</v>
      </c>
      <c r="C166" s="133" t="s">
        <v>45</v>
      </c>
      <c r="D166" s="4">
        <v>1723408866.4000001</v>
      </c>
      <c r="E166" s="3">
        <f t="shared" si="41"/>
        <v>3.4198509770437986E-2</v>
      </c>
      <c r="F166" s="4">
        <v>1.6222000000000001</v>
      </c>
      <c r="G166" s="4">
        <v>1.6313</v>
      </c>
      <c r="H166" s="58">
        <v>2111</v>
      </c>
      <c r="I166" s="5">
        <v>4.7999999999999996E-3</v>
      </c>
      <c r="J166" s="5">
        <v>7.0000000000000007E-2</v>
      </c>
      <c r="K166" s="4">
        <v>1724992004.21</v>
      </c>
      <c r="L166" s="16">
        <f t="shared" si="42"/>
        <v>3.4373180323023229E-2</v>
      </c>
      <c r="M166" s="4">
        <v>1.3793</v>
      </c>
      <c r="N166" s="4">
        <v>1.3873</v>
      </c>
      <c r="O166" s="58">
        <v>2105</v>
      </c>
      <c r="P166" s="5">
        <v>2.0000000000000001E-4</v>
      </c>
      <c r="Q166" s="5">
        <v>7.0599999999999996E-2</v>
      </c>
      <c r="R166" s="78">
        <f t="shared" si="43"/>
        <v>9.1860837022785706E-4</v>
      </c>
      <c r="S166" s="78">
        <f t="shared" si="44"/>
        <v>-0.14957395941886839</v>
      </c>
      <c r="T166" s="78">
        <f t="shared" si="45"/>
        <v>-2.8422548555187117E-3</v>
      </c>
      <c r="U166" s="78">
        <f t="shared" si="46"/>
        <v>-4.5999999999999999E-3</v>
      </c>
      <c r="V166" s="80">
        <f t="shared" si="47"/>
        <v>5.9999999999998943E-4</v>
      </c>
    </row>
    <row r="167" spans="1:22">
      <c r="A167" s="72">
        <v>144</v>
      </c>
      <c r="B167" s="132" t="s">
        <v>174</v>
      </c>
      <c r="C167" s="133" t="s">
        <v>45</v>
      </c>
      <c r="D167" s="4">
        <v>1050839357.1900001</v>
      </c>
      <c r="E167" s="3">
        <f t="shared" si="41"/>
        <v>2.0852358789990144E-2</v>
      </c>
      <c r="F167" s="4">
        <v>1.3685</v>
      </c>
      <c r="G167" s="4">
        <v>1.3764000000000001</v>
      </c>
      <c r="H167" s="58">
        <v>690</v>
      </c>
      <c r="I167" s="5">
        <v>8.9999999999999993E-3</v>
      </c>
      <c r="J167" s="5">
        <v>0.15409999999999999</v>
      </c>
      <c r="K167" s="4">
        <v>1059665147.85</v>
      </c>
      <c r="L167" s="16">
        <f t="shared" si="42"/>
        <v>2.1115495677762497E-2</v>
      </c>
      <c r="M167" s="4">
        <v>1.1591</v>
      </c>
      <c r="N167" s="4">
        <v>1.1591</v>
      </c>
      <c r="O167" s="58">
        <v>691</v>
      </c>
      <c r="P167" s="5">
        <v>7.3000000000000001E-3</v>
      </c>
      <c r="Q167" s="5">
        <v>0.16170000000000001</v>
      </c>
      <c r="R167" s="78">
        <f t="shared" si="43"/>
        <v>8.398801015219488E-3</v>
      </c>
      <c r="S167" s="78">
        <f t="shared" si="44"/>
        <v>-0.15787561755303695</v>
      </c>
      <c r="T167" s="78">
        <f t="shared" si="45"/>
        <v>1.4492753623188406E-3</v>
      </c>
      <c r="U167" s="78">
        <f t="shared" si="46"/>
        <v>-1.6999999999999993E-3</v>
      </c>
      <c r="V167" s="80">
        <f t="shared" si="47"/>
        <v>7.6000000000000234E-3</v>
      </c>
    </row>
    <row r="168" spans="1:22">
      <c r="A168" s="72">
        <v>145</v>
      </c>
      <c r="B168" s="132" t="s">
        <v>175</v>
      </c>
      <c r="C168" s="133" t="s">
        <v>87</v>
      </c>
      <c r="D168" s="2">
        <v>8753569781.2000008</v>
      </c>
      <c r="E168" s="3">
        <f t="shared" si="41"/>
        <v>0.17370169524188711</v>
      </c>
      <c r="F168" s="4">
        <v>475.7</v>
      </c>
      <c r="G168" s="4">
        <v>480.7</v>
      </c>
      <c r="H168" s="58">
        <v>32</v>
      </c>
      <c r="I168" s="5">
        <v>2.2769999999999999E-2</v>
      </c>
      <c r="J168" s="5">
        <v>0.36692000000000002</v>
      </c>
      <c r="K168" s="2">
        <v>8466747236.3599997</v>
      </c>
      <c r="L168" s="16">
        <f t="shared" si="42"/>
        <v>0.16871326289894562</v>
      </c>
      <c r="M168" s="4">
        <v>460.05</v>
      </c>
      <c r="N168" s="4">
        <v>464.98</v>
      </c>
      <c r="O168" s="58">
        <v>32</v>
      </c>
      <c r="P168" s="5">
        <v>3.388E-2</v>
      </c>
      <c r="Q168" s="5">
        <v>0.36692000000000002</v>
      </c>
      <c r="R168" s="78">
        <f t="shared" si="43"/>
        <v>-3.276635155819612E-2</v>
      </c>
      <c r="S168" s="78">
        <f t="shared" si="44"/>
        <v>-3.2702309132515019E-2</v>
      </c>
      <c r="T168" s="78">
        <f t="shared" si="45"/>
        <v>0</v>
      </c>
      <c r="U168" s="78">
        <f t="shared" si="46"/>
        <v>1.1110000000000002E-2</v>
      </c>
      <c r="V168" s="80">
        <f t="shared" si="47"/>
        <v>0</v>
      </c>
    </row>
    <row r="169" spans="1:22">
      <c r="A169" s="72">
        <v>146</v>
      </c>
      <c r="B169" s="132" t="s">
        <v>176</v>
      </c>
      <c r="C169" s="133" t="s">
        <v>40</v>
      </c>
      <c r="D169" s="2">
        <v>446130277.01999998</v>
      </c>
      <c r="E169" s="3">
        <f t="shared" si="41"/>
        <v>8.8527980417245668E-3</v>
      </c>
      <c r="F169" s="4">
        <v>232.01</v>
      </c>
      <c r="G169" s="4">
        <v>235.1</v>
      </c>
      <c r="H169" s="58">
        <v>690</v>
      </c>
      <c r="I169" s="5">
        <v>1.06E-2</v>
      </c>
      <c r="J169" s="5">
        <v>0.2029</v>
      </c>
      <c r="K169" s="2">
        <v>451290939.98000002</v>
      </c>
      <c r="L169" s="16">
        <f t="shared" si="42"/>
        <v>8.9926821806825766E-3</v>
      </c>
      <c r="M169" s="4">
        <v>234.76</v>
      </c>
      <c r="N169" s="4">
        <v>237.77</v>
      </c>
      <c r="O169" s="58">
        <v>690</v>
      </c>
      <c r="P169" s="5">
        <v>8.5000000000000006E-3</v>
      </c>
      <c r="Q169" s="5">
        <v>0.21679999999999999</v>
      </c>
      <c r="R169" s="78">
        <f t="shared" si="43"/>
        <v>1.1567614272834224E-2</v>
      </c>
      <c r="S169" s="78">
        <f t="shared" si="44"/>
        <v>1.1356869417269315E-2</v>
      </c>
      <c r="T169" s="78">
        <f t="shared" si="45"/>
        <v>0</v>
      </c>
      <c r="U169" s="78">
        <f t="shared" si="46"/>
        <v>-2.0999999999999994E-3</v>
      </c>
      <c r="V169" s="80">
        <f t="shared" si="47"/>
        <v>1.3899999999999996E-2</v>
      </c>
    </row>
    <row r="170" spans="1:22">
      <c r="A170" s="81"/>
      <c r="B170" s="152"/>
      <c r="C170" s="69" t="s">
        <v>46</v>
      </c>
      <c r="D170" s="70">
        <f>SUM(D142:D169)</f>
        <v>50394267994.968483</v>
      </c>
      <c r="E170" s="97">
        <f>(D170/$D$196)</f>
        <v>1.6962154362197213E-2</v>
      </c>
      <c r="F170" s="30"/>
      <c r="G170" s="36"/>
      <c r="H170" s="63">
        <f>SUM(H142:H169)</f>
        <v>69450</v>
      </c>
      <c r="I170" s="37"/>
      <c r="J170" s="37"/>
      <c r="K170" s="70">
        <f>SUM(K142:K169)</f>
        <v>50184242132.945633</v>
      </c>
      <c r="L170" s="97">
        <f>(K170/$K$196)</f>
        <v>1.6469948623270614E-2</v>
      </c>
      <c r="M170" s="30"/>
      <c r="N170" s="36"/>
      <c r="O170" s="63">
        <f>SUM(O142:O169)</f>
        <v>69434</v>
      </c>
      <c r="P170" s="37"/>
      <c r="Q170" s="37"/>
      <c r="R170" s="78">
        <f t="shared" si="43"/>
        <v>-4.1676537903838516E-3</v>
      </c>
      <c r="S170" s="78" t="e">
        <f t="shared" si="44"/>
        <v>#DIV/0!</v>
      </c>
      <c r="T170" s="78">
        <f t="shared" si="45"/>
        <v>-2.3038156947444204E-4</v>
      </c>
      <c r="U170" s="78">
        <f t="shared" si="46"/>
        <v>0</v>
      </c>
      <c r="V170" s="80">
        <f t="shared" si="47"/>
        <v>0</v>
      </c>
    </row>
    <row r="171" spans="1:22" ht="8.25" customHeight="1">
      <c r="A171" s="154"/>
      <c r="B171" s="154"/>
      <c r="C171" s="154"/>
      <c r="D171" s="154"/>
      <c r="E171" s="154"/>
      <c r="F171" s="154"/>
      <c r="G171" s="154"/>
      <c r="H171" s="154"/>
      <c r="I171" s="154"/>
      <c r="J171" s="154"/>
      <c r="K171" s="154"/>
      <c r="L171" s="154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</row>
    <row r="172" spans="1:22" ht="15" customHeight="1">
      <c r="A172" s="161" t="s">
        <v>177</v>
      </c>
      <c r="B172" s="161"/>
      <c r="C172" s="161"/>
      <c r="D172" s="161"/>
      <c r="E172" s="161"/>
      <c r="F172" s="161"/>
      <c r="G172" s="161"/>
      <c r="H172" s="161"/>
      <c r="I172" s="161"/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161"/>
      <c r="V172" s="161"/>
    </row>
    <row r="173" spans="1:22">
      <c r="A173" s="72">
        <v>147</v>
      </c>
      <c r="B173" s="132" t="s">
        <v>178</v>
      </c>
      <c r="C173" s="133" t="s">
        <v>21</v>
      </c>
      <c r="D173" s="17">
        <v>938125854.33000004</v>
      </c>
      <c r="E173" s="3">
        <f>(D173/$D$176)</f>
        <v>0.18077805122056351</v>
      </c>
      <c r="F173" s="17">
        <v>65.218999999999994</v>
      </c>
      <c r="G173" s="17">
        <v>67.185400000000001</v>
      </c>
      <c r="H173" s="60">
        <v>1558</v>
      </c>
      <c r="I173" s="6">
        <v>0.1447</v>
      </c>
      <c r="J173" s="6">
        <v>0.3987</v>
      </c>
      <c r="K173" s="17">
        <v>946417934.28999996</v>
      </c>
      <c r="L173" s="16">
        <f>(K173/$K$176)</f>
        <v>0.1810161459832533</v>
      </c>
      <c r="M173" s="17">
        <v>65.308800000000005</v>
      </c>
      <c r="N173" s="17">
        <v>67.277900000000002</v>
      </c>
      <c r="O173" s="60">
        <v>1559</v>
      </c>
      <c r="P173" s="6">
        <v>7.1999999999999995E-2</v>
      </c>
      <c r="Q173" s="6">
        <v>0.38700000000000001</v>
      </c>
      <c r="R173" s="78">
        <f>((K173-D173)/D173)</f>
        <v>8.8389845794432757E-3</v>
      </c>
      <c r="S173" s="78">
        <f t="shared" ref="S173:T176" si="53">((N173-G173)/G173)</f>
        <v>1.3767872186516883E-3</v>
      </c>
      <c r="T173" s="78">
        <f t="shared" si="53"/>
        <v>6.4184852374839533E-4</v>
      </c>
      <c r="U173" s="78">
        <f t="shared" ref="U173:V176" si="54">P173-I173</f>
        <v>-7.2700000000000001E-2</v>
      </c>
      <c r="V173" s="80">
        <f t="shared" si="54"/>
        <v>-1.1699999999999988E-2</v>
      </c>
    </row>
    <row r="174" spans="1:22">
      <c r="A174" s="72">
        <v>148</v>
      </c>
      <c r="B174" s="132" t="s">
        <v>179</v>
      </c>
      <c r="C174" s="133" t="s">
        <v>180</v>
      </c>
      <c r="D174" s="95">
        <v>852854403.38</v>
      </c>
      <c r="E174" s="3">
        <f>(D174/$D$176)</f>
        <v>0.16434613363046546</v>
      </c>
      <c r="F174" s="17">
        <v>24.197399999999998</v>
      </c>
      <c r="G174" s="17">
        <v>24.413799999999998</v>
      </c>
      <c r="H174" s="58">
        <v>1494</v>
      </c>
      <c r="I174" s="5">
        <v>-3.3E-3</v>
      </c>
      <c r="J174" s="5">
        <v>0.1103</v>
      </c>
      <c r="K174" s="95">
        <v>854229921.62</v>
      </c>
      <c r="L174" s="16">
        <f>(K174/$K$176)</f>
        <v>0.16338385251673351</v>
      </c>
      <c r="M174" s="17">
        <v>24.135999999999999</v>
      </c>
      <c r="N174" s="17">
        <v>24.3508</v>
      </c>
      <c r="O174" s="58">
        <v>1494</v>
      </c>
      <c r="P174" s="5">
        <v>6.1000000000000004E-3</v>
      </c>
      <c r="Q174" s="5">
        <v>0.1075</v>
      </c>
      <c r="R174" s="78">
        <f>((K174-D174)/D174)</f>
        <v>1.6128406379196827E-3</v>
      </c>
      <c r="S174" s="78">
        <f t="shared" si="53"/>
        <v>-2.5805077456192331E-3</v>
      </c>
      <c r="T174" s="78">
        <f t="shared" si="53"/>
        <v>0</v>
      </c>
      <c r="U174" s="78">
        <f t="shared" si="54"/>
        <v>9.4000000000000004E-3</v>
      </c>
      <c r="V174" s="80">
        <f t="shared" si="54"/>
        <v>-2.7999999999999969E-3</v>
      </c>
    </row>
    <row r="175" spans="1:22">
      <c r="A175" s="72">
        <v>149</v>
      </c>
      <c r="B175" s="132" t="s">
        <v>181</v>
      </c>
      <c r="C175" s="133" t="s">
        <v>42</v>
      </c>
      <c r="D175" s="9">
        <v>3398398917.4499998</v>
      </c>
      <c r="E175" s="3">
        <f>(D175/$D$176)</f>
        <v>0.65487581514897097</v>
      </c>
      <c r="F175" s="17">
        <v>2.44</v>
      </c>
      <c r="G175" s="17">
        <v>2.4700000000000002</v>
      </c>
      <c r="H175" s="58">
        <v>10097</v>
      </c>
      <c r="I175" s="5">
        <v>4.1000000000000003E-3</v>
      </c>
      <c r="J175" s="5">
        <v>0.1875</v>
      </c>
      <c r="K175" s="9">
        <v>3427714117.8200002</v>
      </c>
      <c r="L175" s="16">
        <f>(K175/$K$176)</f>
        <v>0.6556000015000133</v>
      </c>
      <c r="M175" s="17">
        <v>2.46</v>
      </c>
      <c r="N175" s="17">
        <v>2.4900000000000002</v>
      </c>
      <c r="O175" s="58">
        <v>10100</v>
      </c>
      <c r="P175" s="5">
        <v>8.0999999999999996E-3</v>
      </c>
      <c r="Q175" s="5">
        <v>0.1971</v>
      </c>
      <c r="R175" s="78">
        <f>((K175-D175)/D175)</f>
        <v>8.6261798812003864E-3</v>
      </c>
      <c r="S175" s="78">
        <f t="shared" si="53"/>
        <v>8.097165991902841E-3</v>
      </c>
      <c r="T175" s="78">
        <f t="shared" si="53"/>
        <v>2.9711795582846391E-4</v>
      </c>
      <c r="U175" s="78">
        <f t="shared" si="54"/>
        <v>3.9999999999999992E-3</v>
      </c>
      <c r="V175" s="80">
        <f t="shared" si="54"/>
        <v>9.5999999999999974E-3</v>
      </c>
    </row>
    <row r="176" spans="1:22">
      <c r="A176" s="72"/>
      <c r="B176" s="152"/>
      <c r="C176" s="64" t="s">
        <v>46</v>
      </c>
      <c r="D176" s="70">
        <f>SUM(D173:D175)</f>
        <v>5189379175.1599998</v>
      </c>
      <c r="E176" s="97">
        <f>(D176/$D$196)</f>
        <v>1.7466877507145071E-3</v>
      </c>
      <c r="F176" s="30"/>
      <c r="G176" s="36"/>
      <c r="H176" s="63">
        <f>SUM(H173:H175)</f>
        <v>13149</v>
      </c>
      <c r="I176" s="37"/>
      <c r="J176" s="37"/>
      <c r="K176" s="70">
        <f>SUM(K173:K175)</f>
        <v>5228361973.7299995</v>
      </c>
      <c r="L176" s="97">
        <f>(K176/$K$196)</f>
        <v>1.7158942614511183E-3</v>
      </c>
      <c r="M176" s="30"/>
      <c r="N176" s="36"/>
      <c r="O176" s="63">
        <f>SUM(O173:O175)</f>
        <v>13153</v>
      </c>
      <c r="P176" s="37"/>
      <c r="Q176" s="37"/>
      <c r="R176" s="78">
        <f>((K176-D176)/D176)</f>
        <v>7.512035111367203E-3</v>
      </c>
      <c r="S176" s="78" t="e">
        <f t="shared" si="53"/>
        <v>#DIV/0!</v>
      </c>
      <c r="T176" s="78">
        <f t="shared" si="53"/>
        <v>3.042056430146779E-4</v>
      </c>
      <c r="U176" s="78">
        <f t="shared" si="54"/>
        <v>0</v>
      </c>
      <c r="V176" s="80">
        <f t="shared" si="54"/>
        <v>0</v>
      </c>
    </row>
    <row r="177" spans="1:24" ht="6" customHeight="1">
      <c r="A177" s="154"/>
      <c r="B177" s="154"/>
      <c r="C177" s="154"/>
      <c r="D177" s="154"/>
      <c r="E177" s="154"/>
      <c r="F177" s="154"/>
      <c r="G177" s="154"/>
      <c r="H177" s="154"/>
      <c r="I177" s="154"/>
      <c r="J177" s="154"/>
      <c r="K177" s="154"/>
      <c r="L177" s="154"/>
      <c r="M177" s="154"/>
      <c r="N177" s="154"/>
      <c r="O177" s="154"/>
      <c r="P177" s="154"/>
      <c r="Q177" s="154"/>
      <c r="R177" s="154"/>
      <c r="S177" s="154"/>
      <c r="T177" s="154"/>
      <c r="U177" s="154"/>
      <c r="V177" s="154"/>
    </row>
    <row r="178" spans="1:24" ht="15" customHeight="1">
      <c r="A178" s="161" t="s">
        <v>182</v>
      </c>
      <c r="B178" s="161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</row>
    <row r="179" spans="1:24">
      <c r="A179" s="165" t="s">
        <v>231</v>
      </c>
      <c r="B179" s="165"/>
      <c r="C179" s="165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</row>
    <row r="180" spans="1:24">
      <c r="A180" s="72">
        <v>150</v>
      </c>
      <c r="B180" s="132" t="s">
        <v>183</v>
      </c>
      <c r="C180" s="133" t="s">
        <v>184</v>
      </c>
      <c r="D180" s="13">
        <v>4217804828.02</v>
      </c>
      <c r="E180" s="3">
        <f>(D180/$D$195)</f>
        <v>8.4992030752186185E-2</v>
      </c>
      <c r="F180" s="18">
        <v>1.99</v>
      </c>
      <c r="G180" s="18">
        <v>2.0299999999999998</v>
      </c>
      <c r="H180" s="59">
        <v>15000</v>
      </c>
      <c r="I180" s="12">
        <v>6.9999999999999999E-4</v>
      </c>
      <c r="J180" s="12">
        <v>0.1024</v>
      </c>
      <c r="K180" s="13">
        <v>4225192784.4000001</v>
      </c>
      <c r="L180" s="3">
        <f>(K180/$K$195)</f>
        <v>8.520510051598576E-2</v>
      </c>
      <c r="M180" s="18">
        <v>1.99</v>
      </c>
      <c r="N180" s="18">
        <v>2.0299999999999998</v>
      </c>
      <c r="O180" s="59">
        <v>14998</v>
      </c>
      <c r="P180" s="12">
        <v>8.0000000000000004E-4</v>
      </c>
      <c r="Q180" s="12">
        <v>0.10249999999999999</v>
      </c>
      <c r="R180" s="78">
        <f>((K180-D180)/D180)</f>
        <v>1.7516117225054972E-3</v>
      </c>
      <c r="S180" s="78">
        <f>((N180-G180)/G180)</f>
        <v>0</v>
      </c>
      <c r="T180" s="78">
        <f>((O180-H180)/H180)</f>
        <v>-1.3333333333333334E-4</v>
      </c>
      <c r="U180" s="78">
        <f>P180-I180</f>
        <v>1.0000000000000005E-4</v>
      </c>
      <c r="V180" s="80">
        <f>Q180-J180</f>
        <v>9.9999999999988987E-5</v>
      </c>
    </row>
    <row r="181" spans="1:24">
      <c r="A181" s="72">
        <v>151</v>
      </c>
      <c r="B181" s="132" t="s">
        <v>185</v>
      </c>
      <c r="C181" s="133" t="s">
        <v>42</v>
      </c>
      <c r="D181" s="13">
        <v>657041456.26999998</v>
      </c>
      <c r="E181" s="3">
        <f>(D181/$D$195)</f>
        <v>1.3239893720491572E-2</v>
      </c>
      <c r="F181" s="18">
        <v>436.78</v>
      </c>
      <c r="G181" s="18">
        <v>442.61</v>
      </c>
      <c r="H181" s="59">
        <v>830</v>
      </c>
      <c r="I181" s="12">
        <v>1.1999999999999999E-3</v>
      </c>
      <c r="J181" s="12">
        <v>0.15909999999999999</v>
      </c>
      <c r="K181" s="13">
        <v>654374564.08000004</v>
      </c>
      <c r="L181" s="3">
        <f>(K181/$K$195)</f>
        <v>1.319609621444964E-2</v>
      </c>
      <c r="M181" s="18">
        <v>436.47</v>
      </c>
      <c r="N181" s="18">
        <v>442.32</v>
      </c>
      <c r="O181" s="59">
        <v>829</v>
      </c>
      <c r="P181" s="12">
        <v>-6.9999999999999999E-4</v>
      </c>
      <c r="Q181" s="12">
        <v>0.1583</v>
      </c>
      <c r="R181" s="78">
        <f>((K181-D181)/D181)</f>
        <v>-4.0589405197349136E-3</v>
      </c>
      <c r="S181" s="78">
        <f>((N181-G181)/G181)</f>
        <v>-6.5520435597935076E-4</v>
      </c>
      <c r="T181" s="78">
        <f>((O181-H181)/H181)</f>
        <v>-1.2048192771084338E-3</v>
      </c>
      <c r="U181" s="78">
        <f>P181-I181</f>
        <v>-1.8999999999999998E-3</v>
      </c>
      <c r="V181" s="80">
        <f>Q181-J181</f>
        <v>-7.9999999999999516E-4</v>
      </c>
    </row>
    <row r="182" spans="1:24" ht="6" customHeight="1">
      <c r="A182" s="154"/>
      <c r="B182" s="154"/>
      <c r="C182" s="154"/>
      <c r="D182" s="154"/>
      <c r="E182" s="154"/>
      <c r="F182" s="154"/>
      <c r="G182" s="154"/>
      <c r="H182" s="154"/>
      <c r="I182" s="154"/>
      <c r="J182" s="154"/>
      <c r="K182" s="154"/>
      <c r="L182" s="154"/>
      <c r="M182" s="154"/>
      <c r="N182" s="154"/>
      <c r="O182" s="154"/>
      <c r="P182" s="154"/>
      <c r="Q182" s="154"/>
      <c r="R182" s="154"/>
      <c r="S182" s="154"/>
      <c r="T182" s="154"/>
      <c r="U182" s="154"/>
      <c r="V182" s="154"/>
    </row>
    <row r="183" spans="1:24" ht="15" customHeight="1">
      <c r="A183" s="165" t="s">
        <v>230</v>
      </c>
      <c r="B183" s="165"/>
      <c r="C183" s="165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</row>
    <row r="184" spans="1:24">
      <c r="A184" s="72">
        <v>152</v>
      </c>
      <c r="B184" s="132" t="s">
        <v>186</v>
      </c>
      <c r="C184" s="133" t="s">
        <v>187</v>
      </c>
      <c r="D184" s="2">
        <v>408532154.05000001</v>
      </c>
      <c r="E184" s="3">
        <f t="shared" ref="E184:E194" si="55">(D184/$D$195)</f>
        <v>8.2322390001564622E-3</v>
      </c>
      <c r="F184" s="2">
        <v>1053.02</v>
      </c>
      <c r="G184" s="2">
        <v>1053.02</v>
      </c>
      <c r="H184" s="58">
        <v>21</v>
      </c>
      <c r="I184" s="5">
        <v>2.5999999999999999E-3</v>
      </c>
      <c r="J184" s="5">
        <v>6.08E-2</v>
      </c>
      <c r="K184" s="2">
        <v>406736378.58999997</v>
      </c>
      <c r="L184" s="3">
        <f t="shared" ref="L184:L194" si="56">(K184/$K$195)</f>
        <v>8.2022326056277982E-3</v>
      </c>
      <c r="M184" s="2">
        <v>1048.3900000000001</v>
      </c>
      <c r="N184" s="2">
        <v>1048.3900000000001</v>
      </c>
      <c r="O184" s="58">
        <v>21</v>
      </c>
      <c r="P184" s="5">
        <v>2E-3</v>
      </c>
      <c r="Q184" s="5">
        <v>6.2799999999999995E-2</v>
      </c>
      <c r="R184" s="78">
        <f>((K184-D184)/D184)</f>
        <v>-4.3956771632233729E-3</v>
      </c>
      <c r="S184" s="78">
        <f>((N184-G184)/G184)</f>
        <v>-4.3968775521831321E-3</v>
      </c>
      <c r="T184" s="78">
        <f>((O184-H184)/H184)</f>
        <v>0</v>
      </c>
      <c r="U184" s="78">
        <f>P184-I184</f>
        <v>-5.9999999999999984E-4</v>
      </c>
      <c r="V184" s="80">
        <f>Q184-J184</f>
        <v>1.9999999999999948E-3</v>
      </c>
      <c r="X184" s="68"/>
    </row>
    <row r="185" spans="1:24">
      <c r="A185" s="72">
        <v>153</v>
      </c>
      <c r="B185" s="132" t="s">
        <v>188</v>
      </c>
      <c r="C185" s="133" t="s">
        <v>58</v>
      </c>
      <c r="D185" s="2">
        <v>122666254.56999999</v>
      </c>
      <c r="E185" s="3">
        <f t="shared" si="55"/>
        <v>2.4718199408869145E-3</v>
      </c>
      <c r="F185" s="17">
        <v>112.29</v>
      </c>
      <c r="G185" s="17">
        <v>112.29</v>
      </c>
      <c r="H185" s="58">
        <v>71</v>
      </c>
      <c r="I185" s="5">
        <v>1.9E-3</v>
      </c>
      <c r="J185" s="5">
        <v>0.1381</v>
      </c>
      <c r="K185" s="2">
        <v>124957552.55</v>
      </c>
      <c r="L185" s="3">
        <f t="shared" si="56"/>
        <v>2.5198899478775516E-3</v>
      </c>
      <c r="M185" s="17">
        <v>112.57</v>
      </c>
      <c r="N185" s="17">
        <v>112.57</v>
      </c>
      <c r="O185" s="58">
        <v>73</v>
      </c>
      <c r="P185" s="5">
        <v>2.5000000000000001E-3</v>
      </c>
      <c r="Q185" s="5">
        <v>0.1376</v>
      </c>
      <c r="R185" s="78">
        <f t="shared" ref="R185:R196" si="57">((K185-D185)/D185)</f>
        <v>1.867912237177231E-2</v>
      </c>
      <c r="S185" s="78">
        <f t="shared" ref="S185:S195" si="58">((N185-G185)/G185)</f>
        <v>2.4935435034285059E-3</v>
      </c>
      <c r="T185" s="78">
        <f t="shared" ref="T185:T195" si="59">((O185-H185)/H185)</f>
        <v>2.8169014084507043E-2</v>
      </c>
      <c r="U185" s="78">
        <f t="shared" ref="U185:U195" si="60">P185-I185</f>
        <v>6.0000000000000006E-4</v>
      </c>
      <c r="V185" s="80">
        <f t="shared" ref="V185:V195" si="61">Q185-J185</f>
        <v>-5.0000000000000044E-4</v>
      </c>
    </row>
    <row r="186" spans="1:24">
      <c r="A186" s="72">
        <v>154</v>
      </c>
      <c r="B186" s="144" t="s">
        <v>189</v>
      </c>
      <c r="C186" s="133" t="s">
        <v>64</v>
      </c>
      <c r="D186" s="9">
        <v>57652872.950000003</v>
      </c>
      <c r="E186" s="3">
        <f t="shared" si="55"/>
        <v>1.1617499980478112E-3</v>
      </c>
      <c r="F186" s="17">
        <v>103.06</v>
      </c>
      <c r="G186" s="17">
        <v>105.23</v>
      </c>
      <c r="H186" s="58">
        <v>13</v>
      </c>
      <c r="I186" s="5">
        <v>2.0999999999999999E-3</v>
      </c>
      <c r="J186" s="5">
        <v>8.0299999999999996E-2</v>
      </c>
      <c r="K186" s="9">
        <v>57685974.200000003</v>
      </c>
      <c r="L186" s="3">
        <f t="shared" si="56"/>
        <v>1.163293482896435E-3</v>
      </c>
      <c r="M186" s="17">
        <v>103.12</v>
      </c>
      <c r="N186" s="17">
        <v>105.33</v>
      </c>
      <c r="O186" s="58">
        <v>13</v>
      </c>
      <c r="P186" s="5">
        <v>8.9999999999999998E-4</v>
      </c>
      <c r="Q186" s="5">
        <v>8.1100000000000005E-2</v>
      </c>
      <c r="R186" s="78">
        <f t="shared" si="57"/>
        <v>5.7414745018357315E-4</v>
      </c>
      <c r="S186" s="78">
        <f t="shared" si="58"/>
        <v>9.5029934429339841E-4</v>
      </c>
      <c r="T186" s="78">
        <f t="shared" si="59"/>
        <v>0</v>
      </c>
      <c r="U186" s="78">
        <f t="shared" si="60"/>
        <v>-1.1999999999999999E-3</v>
      </c>
      <c r="V186" s="80">
        <f t="shared" si="61"/>
        <v>8.0000000000000904E-4</v>
      </c>
    </row>
    <row r="187" spans="1:24">
      <c r="A187" s="72">
        <v>155</v>
      </c>
      <c r="B187" s="132" t="s">
        <v>190</v>
      </c>
      <c r="C187" s="133" t="s">
        <v>27</v>
      </c>
      <c r="D187" s="2">
        <v>9197958857.9300003</v>
      </c>
      <c r="E187" s="3">
        <f t="shared" si="55"/>
        <v>0.18534598777950448</v>
      </c>
      <c r="F187" s="17">
        <v>143.07</v>
      </c>
      <c r="G187" s="17">
        <v>143.07</v>
      </c>
      <c r="H187" s="58">
        <v>697</v>
      </c>
      <c r="I187" s="5">
        <v>3.3E-3</v>
      </c>
      <c r="J187" s="5">
        <v>7.0000000000000007E-2</v>
      </c>
      <c r="K187" s="2">
        <v>9229532527.3199997</v>
      </c>
      <c r="L187" s="3">
        <f t="shared" si="56"/>
        <v>0.18612245330186375</v>
      </c>
      <c r="M187" s="17">
        <v>143.5</v>
      </c>
      <c r="N187" s="17">
        <v>143.5</v>
      </c>
      <c r="O187" s="58">
        <v>693</v>
      </c>
      <c r="P187" s="5">
        <v>3.0000000000000001E-3</v>
      </c>
      <c r="Q187" s="5">
        <v>7.3200000000000001E-2</v>
      </c>
      <c r="R187" s="78">
        <f t="shared" si="57"/>
        <v>3.4326821719558157E-3</v>
      </c>
      <c r="S187" s="78">
        <f t="shared" si="58"/>
        <v>3.0055217725589349E-3</v>
      </c>
      <c r="T187" s="78">
        <f t="shared" si="59"/>
        <v>-5.7388809182209472E-3</v>
      </c>
      <c r="U187" s="78">
        <f t="shared" si="60"/>
        <v>-2.9999999999999992E-4</v>
      </c>
      <c r="V187" s="80">
        <f t="shared" si="61"/>
        <v>3.1999999999999945E-3</v>
      </c>
    </row>
    <row r="188" spans="1:24">
      <c r="A188" s="72">
        <v>156</v>
      </c>
      <c r="B188" s="132" t="s">
        <v>248</v>
      </c>
      <c r="C188" s="133" t="s">
        <v>56</v>
      </c>
      <c r="D188" s="2">
        <v>296343574.07554102</v>
      </c>
      <c r="E188" s="3">
        <f t="shared" si="55"/>
        <v>5.9715523093240947E-3</v>
      </c>
      <c r="F188" s="17">
        <v>1095.0211321178001</v>
      </c>
      <c r="G188" s="17">
        <v>1095.0211321178001</v>
      </c>
      <c r="H188" s="58">
        <v>84</v>
      </c>
      <c r="I188" s="5">
        <v>0.14549160055679308</v>
      </c>
      <c r="J188" s="5">
        <v>0.12982370825337944</v>
      </c>
      <c r="K188" s="2">
        <v>298190853.39381301</v>
      </c>
      <c r="L188" s="3">
        <f t="shared" si="56"/>
        <v>6.013307068537796E-3</v>
      </c>
      <c r="M188" s="17">
        <v>1098.1440813213401</v>
      </c>
      <c r="N188" s="17">
        <v>1098.1440813213401</v>
      </c>
      <c r="O188" s="58">
        <v>85</v>
      </c>
      <c r="P188" s="5">
        <v>0.14911641884873156</v>
      </c>
      <c r="Q188" s="5">
        <v>0.13090228677359161</v>
      </c>
      <c r="R188" s="78">
        <f t="shared" si="57"/>
        <v>6.2335730546365896E-3</v>
      </c>
      <c r="S188" s="78">
        <f t="shared" si="58"/>
        <v>2.8519533659593465E-3</v>
      </c>
      <c r="T188" s="78">
        <f t="shared" si="59"/>
        <v>1.1904761904761904E-2</v>
      </c>
      <c r="U188" s="78">
        <f t="shared" si="60"/>
        <v>3.6248182919384753E-3</v>
      </c>
      <c r="V188" s="80">
        <f t="shared" si="61"/>
        <v>1.0785785202121756E-3</v>
      </c>
    </row>
    <row r="189" spans="1:24">
      <c r="A189" s="72">
        <v>157</v>
      </c>
      <c r="B189" s="132" t="s">
        <v>191</v>
      </c>
      <c r="C189" s="133" t="s">
        <v>184</v>
      </c>
      <c r="D189" s="2">
        <v>22127669647.09</v>
      </c>
      <c r="E189" s="3">
        <f t="shared" si="55"/>
        <v>0.44588966436423561</v>
      </c>
      <c r="F189" s="7">
        <v>1236.08</v>
      </c>
      <c r="G189" s="7">
        <v>1236.08</v>
      </c>
      <c r="H189" s="58">
        <v>8639</v>
      </c>
      <c r="I189" s="5">
        <v>8.0000000000000004E-4</v>
      </c>
      <c r="J189" s="5">
        <v>7.2499999999999995E-2</v>
      </c>
      <c r="K189" s="2">
        <v>22072718762.080002</v>
      </c>
      <c r="L189" s="3">
        <f t="shared" si="56"/>
        <v>0.44511772994783766</v>
      </c>
      <c r="M189" s="7">
        <v>1205.48</v>
      </c>
      <c r="N189" s="7">
        <v>1205.48</v>
      </c>
      <c r="O189" s="58">
        <v>8684</v>
      </c>
      <c r="P189" s="5">
        <v>-2.3900000000000001E-2</v>
      </c>
      <c r="Q189" s="5">
        <v>7.4499999999999997E-2</v>
      </c>
      <c r="R189" s="78">
        <f t="shared" si="57"/>
        <v>-2.4833561729002444E-3</v>
      </c>
      <c r="S189" s="78">
        <f t="shared" si="58"/>
        <v>-2.4755679244061801E-2</v>
      </c>
      <c r="T189" s="78">
        <f t="shared" si="59"/>
        <v>5.2089362194698459E-3</v>
      </c>
      <c r="U189" s="78">
        <f t="shared" si="60"/>
        <v>-2.47E-2</v>
      </c>
      <c r="V189" s="80">
        <f t="shared" si="61"/>
        <v>2.0000000000000018E-3</v>
      </c>
    </row>
    <row r="190" spans="1:24">
      <c r="A190" s="72">
        <v>158</v>
      </c>
      <c r="B190" s="132" t="s">
        <v>195</v>
      </c>
      <c r="C190" s="133" t="s">
        <v>196</v>
      </c>
      <c r="D190" s="2">
        <v>367077010.39999998</v>
      </c>
      <c r="E190" s="3">
        <f t="shared" si="55"/>
        <v>7.3968857802704921E-3</v>
      </c>
      <c r="F190" s="18">
        <v>122.3241</v>
      </c>
      <c r="G190" s="18">
        <v>123.0659</v>
      </c>
      <c r="H190" s="59">
        <v>166</v>
      </c>
      <c r="I190" s="5">
        <v>7.4590000000000004E-3</v>
      </c>
      <c r="J190" s="5">
        <v>0.23619999999999999</v>
      </c>
      <c r="K190" s="2">
        <v>375782451.30000001</v>
      </c>
      <c r="L190" s="3">
        <f t="shared" si="56"/>
        <v>7.5780167128413848E-3</v>
      </c>
      <c r="M190" s="18">
        <v>120.89360000000001</v>
      </c>
      <c r="N190" s="18">
        <v>121.5814</v>
      </c>
      <c r="O190" s="59">
        <v>168</v>
      </c>
      <c r="P190" s="5">
        <v>-1.6251000000000002E-2</v>
      </c>
      <c r="Q190" s="5">
        <v>0.22140000000000001</v>
      </c>
      <c r="R190" s="78">
        <f>((K190-D190)/D190)</f>
        <v>2.3715570992892766E-2</v>
      </c>
      <c r="S190" s="78">
        <f>((N190-G190)/G190)</f>
        <v>-1.2062642860451165E-2</v>
      </c>
      <c r="T190" s="78">
        <f>((O190-H190)/H190)</f>
        <v>1.2048192771084338E-2</v>
      </c>
      <c r="U190" s="78">
        <f>P190-I190</f>
        <v>-2.3710000000000002E-2</v>
      </c>
      <c r="V190" s="80">
        <f>Q190-J190</f>
        <v>-1.479999999999998E-2</v>
      </c>
    </row>
    <row r="191" spans="1:24">
      <c r="A191" s="72">
        <v>159</v>
      </c>
      <c r="B191" s="132" t="s">
        <v>243</v>
      </c>
      <c r="C191" s="133" t="s">
        <v>196</v>
      </c>
      <c r="D191" s="2">
        <v>162470671.69999999</v>
      </c>
      <c r="E191" s="3">
        <f t="shared" si="55"/>
        <v>3.2739097441682919E-3</v>
      </c>
      <c r="F191" s="18">
        <v>106.2225</v>
      </c>
      <c r="G191" s="18">
        <v>106.2225</v>
      </c>
      <c r="H191" s="59">
        <v>70</v>
      </c>
      <c r="I191" s="5">
        <v>2.6289999999999998E-3</v>
      </c>
      <c r="J191" s="5">
        <v>5.9091999999999999E-2</v>
      </c>
      <c r="K191" s="2">
        <v>166776374.13</v>
      </c>
      <c r="L191" s="3">
        <f t="shared" si="56"/>
        <v>3.3632069461787223E-3</v>
      </c>
      <c r="M191" s="18">
        <v>106.4973</v>
      </c>
      <c r="N191" s="18">
        <v>106.4973</v>
      </c>
      <c r="O191" s="59">
        <v>74</v>
      </c>
      <c r="P191" s="5">
        <v>2.5869999999999999E-3</v>
      </c>
      <c r="Q191" s="5">
        <v>6.3425999999999996E-2</v>
      </c>
      <c r="R191" s="78">
        <f>((K191-D191)/D191)</f>
        <v>2.650141336247093E-2</v>
      </c>
      <c r="S191" s="78">
        <f>((N191-G191)/G191)</f>
        <v>2.5870225234766557E-3</v>
      </c>
      <c r="T191" s="78">
        <f>((O191-H191)/H191)</f>
        <v>5.7142857142857141E-2</v>
      </c>
      <c r="U191" s="78">
        <f>P191-I191</f>
        <v>-4.1999999999999937E-5</v>
      </c>
      <c r="V191" s="80">
        <f>Q191-J191</f>
        <v>4.3339999999999976E-3</v>
      </c>
    </row>
    <row r="192" spans="1:24" ht="13.5" customHeight="1">
      <c r="A192" s="72">
        <v>160</v>
      </c>
      <c r="B192" s="132" t="s">
        <v>192</v>
      </c>
      <c r="C192" s="133" t="s">
        <v>78</v>
      </c>
      <c r="D192" s="2">
        <v>1084499392.9200001</v>
      </c>
      <c r="E192" s="3">
        <f t="shared" si="55"/>
        <v>2.1853501883598022E-2</v>
      </c>
      <c r="F192" s="14">
        <v>105.48</v>
      </c>
      <c r="G192" s="14">
        <v>105.48</v>
      </c>
      <c r="H192" s="58">
        <v>562</v>
      </c>
      <c r="I192" s="5">
        <v>2.3E-3</v>
      </c>
      <c r="J192" s="5">
        <v>5.7000000000000002E-2</v>
      </c>
      <c r="K192" s="2">
        <v>1057980284.59</v>
      </c>
      <c r="L192" s="3">
        <f t="shared" si="56"/>
        <v>2.1335196070875449E-2</v>
      </c>
      <c r="M192" s="14">
        <v>102.72</v>
      </c>
      <c r="N192" s="14">
        <v>102.72</v>
      </c>
      <c r="O192" s="58">
        <v>563</v>
      </c>
      <c r="P192" s="5">
        <v>2.3999999999999998E-3</v>
      </c>
      <c r="Q192" s="5">
        <v>5.9400000000000001E-2</v>
      </c>
      <c r="R192" s="78">
        <f t="shared" si="57"/>
        <v>-2.4452856777169511E-2</v>
      </c>
      <c r="S192" s="78">
        <f t="shared" si="58"/>
        <v>-2.6166097838452834E-2</v>
      </c>
      <c r="T192" s="78">
        <f t="shared" si="59"/>
        <v>1.7793594306049821E-3</v>
      </c>
      <c r="U192" s="78">
        <f t="shared" si="60"/>
        <v>9.9999999999999829E-5</v>
      </c>
      <c r="V192" s="80">
        <f t="shared" si="61"/>
        <v>2.3999999999999994E-3</v>
      </c>
    </row>
    <row r="193" spans="1:22" ht="15.75" customHeight="1">
      <c r="A193" s="72">
        <v>161</v>
      </c>
      <c r="B193" s="132" t="s">
        <v>193</v>
      </c>
      <c r="C193" s="133" t="s">
        <v>42</v>
      </c>
      <c r="D193" s="2">
        <v>7175777551.4499998</v>
      </c>
      <c r="E193" s="3">
        <f t="shared" si="55"/>
        <v>0.14459746981938676</v>
      </c>
      <c r="F193" s="14">
        <v>131.16</v>
      </c>
      <c r="G193" s="14">
        <v>131.16</v>
      </c>
      <c r="H193" s="58">
        <v>1220</v>
      </c>
      <c r="I193" s="5">
        <v>0</v>
      </c>
      <c r="J193" s="5">
        <v>2.24E-2</v>
      </c>
      <c r="K193" s="2">
        <v>7180561866.7399998</v>
      </c>
      <c r="L193" s="3">
        <f t="shared" si="56"/>
        <v>0.14480297748206011</v>
      </c>
      <c r="M193" s="14">
        <v>131.16999999999999</v>
      </c>
      <c r="N193" s="14">
        <v>131.16999999999999</v>
      </c>
      <c r="O193" s="58">
        <v>1221</v>
      </c>
      <c r="P193" s="5">
        <v>1E-4</v>
      </c>
      <c r="Q193" s="5">
        <v>2.24E-2</v>
      </c>
      <c r="R193" s="78">
        <f t="shared" si="57"/>
        <v>6.667312713774414E-4</v>
      </c>
      <c r="S193" s="78">
        <f t="shared" si="58"/>
        <v>7.6242756938021546E-5</v>
      </c>
      <c r="T193" s="78">
        <f t="shared" si="59"/>
        <v>8.1967213114754098E-4</v>
      </c>
      <c r="U193" s="78">
        <f t="shared" si="60"/>
        <v>1E-4</v>
      </c>
      <c r="V193" s="80">
        <f t="shared" si="61"/>
        <v>0</v>
      </c>
    </row>
    <row r="194" spans="1:22">
      <c r="A194" s="72">
        <v>162</v>
      </c>
      <c r="B194" s="132" t="s">
        <v>194</v>
      </c>
      <c r="C194" s="133" t="s">
        <v>45</v>
      </c>
      <c r="D194" s="2">
        <v>3750391716.8499999</v>
      </c>
      <c r="E194" s="3">
        <f t="shared" si="55"/>
        <v>7.5573294907743435E-2</v>
      </c>
      <c r="F194" s="14">
        <v>1.157</v>
      </c>
      <c r="G194" s="14">
        <v>1.157</v>
      </c>
      <c r="H194" s="58">
        <v>713</v>
      </c>
      <c r="I194" s="5">
        <v>0.1147</v>
      </c>
      <c r="J194" s="5">
        <v>0.10009999999999999</v>
      </c>
      <c r="K194" s="2">
        <v>3738005606.48</v>
      </c>
      <c r="L194" s="3">
        <f t="shared" si="56"/>
        <v>7.5380499702967993E-2</v>
      </c>
      <c r="M194" s="14">
        <v>1.1591</v>
      </c>
      <c r="N194" s="14">
        <v>1.1591</v>
      </c>
      <c r="O194" s="58">
        <v>708</v>
      </c>
      <c r="P194" s="5">
        <v>9.9099999999999994E-2</v>
      </c>
      <c r="Q194" s="5">
        <v>9.98E-2</v>
      </c>
      <c r="R194" s="78">
        <f t="shared" si="57"/>
        <v>-3.3026177810575831E-3</v>
      </c>
      <c r="S194" s="78">
        <f t="shared" si="58"/>
        <v>1.8150388936905711E-3</v>
      </c>
      <c r="T194" s="78">
        <f t="shared" si="59"/>
        <v>-7.0126227208976155E-3</v>
      </c>
      <c r="U194" s="78">
        <f t="shared" si="60"/>
        <v>-1.5600000000000003E-2</v>
      </c>
      <c r="V194" s="80">
        <f t="shared" si="61"/>
        <v>-2.9999999999999472E-4</v>
      </c>
    </row>
    <row r="195" spans="1:22">
      <c r="A195" s="82"/>
      <c r="B195" s="152"/>
      <c r="C195" s="64" t="s">
        <v>46</v>
      </c>
      <c r="D195" s="57">
        <f>SUM(D180:D194)</f>
        <v>49625885988.275536</v>
      </c>
      <c r="E195" s="97">
        <f>(D195/$D$196)</f>
        <v>1.6703525460037907E-2</v>
      </c>
      <c r="F195" s="30"/>
      <c r="G195" s="34"/>
      <c r="H195" s="66">
        <f>SUM(H180:H194)</f>
        <v>28086</v>
      </c>
      <c r="I195" s="35"/>
      <c r="J195" s="35"/>
      <c r="K195" s="57">
        <f>SUM(K180:K194)</f>
        <v>49588495979.853813</v>
      </c>
      <c r="L195" s="97">
        <f>(K195/$K$196)</f>
        <v>1.6274430904622196E-2</v>
      </c>
      <c r="M195" s="30"/>
      <c r="N195" s="34"/>
      <c r="O195" s="66">
        <f>SUM(O180:O194)</f>
        <v>28130</v>
      </c>
      <c r="P195" s="35"/>
      <c r="Q195" s="35"/>
      <c r="R195" s="78">
        <f t="shared" si="57"/>
        <v>-7.5343759969456389E-4</v>
      </c>
      <c r="S195" s="78" t="e">
        <f t="shared" si="58"/>
        <v>#DIV/0!</v>
      </c>
      <c r="T195" s="78">
        <f t="shared" si="59"/>
        <v>1.5666168197678559E-3</v>
      </c>
      <c r="U195" s="78">
        <f t="shared" si="60"/>
        <v>0</v>
      </c>
      <c r="V195" s="80">
        <f t="shared" si="61"/>
        <v>0</v>
      </c>
    </row>
    <row r="196" spans="1:22">
      <c r="A196" s="83"/>
      <c r="B196" s="38"/>
      <c r="C196" s="65" t="s">
        <v>197</v>
      </c>
      <c r="D196" s="67">
        <f>SUM(D23,D60,D98,D131,D139,D170,D176,D195)</f>
        <v>2970982748941.3672</v>
      </c>
      <c r="E196" s="39"/>
      <c r="F196" s="39"/>
      <c r="G196" s="40"/>
      <c r="H196" s="67">
        <f>SUM(H23,H60,H98,H131,H139,H170,H176,H195)</f>
        <v>743848</v>
      </c>
      <c r="I196" s="41"/>
      <c r="J196" s="41"/>
      <c r="K196" s="67">
        <f>SUM(K23,K60,K98,K131,K139,K170,K176,K195)</f>
        <v>3047018741882.3901</v>
      </c>
      <c r="L196" s="39"/>
      <c r="M196" s="39"/>
      <c r="N196" s="40"/>
      <c r="O196" s="67">
        <f>SUM(O23,O60,O98,O131,O139,O170,O176,O195)</f>
        <v>744211</v>
      </c>
      <c r="P196" s="42"/>
      <c r="Q196" s="67"/>
      <c r="R196" s="25">
        <f t="shared" si="57"/>
        <v>2.5592875949251609E-2</v>
      </c>
      <c r="S196" s="25"/>
      <c r="T196" s="25"/>
      <c r="U196" s="25"/>
      <c r="V196" s="25"/>
    </row>
    <row r="197" spans="1:22" ht="6.75" customHeight="1">
      <c r="A197" s="154"/>
      <c r="B197" s="154"/>
      <c r="C197" s="154"/>
      <c r="D197" s="154"/>
      <c r="E197" s="154"/>
      <c r="F197" s="154"/>
      <c r="G197" s="154"/>
      <c r="H197" s="154"/>
      <c r="I197" s="154"/>
      <c r="J197" s="154"/>
      <c r="K197" s="154"/>
      <c r="L197" s="154"/>
      <c r="M197" s="154"/>
      <c r="N197" s="154"/>
      <c r="O197" s="154"/>
      <c r="P197" s="154"/>
      <c r="Q197" s="154"/>
      <c r="R197" s="154"/>
      <c r="S197" s="154"/>
      <c r="T197" s="154"/>
      <c r="U197" s="154"/>
      <c r="V197" s="19"/>
    </row>
    <row r="198" spans="1:22" ht="15.75">
      <c r="A198" s="161" t="s">
        <v>198</v>
      </c>
      <c r="B198" s="161"/>
      <c r="C198" s="161"/>
      <c r="D198" s="161"/>
      <c r="E198" s="161"/>
      <c r="F198" s="161"/>
      <c r="G198" s="161"/>
      <c r="H198" s="161"/>
      <c r="I198" s="161"/>
      <c r="J198" s="161"/>
      <c r="K198" s="161"/>
      <c r="L198" s="161"/>
      <c r="M198" s="161"/>
      <c r="N198" s="161"/>
      <c r="O198" s="161"/>
      <c r="P198" s="161"/>
      <c r="Q198" s="161"/>
      <c r="R198" s="161"/>
      <c r="S198" s="161"/>
      <c r="T198" s="161"/>
      <c r="U198" s="161"/>
      <c r="V198" s="161"/>
    </row>
    <row r="199" spans="1:22">
      <c r="A199" s="72">
        <v>1</v>
      </c>
      <c r="B199" s="132" t="s">
        <v>199</v>
      </c>
      <c r="C199" s="133" t="s">
        <v>200</v>
      </c>
      <c r="D199" s="2">
        <v>103175705234</v>
      </c>
      <c r="E199" s="3">
        <f>(D199/$D$201)</f>
        <v>0.97886256303310681</v>
      </c>
      <c r="F199" s="14">
        <v>107.39</v>
      </c>
      <c r="G199" s="14">
        <v>107.39</v>
      </c>
      <c r="H199" s="62">
        <v>0</v>
      </c>
      <c r="I199" s="20">
        <v>0</v>
      </c>
      <c r="J199" s="20">
        <v>0.13800000000000001</v>
      </c>
      <c r="K199" s="2">
        <v>103175705234</v>
      </c>
      <c r="L199" s="3">
        <f>(K199/$K$201)</f>
        <v>0.93452776090611467</v>
      </c>
      <c r="M199" s="14">
        <v>107.39</v>
      </c>
      <c r="N199" s="14">
        <v>107.39</v>
      </c>
      <c r="O199" s="62">
        <v>0</v>
      </c>
      <c r="P199" s="20">
        <v>0</v>
      </c>
      <c r="Q199" s="20">
        <v>0.13800000000000001</v>
      </c>
      <c r="R199" s="78">
        <f>((K199-D199)/D199)</f>
        <v>0</v>
      </c>
      <c r="S199" s="78">
        <f>((N199-G199)/G199)</f>
        <v>0</v>
      </c>
      <c r="T199" s="78" t="e">
        <f>((O199-H199)/H199)</f>
        <v>#DIV/0!</v>
      </c>
      <c r="U199" s="78">
        <f>P199-I199</f>
        <v>0</v>
      </c>
      <c r="V199" s="80">
        <f>Q199-J199</f>
        <v>0</v>
      </c>
    </row>
    <row r="200" spans="1:22">
      <c r="A200" s="72">
        <v>2</v>
      </c>
      <c r="B200" s="132" t="s">
        <v>201</v>
      </c>
      <c r="C200" s="133" t="s">
        <v>45</v>
      </c>
      <c r="D200" s="2">
        <v>2227963401.8699999</v>
      </c>
      <c r="E200" s="3">
        <f>(D200/$D$201)</f>
        <v>2.11374369668932E-2</v>
      </c>
      <c r="F200" s="21">
        <v>1000000</v>
      </c>
      <c r="G200" s="21">
        <v>1000000</v>
      </c>
      <c r="H200" s="62">
        <v>0</v>
      </c>
      <c r="I200" s="20">
        <v>0.16320000000000001</v>
      </c>
      <c r="J200" s="20">
        <v>0.16320000000000001</v>
      </c>
      <c r="K200" s="2">
        <v>7228404253.3000002</v>
      </c>
      <c r="L200" s="3">
        <f>(K200/$K$201)</f>
        <v>6.5472239093885332E-2</v>
      </c>
      <c r="M200" s="21">
        <v>1000000</v>
      </c>
      <c r="N200" s="21">
        <v>1000000</v>
      </c>
      <c r="O200" s="62">
        <v>0</v>
      </c>
      <c r="P200" s="20">
        <v>0.21990000000000001</v>
      </c>
      <c r="Q200" s="20">
        <v>0.21990000000000001</v>
      </c>
      <c r="R200" s="78">
        <f>((K200-D200)/D200)</f>
        <v>2.2443999067637166</v>
      </c>
      <c r="S200" s="78">
        <f>((N200-G200)/G200)</f>
        <v>0</v>
      </c>
      <c r="T200" s="78" t="e">
        <f>((O200-H200)/H200)</f>
        <v>#DIV/0!</v>
      </c>
      <c r="U200" s="78">
        <f>P200-I200</f>
        <v>5.67E-2</v>
      </c>
      <c r="V200" s="80">
        <f>Q200-J200</f>
        <v>5.67E-2</v>
      </c>
    </row>
    <row r="201" spans="1:22">
      <c r="A201" s="38"/>
      <c r="B201" s="38"/>
      <c r="C201" s="65" t="s">
        <v>202</v>
      </c>
      <c r="D201" s="71">
        <f>SUM(D199:D200)</f>
        <v>105403668635.87</v>
      </c>
      <c r="E201" s="24"/>
      <c r="F201" s="22"/>
      <c r="G201" s="22"/>
      <c r="H201" s="71">
        <f>SUM(H199:H200)</f>
        <v>0</v>
      </c>
      <c r="I201" s="23"/>
      <c r="J201" s="23"/>
      <c r="K201" s="71">
        <f>SUM(K199:K200)</f>
        <v>110404109487.3</v>
      </c>
      <c r="L201" s="24"/>
      <c r="M201" s="22"/>
      <c r="N201" s="22"/>
      <c r="O201" s="23"/>
      <c r="P201" s="23"/>
      <c r="Q201" s="71"/>
      <c r="R201" s="25">
        <f>((K201-D201)/D201)</f>
        <v>4.7440861557719108E-2</v>
      </c>
      <c r="S201" s="26"/>
      <c r="T201" s="26"/>
      <c r="U201" s="25"/>
      <c r="V201" s="84"/>
    </row>
    <row r="202" spans="1:22" ht="8.25" customHeight="1">
      <c r="A202" s="166"/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  <c r="O202" s="166"/>
      <c r="P202" s="166"/>
      <c r="Q202" s="166"/>
      <c r="R202" s="166"/>
      <c r="S202" s="166"/>
      <c r="T202" s="166"/>
      <c r="U202" s="166"/>
      <c r="V202" s="166"/>
    </row>
    <row r="203" spans="1:22" ht="15.75">
      <c r="A203" s="161" t="s">
        <v>203</v>
      </c>
      <c r="B203" s="161"/>
      <c r="C203" s="161"/>
      <c r="D203" s="161"/>
      <c r="E203" s="161"/>
      <c r="F203" s="161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1"/>
      <c r="U203" s="161"/>
      <c r="V203" s="161"/>
    </row>
    <row r="204" spans="1:22">
      <c r="A204" s="72">
        <v>1</v>
      </c>
      <c r="B204" s="132" t="s">
        <v>204</v>
      </c>
      <c r="C204" s="133" t="s">
        <v>74</v>
      </c>
      <c r="D204" s="27">
        <v>984215215.80497897</v>
      </c>
      <c r="E204" s="10">
        <f t="shared" ref="E204:E215" si="62">(D204/$D$216)</f>
        <v>8.025259811912068E-2</v>
      </c>
      <c r="F204" s="21">
        <v>231.93477455048404</v>
      </c>
      <c r="G204" s="21">
        <v>234.83443673382817</v>
      </c>
      <c r="H204" s="61">
        <v>61</v>
      </c>
      <c r="I204" s="28">
        <v>4.376460421845918E-3</v>
      </c>
      <c r="J204" s="28">
        <v>0.32488732177815627</v>
      </c>
      <c r="K204" s="27">
        <v>978318283.90523803</v>
      </c>
      <c r="L204" s="10">
        <f t="shared" ref="L204:L215" si="63">(K204/$K$216)</f>
        <v>8.0270714974574164E-2</v>
      </c>
      <c r="M204" s="21">
        <v>230.54513583250574</v>
      </c>
      <c r="N204" s="21">
        <v>234.48507455873687</v>
      </c>
      <c r="O204" s="61">
        <v>61</v>
      </c>
      <c r="P204" s="28">
        <v>-5.9915065374374077E-3</v>
      </c>
      <c r="Q204" s="28">
        <v>0.31694925072835445</v>
      </c>
      <c r="R204" s="78">
        <f>((K204-D204)/D204)</f>
        <v>-5.9915065374374424E-3</v>
      </c>
      <c r="S204" s="78">
        <f>((N204-G204)/G204)</f>
        <v>-1.4876956716841467E-3</v>
      </c>
      <c r="T204" s="78">
        <f>((O204-H204)/H204)</f>
        <v>0</v>
      </c>
      <c r="U204" s="78">
        <f>P204-I204</f>
        <v>-1.0367966959283326E-2</v>
      </c>
      <c r="V204" s="80">
        <f>Q204-J204</f>
        <v>-7.9380710498018203E-3</v>
      </c>
    </row>
    <row r="205" spans="1:22">
      <c r="A205" s="72">
        <v>2</v>
      </c>
      <c r="B205" s="132" t="s">
        <v>205</v>
      </c>
      <c r="C205" s="133" t="s">
        <v>184</v>
      </c>
      <c r="D205" s="27">
        <v>1017036387.28</v>
      </c>
      <c r="E205" s="10">
        <f t="shared" si="62"/>
        <v>8.2928826084189583E-2</v>
      </c>
      <c r="F205" s="21">
        <v>28.93</v>
      </c>
      <c r="G205" s="21">
        <v>31.97</v>
      </c>
      <c r="H205" s="61">
        <v>210</v>
      </c>
      <c r="I205" s="28">
        <v>0</v>
      </c>
      <c r="J205" s="28">
        <v>0.36959999999999998</v>
      </c>
      <c r="K205" s="27">
        <v>1023296807.74</v>
      </c>
      <c r="L205" s="10">
        <f t="shared" si="63"/>
        <v>8.3961189052504187E-2</v>
      </c>
      <c r="M205" s="21">
        <v>29.11</v>
      </c>
      <c r="N205" s="21">
        <v>32.17</v>
      </c>
      <c r="O205" s="61">
        <v>210</v>
      </c>
      <c r="P205" s="28">
        <v>6.1999999999999998E-3</v>
      </c>
      <c r="Q205" s="28">
        <v>0.3579</v>
      </c>
      <c r="R205" s="78">
        <f t="shared" ref="R205:R216" si="64">((K205-D205)/D205)</f>
        <v>6.1555520906613186E-3</v>
      </c>
      <c r="S205" s="78">
        <f t="shared" ref="S205:S216" si="65">((N205-G205)/G205)</f>
        <v>6.2558648733188251E-3</v>
      </c>
      <c r="T205" s="78">
        <f t="shared" ref="T205:T216" si="66">((O205-H205)/H205)</f>
        <v>0</v>
      </c>
      <c r="U205" s="78">
        <f t="shared" ref="U205:U216" si="67">P205-I205</f>
        <v>6.1999999999999998E-3</v>
      </c>
      <c r="V205" s="80">
        <f t="shared" ref="V205:V216" si="68">Q205-J205</f>
        <v>-1.1699999999999988E-2</v>
      </c>
    </row>
    <row r="206" spans="1:22">
      <c r="A206" s="72">
        <v>3</v>
      </c>
      <c r="B206" s="132" t="s">
        <v>206</v>
      </c>
      <c r="C206" s="133" t="s">
        <v>36</v>
      </c>
      <c r="D206" s="27">
        <v>274720711.62</v>
      </c>
      <c r="E206" s="10">
        <f t="shared" si="62"/>
        <v>2.2400640135000011E-2</v>
      </c>
      <c r="F206" s="21">
        <v>20.640792999999999</v>
      </c>
      <c r="G206" s="21">
        <v>21.133497999999999</v>
      </c>
      <c r="H206" s="61">
        <v>107</v>
      </c>
      <c r="I206" s="28">
        <v>-5.4502232259497463E-2</v>
      </c>
      <c r="J206" s="28">
        <v>-0.11801369216460056</v>
      </c>
      <c r="K206" s="27">
        <v>261969195.98000002</v>
      </c>
      <c r="L206" s="10">
        <f t="shared" si="63"/>
        <v>2.1494492138783128E-2</v>
      </c>
      <c r="M206" s="21">
        <v>21.204656</v>
      </c>
      <c r="N206" s="21">
        <v>21.703733</v>
      </c>
      <c r="O206" s="61">
        <v>107</v>
      </c>
      <c r="P206" s="28">
        <v>-5.4502232259497463E-2</v>
      </c>
      <c r="Q206" s="28">
        <v>-9.4069326292693489E-2</v>
      </c>
      <c r="R206" s="78">
        <v>107</v>
      </c>
      <c r="S206" s="78">
        <f t="shared" si="65"/>
        <v>2.698251846428832E-2</v>
      </c>
      <c r="T206" s="78">
        <f t="shared" si="66"/>
        <v>0</v>
      </c>
      <c r="U206" s="78">
        <f t="shared" si="67"/>
        <v>0</v>
      </c>
      <c r="V206" s="80">
        <f t="shared" si="68"/>
        <v>2.394436587190707E-2</v>
      </c>
    </row>
    <row r="207" spans="1:22">
      <c r="A207" s="72">
        <v>4</v>
      </c>
      <c r="B207" s="132" t="s">
        <v>207</v>
      </c>
      <c r="C207" s="133" t="s">
        <v>36</v>
      </c>
      <c r="D207" s="27">
        <v>602435429.13</v>
      </c>
      <c r="E207" s="10">
        <f t="shared" si="62"/>
        <v>4.912239478755407E-2</v>
      </c>
      <c r="F207" s="21">
        <v>45.217726999999996</v>
      </c>
      <c r="G207" s="21">
        <v>45.766266000000002</v>
      </c>
      <c r="H207" s="61">
        <v>98</v>
      </c>
      <c r="I207" s="28">
        <v>-5.3036812573749037E-3</v>
      </c>
      <c r="J207" s="28">
        <v>0.20099745470466202</v>
      </c>
      <c r="K207" s="27">
        <v>496553948.99000001</v>
      </c>
      <c r="L207" s="10">
        <f t="shared" si="63"/>
        <v>4.0742099135434667E-2</v>
      </c>
      <c r="M207" s="21">
        <v>39.471085000000002</v>
      </c>
      <c r="N207" s="21">
        <v>40.030503000000003</v>
      </c>
      <c r="O207" s="61">
        <v>98</v>
      </c>
      <c r="P207" s="28">
        <v>-5.3036812573749037E-3</v>
      </c>
      <c r="Q207" s="28">
        <v>4.9428604798414488E-2</v>
      </c>
      <c r="R207" s="78">
        <v>98</v>
      </c>
      <c r="S207" s="78">
        <f t="shared" si="65"/>
        <v>-0.12532730985743951</v>
      </c>
      <c r="T207" s="78">
        <f t="shared" si="66"/>
        <v>0</v>
      </c>
      <c r="U207" s="78">
        <f t="shared" si="67"/>
        <v>0</v>
      </c>
      <c r="V207" s="80">
        <f t="shared" si="68"/>
        <v>-0.15156884990624753</v>
      </c>
    </row>
    <row r="208" spans="1:22">
      <c r="A208" s="72">
        <v>5</v>
      </c>
      <c r="B208" s="132" t="s">
        <v>208</v>
      </c>
      <c r="C208" s="133" t="s">
        <v>209</v>
      </c>
      <c r="D208" s="27">
        <v>1105683462.28</v>
      </c>
      <c r="E208" s="10">
        <f t="shared" si="62"/>
        <v>9.0157080606338952E-2</v>
      </c>
      <c r="F208" s="21">
        <v>27400</v>
      </c>
      <c r="G208" s="21">
        <v>35150</v>
      </c>
      <c r="H208" s="61">
        <v>228</v>
      </c>
      <c r="I208" s="28">
        <v>0.01</v>
      </c>
      <c r="J208" s="28">
        <v>0.89</v>
      </c>
      <c r="K208" s="27">
        <v>1134474277.46</v>
      </c>
      <c r="L208" s="10">
        <f t="shared" si="63"/>
        <v>9.3083266325622901E-2</v>
      </c>
      <c r="M208" s="21">
        <v>28100</v>
      </c>
      <c r="N208" s="21">
        <v>35800</v>
      </c>
      <c r="O208" s="61">
        <v>228</v>
      </c>
      <c r="P208" s="28">
        <v>0.03</v>
      </c>
      <c r="Q208" s="28">
        <v>0.94</v>
      </c>
      <c r="R208" s="78">
        <f t="shared" si="64"/>
        <v>2.6038930817171946E-2</v>
      </c>
      <c r="S208" s="78">
        <f t="shared" si="65"/>
        <v>1.849217638691323E-2</v>
      </c>
      <c r="T208" s="78">
        <f t="shared" si="66"/>
        <v>0</v>
      </c>
      <c r="U208" s="78">
        <f t="shared" si="67"/>
        <v>1.9999999999999997E-2</v>
      </c>
      <c r="V208" s="80">
        <f t="shared" si="68"/>
        <v>4.9999999999999933E-2</v>
      </c>
    </row>
    <row r="209" spans="1:22">
      <c r="A209" s="72">
        <v>6</v>
      </c>
      <c r="B209" s="132" t="s">
        <v>210</v>
      </c>
      <c r="C209" s="133" t="s">
        <v>211</v>
      </c>
      <c r="D209" s="27">
        <v>1071416568.71</v>
      </c>
      <c r="E209" s="10">
        <f t="shared" si="62"/>
        <v>8.7362968917855569E-2</v>
      </c>
      <c r="F209" s="21">
        <v>1079.9000000000001</v>
      </c>
      <c r="G209" s="21">
        <v>1079.9000000000001</v>
      </c>
      <c r="H209" s="61">
        <v>120</v>
      </c>
      <c r="I209" s="28">
        <v>2.46E-2</v>
      </c>
      <c r="J209" s="28">
        <v>0.13830000000000001</v>
      </c>
      <c r="K209" s="27">
        <v>1076842891.21</v>
      </c>
      <c r="L209" s="10">
        <f t="shared" si="63"/>
        <v>8.8354628769349408E-2</v>
      </c>
      <c r="M209" s="21">
        <v>1079.9000000000001</v>
      </c>
      <c r="N209" s="21">
        <v>1079.9000000000001</v>
      </c>
      <c r="O209" s="61">
        <v>45</v>
      </c>
      <c r="P209" s="28">
        <v>5.1000000000000004E-3</v>
      </c>
      <c r="Q209" s="28">
        <v>0.1439</v>
      </c>
      <c r="R209" s="78">
        <f t="shared" si="64"/>
        <v>5.0646244033106238E-3</v>
      </c>
      <c r="S209" s="78">
        <f t="shared" si="65"/>
        <v>0</v>
      </c>
      <c r="T209" s="78">
        <f t="shared" si="66"/>
        <v>-0.625</v>
      </c>
      <c r="U209" s="78">
        <f t="shared" si="67"/>
        <v>-1.95E-2</v>
      </c>
      <c r="V209" s="80">
        <f t="shared" si="68"/>
        <v>5.5999999999999939E-3</v>
      </c>
    </row>
    <row r="210" spans="1:22">
      <c r="A210" s="72">
        <v>7</v>
      </c>
      <c r="B210" s="132" t="s">
        <v>212</v>
      </c>
      <c r="C210" s="133" t="s">
        <v>211</v>
      </c>
      <c r="D210" s="27">
        <v>896212990.58000004</v>
      </c>
      <c r="E210" s="10">
        <f t="shared" si="62"/>
        <v>7.3076924444138616E-2</v>
      </c>
      <c r="F210" s="21">
        <v>686.99</v>
      </c>
      <c r="G210" s="21">
        <v>686.99</v>
      </c>
      <c r="H210" s="61">
        <v>563</v>
      </c>
      <c r="I210" s="28">
        <v>8.0999999999999996E-3</v>
      </c>
      <c r="J210" s="28">
        <v>0.34160000000000001</v>
      </c>
      <c r="K210" s="27">
        <v>890856095.32000005</v>
      </c>
      <c r="L210" s="10">
        <f t="shared" si="63"/>
        <v>7.3094469240973903E-2</v>
      </c>
      <c r="M210" s="21">
        <v>660</v>
      </c>
      <c r="N210" s="21">
        <v>660</v>
      </c>
      <c r="O210" s="61">
        <v>647</v>
      </c>
      <c r="P210" s="28">
        <v>-5.8999999999999999E-3</v>
      </c>
      <c r="Q210" s="28">
        <v>0.3337</v>
      </c>
      <c r="R210" s="78">
        <f t="shared" si="64"/>
        <v>-5.97725687565986E-3</v>
      </c>
      <c r="S210" s="78">
        <f t="shared" si="65"/>
        <v>-3.9287325870827824E-2</v>
      </c>
      <c r="T210" s="78">
        <f t="shared" si="66"/>
        <v>0.1492007104795737</v>
      </c>
      <c r="U210" s="78">
        <f t="shared" si="67"/>
        <v>-1.3999999999999999E-2</v>
      </c>
      <c r="V210" s="80">
        <f t="shared" si="68"/>
        <v>-7.9000000000000181E-3</v>
      </c>
    </row>
    <row r="211" spans="1:22">
      <c r="A211" s="72">
        <v>8</v>
      </c>
      <c r="B211" s="132" t="s">
        <v>213</v>
      </c>
      <c r="C211" s="133" t="s">
        <v>214</v>
      </c>
      <c r="D211" s="27">
        <v>52737499.689999998</v>
      </c>
      <c r="E211" s="10">
        <f t="shared" si="62"/>
        <v>4.3001990829487956E-3</v>
      </c>
      <c r="F211" s="21">
        <v>15.77</v>
      </c>
      <c r="G211" s="21">
        <v>15.87</v>
      </c>
      <c r="H211" s="61">
        <v>61</v>
      </c>
      <c r="I211" s="28">
        <v>1.24E-2</v>
      </c>
      <c r="J211" s="28">
        <v>0.43230000000000002</v>
      </c>
      <c r="K211" s="27">
        <v>51748492.600000001</v>
      </c>
      <c r="L211" s="10">
        <f t="shared" si="63"/>
        <v>4.2459479375945245E-3</v>
      </c>
      <c r="M211" s="21">
        <v>15.66</v>
      </c>
      <c r="N211" s="21">
        <v>15.76</v>
      </c>
      <c r="O211" s="61">
        <v>60</v>
      </c>
      <c r="P211" s="28">
        <v>0</v>
      </c>
      <c r="Q211" s="28">
        <v>0.43230000000000002</v>
      </c>
      <c r="R211" s="78">
        <f t="shared" si="64"/>
        <v>-1.8753393615805608E-2</v>
      </c>
      <c r="S211" s="78">
        <f t="shared" si="65"/>
        <v>-6.9313169502205063E-3</v>
      </c>
      <c r="T211" s="78">
        <f t="shared" si="66"/>
        <v>-1.6393442622950821E-2</v>
      </c>
      <c r="U211" s="78">
        <f t="shared" si="67"/>
        <v>-1.24E-2</v>
      </c>
      <c r="V211" s="80">
        <f t="shared" si="68"/>
        <v>0</v>
      </c>
    </row>
    <row r="212" spans="1:22">
      <c r="A212" s="72">
        <v>9</v>
      </c>
      <c r="B212" s="132" t="s">
        <v>215</v>
      </c>
      <c r="C212" s="133" t="s">
        <v>214</v>
      </c>
      <c r="D212" s="29">
        <v>518615749.13</v>
      </c>
      <c r="E212" s="10">
        <f t="shared" si="62"/>
        <v>4.228776453037849E-2</v>
      </c>
      <c r="F212" s="21">
        <v>8.25</v>
      </c>
      <c r="G212" s="21">
        <v>8.35</v>
      </c>
      <c r="H212" s="61">
        <v>101</v>
      </c>
      <c r="I212" s="28">
        <v>1.23E-2</v>
      </c>
      <c r="J212" s="28">
        <v>-6.5699999999999995E-2</v>
      </c>
      <c r="K212" s="29">
        <v>537792572.05999994</v>
      </c>
      <c r="L212" s="10">
        <f t="shared" si="63"/>
        <v>4.4125715503292001E-2</v>
      </c>
      <c r="M212" s="21">
        <v>8.57</v>
      </c>
      <c r="N212" s="21">
        <v>8.67</v>
      </c>
      <c r="O212" s="61">
        <v>101</v>
      </c>
      <c r="P212" s="28">
        <v>3.6400000000000002E-2</v>
      </c>
      <c r="Q212" s="28">
        <v>-3.1699999999999999E-2</v>
      </c>
      <c r="R212" s="78">
        <f t="shared" si="64"/>
        <v>3.6976939019244759E-2</v>
      </c>
      <c r="S212" s="78">
        <f t="shared" si="65"/>
        <v>3.8323353293413208E-2</v>
      </c>
      <c r="T212" s="78">
        <f t="shared" si="66"/>
        <v>0</v>
      </c>
      <c r="U212" s="78">
        <f t="shared" si="67"/>
        <v>2.4100000000000003E-2</v>
      </c>
      <c r="V212" s="80">
        <f t="shared" si="68"/>
        <v>3.3999999999999996E-2</v>
      </c>
    </row>
    <row r="213" spans="1:22" ht="15" customHeight="1">
      <c r="A213" s="72">
        <v>10</v>
      </c>
      <c r="B213" s="132" t="s">
        <v>216</v>
      </c>
      <c r="C213" s="133" t="s">
        <v>214</v>
      </c>
      <c r="D213" s="27">
        <v>430949091.25</v>
      </c>
      <c r="E213" s="10">
        <f t="shared" si="62"/>
        <v>3.5139452910814835E-2</v>
      </c>
      <c r="F213" s="21">
        <v>121.42</v>
      </c>
      <c r="G213" s="21">
        <v>123.42</v>
      </c>
      <c r="H213" s="61">
        <v>256</v>
      </c>
      <c r="I213" s="28">
        <v>-0.52980000000000005</v>
      </c>
      <c r="J213" s="28">
        <v>-9.4600000000000004E-2</v>
      </c>
      <c r="K213" s="27">
        <v>432212840.54000002</v>
      </c>
      <c r="L213" s="10">
        <f t="shared" si="63"/>
        <v>3.5462930931686391E-2</v>
      </c>
      <c r="M213" s="21">
        <v>121.78</v>
      </c>
      <c r="N213" s="21">
        <v>123.78</v>
      </c>
      <c r="O213" s="61">
        <v>257</v>
      </c>
      <c r="P213" s="28">
        <v>0.12690000000000001</v>
      </c>
      <c r="Q213" s="28">
        <v>2.0299999999999999E-2</v>
      </c>
      <c r="R213" s="78">
        <f t="shared" si="64"/>
        <v>2.9324793012892132E-3</v>
      </c>
      <c r="S213" s="78">
        <f t="shared" si="65"/>
        <v>2.9168692270296502E-3</v>
      </c>
      <c r="T213" s="78">
        <f t="shared" si="66"/>
        <v>3.90625E-3</v>
      </c>
      <c r="U213" s="78">
        <f t="shared" si="67"/>
        <v>0.65670000000000006</v>
      </c>
      <c r="V213" s="80">
        <f t="shared" si="68"/>
        <v>0.1149</v>
      </c>
    </row>
    <row r="214" spans="1:22">
      <c r="A214" s="72">
        <v>11</v>
      </c>
      <c r="B214" s="132" t="s">
        <v>217</v>
      </c>
      <c r="C214" s="133" t="s">
        <v>214</v>
      </c>
      <c r="D214" s="27">
        <v>5229283272.6000004</v>
      </c>
      <c r="E214" s="10">
        <f t="shared" si="62"/>
        <v>0.42639410790227394</v>
      </c>
      <c r="F214" s="21">
        <v>37.340000000000003</v>
      </c>
      <c r="G214" s="21">
        <v>37.340000000000003</v>
      </c>
      <c r="H214" s="61">
        <v>276</v>
      </c>
      <c r="I214" s="28">
        <v>0</v>
      </c>
      <c r="J214" s="28">
        <v>0.34439999999999998</v>
      </c>
      <c r="K214" s="27">
        <v>5222899278.04</v>
      </c>
      <c r="L214" s="10">
        <f t="shared" si="63"/>
        <v>0.42853728299436245</v>
      </c>
      <c r="M214" s="21">
        <v>37.24</v>
      </c>
      <c r="N214" s="21">
        <v>37.44</v>
      </c>
      <c r="O214" s="61">
        <v>276</v>
      </c>
      <c r="P214" s="28">
        <v>0</v>
      </c>
      <c r="Q214" s="28">
        <v>0.34439999999999998</v>
      </c>
      <c r="R214" s="78">
        <f t="shared" si="64"/>
        <v>-1.2208163580372071E-3</v>
      </c>
      <c r="S214" s="78">
        <f t="shared" si="65"/>
        <v>2.6780931976431257E-3</v>
      </c>
      <c r="T214" s="78">
        <f t="shared" si="66"/>
        <v>0</v>
      </c>
      <c r="U214" s="78">
        <f t="shared" si="67"/>
        <v>0</v>
      </c>
      <c r="V214" s="80">
        <f t="shared" si="68"/>
        <v>0</v>
      </c>
    </row>
    <row r="215" spans="1:22">
      <c r="A215" s="72">
        <v>12</v>
      </c>
      <c r="B215" s="132" t="s">
        <v>218</v>
      </c>
      <c r="C215" s="133" t="s">
        <v>214</v>
      </c>
      <c r="D215" s="29">
        <v>80660631.990999997</v>
      </c>
      <c r="E215" s="10">
        <f t="shared" si="62"/>
        <v>6.5770424793866163E-3</v>
      </c>
      <c r="F215" s="21">
        <v>46.86</v>
      </c>
      <c r="G215" s="21">
        <v>47.06</v>
      </c>
      <c r="H215" s="61">
        <v>58</v>
      </c>
      <c r="I215" s="28">
        <v>1.9099999999999999E-2</v>
      </c>
      <c r="J215" s="28">
        <v>0.81130000000000002</v>
      </c>
      <c r="K215" s="29">
        <v>80771331.900000006</v>
      </c>
      <c r="L215" s="10">
        <f t="shared" si="63"/>
        <v>6.6272629958223726E-3</v>
      </c>
      <c r="M215" s="21">
        <v>46.97</v>
      </c>
      <c r="N215" s="21">
        <v>47.17</v>
      </c>
      <c r="O215" s="61">
        <v>55</v>
      </c>
      <c r="P215" s="28">
        <v>0</v>
      </c>
      <c r="Q215" s="28">
        <v>0.81130000000000002</v>
      </c>
      <c r="R215" s="78">
        <f t="shared" si="64"/>
        <v>1.3724155919378495E-3</v>
      </c>
      <c r="S215" s="78">
        <f t="shared" si="65"/>
        <v>2.3374415639608888E-3</v>
      </c>
      <c r="T215" s="78">
        <f t="shared" si="66"/>
        <v>-5.1724137931034482E-2</v>
      </c>
      <c r="U215" s="78">
        <f t="shared" si="67"/>
        <v>-1.9099999999999999E-2</v>
      </c>
      <c r="V215" s="80">
        <f t="shared" si="68"/>
        <v>0</v>
      </c>
    </row>
    <row r="216" spans="1:22">
      <c r="A216" s="140"/>
      <c r="B216" s="140"/>
      <c r="C216" s="141" t="s">
        <v>219</v>
      </c>
      <c r="D216" s="71">
        <f>SUM(D204:D215)</f>
        <v>12263967010.065977</v>
      </c>
      <c r="E216" s="24"/>
      <c r="F216" s="24"/>
      <c r="G216" s="22"/>
      <c r="H216" s="71">
        <f>SUM(H204:H215)</f>
        <v>2139</v>
      </c>
      <c r="I216" s="23"/>
      <c r="J216" s="23"/>
      <c r="K216" s="71">
        <f>SUM(K204:K215)</f>
        <v>12187736015.745237</v>
      </c>
      <c r="L216" s="24"/>
      <c r="M216" s="24"/>
      <c r="N216" s="22"/>
      <c r="O216" s="71">
        <f>SUM(O204:O215)</f>
        <v>2145</v>
      </c>
      <c r="P216" s="23"/>
      <c r="Q216" s="23"/>
      <c r="R216" s="78">
        <f t="shared" si="64"/>
        <v>-6.2158512215640446E-3</v>
      </c>
      <c r="S216" s="78" t="e">
        <f t="shared" si="65"/>
        <v>#DIV/0!</v>
      </c>
      <c r="T216" s="78">
        <f t="shared" si="66"/>
        <v>2.8050490883590462E-3</v>
      </c>
      <c r="U216" s="78">
        <f t="shared" si="67"/>
        <v>0</v>
      </c>
      <c r="V216" s="80">
        <f t="shared" si="68"/>
        <v>0</v>
      </c>
    </row>
    <row r="217" spans="1:22">
      <c r="A217" s="85"/>
      <c r="B217" s="85"/>
      <c r="C217" s="86" t="s">
        <v>220</v>
      </c>
      <c r="D217" s="87">
        <f>SUM(D196,D201,D216)</f>
        <v>3088650384587.3032</v>
      </c>
      <c r="E217" s="88"/>
      <c r="F217" s="88"/>
      <c r="G217" s="89"/>
      <c r="H217" s="87">
        <f>SUM(H196,H201,H216)</f>
        <v>745987</v>
      </c>
      <c r="I217" s="90"/>
      <c r="J217" s="90"/>
      <c r="K217" s="87">
        <f>SUM(K196,K201,K216)</f>
        <v>3169610587385.4351</v>
      </c>
      <c r="L217" s="88"/>
      <c r="M217" s="88"/>
      <c r="N217" s="89"/>
      <c r="O217" s="87">
        <f>SUM(O196,O201,O216)</f>
        <v>746356</v>
      </c>
      <c r="P217" s="91"/>
      <c r="Q217" s="87"/>
      <c r="R217" s="92"/>
      <c r="S217" s="93"/>
      <c r="T217" s="93"/>
      <c r="U217" s="94"/>
      <c r="V217" s="94"/>
    </row>
    <row r="218" spans="1:22">
      <c r="A218" s="106" t="s">
        <v>249</v>
      </c>
      <c r="B218" s="107" t="s">
        <v>281</v>
      </c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</row>
    <row r="220" spans="1:22">
      <c r="B220" s="110"/>
      <c r="C220" s="110"/>
      <c r="D220" s="109"/>
      <c r="K220" s="109"/>
    </row>
    <row r="221" spans="1:22">
      <c r="B221" s="134"/>
      <c r="C221" s="135"/>
      <c r="D221" s="136"/>
      <c r="F221" s="137"/>
      <c r="G221" s="137"/>
      <c r="I221" s="138"/>
      <c r="J221" s="139"/>
    </row>
    <row r="224" spans="1:22">
      <c r="B224" s="110"/>
    </row>
  </sheetData>
  <sheetProtection algorithmName="SHA-512" hashValue="g0QnNkKjEr3rrvwmF23zHfdaHH0ZfJci5VWG7ufneHuG6iej45Jnlbn4r0C4/qonnqCi79M6Lx11aax+wOCAog==" saltValue="jOLIUutUdMQ56yc7NPIZRQ==" spinCount="100000" sheet="1" objects="1" scenarios="1"/>
  <mergeCells count="31">
    <mergeCell ref="A202:V202"/>
    <mergeCell ref="A203:V203"/>
    <mergeCell ref="A179:V179"/>
    <mergeCell ref="A182:V182"/>
    <mergeCell ref="A183:V183"/>
    <mergeCell ref="A197:U197"/>
    <mergeCell ref="A198:V198"/>
    <mergeCell ref="A178:V178"/>
    <mergeCell ref="A100:V100"/>
    <mergeCell ref="A101:V101"/>
    <mergeCell ref="A117:V117"/>
    <mergeCell ref="A118:V118"/>
    <mergeCell ref="A132:V132"/>
    <mergeCell ref="A133:V133"/>
    <mergeCell ref="A140:V140"/>
    <mergeCell ref="A141:V141"/>
    <mergeCell ref="A171:V171"/>
    <mergeCell ref="A172:V172"/>
    <mergeCell ref="A177:V177"/>
    <mergeCell ref="A99:V99"/>
    <mergeCell ref="A1:V1"/>
    <mergeCell ref="U2:V2"/>
    <mergeCell ref="A4:V4"/>
    <mergeCell ref="A5:V5"/>
    <mergeCell ref="A24:V24"/>
    <mergeCell ref="A25:V25"/>
    <mergeCell ref="A61:V61"/>
    <mergeCell ref="A62:V62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ignoredErrors>
    <ignoredError sqref="L85 E85 E67" formula="1"/>
    <ignoredError sqref="S139 S23 T35 S60 S98 S131 T149 S170 S176 S195 S216 T199:T20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29"/>
  <sheetViews>
    <sheetView topLeftCell="A9" workbookViewId="0">
      <selection activeCell="F11" sqref="F11"/>
    </sheetView>
  </sheetViews>
  <sheetFormatPr defaultRowHeight="15"/>
  <cols>
    <col min="1" max="1" width="34" customWidth="1"/>
    <col min="2" max="2" width="20.7109375" customWidth="1"/>
    <col min="3" max="3" width="17.42578125" customWidth="1"/>
  </cols>
  <sheetData>
    <row r="1" spans="1:5">
      <c r="A1" s="96"/>
      <c r="B1" s="96"/>
      <c r="C1" s="96"/>
      <c r="D1" s="98"/>
    </row>
    <row r="2" spans="1:5" ht="33">
      <c r="A2" s="124" t="s">
        <v>221</v>
      </c>
      <c r="B2" s="168" t="s">
        <v>278</v>
      </c>
      <c r="C2" s="168" t="s">
        <v>283</v>
      </c>
      <c r="D2" s="98"/>
    </row>
    <row r="3" spans="1:5" ht="16.5">
      <c r="A3" s="169" t="s">
        <v>15</v>
      </c>
      <c r="B3" s="125">
        <f t="shared" ref="B3:C10" si="0">B13</f>
        <v>28.745543118100006</v>
      </c>
      <c r="C3" s="125">
        <f t="shared" si="0"/>
        <v>28.719008525705398</v>
      </c>
      <c r="D3" s="98"/>
    </row>
    <row r="4" spans="1:5" ht="17.25" customHeight="1">
      <c r="A4" s="126" t="s">
        <v>47</v>
      </c>
      <c r="B4" s="127">
        <f t="shared" si="0"/>
        <v>1064.9640076088697</v>
      </c>
      <c r="C4" s="127">
        <f t="shared" si="0"/>
        <v>1119.0815546453996</v>
      </c>
      <c r="D4" s="98"/>
    </row>
    <row r="5" spans="1:5" ht="19.5" customHeight="1">
      <c r="A5" s="126" t="s">
        <v>222</v>
      </c>
      <c r="B5" s="125">
        <f t="shared" si="0"/>
        <v>232.70672923512197</v>
      </c>
      <c r="C5" s="125">
        <f t="shared" si="0"/>
        <v>231.54116966796704</v>
      </c>
      <c r="D5" s="98"/>
    </row>
    <row r="6" spans="1:5" ht="16.5">
      <c r="A6" s="126" t="s">
        <v>128</v>
      </c>
      <c r="B6" s="127">
        <f t="shared" si="0"/>
        <v>1440.7462475029665</v>
      </c>
      <c r="C6" s="127">
        <f t="shared" si="0"/>
        <v>1462.330955935362</v>
      </c>
      <c r="D6" s="98"/>
    </row>
    <row r="7" spans="1:5" ht="16.5">
      <c r="A7" s="126" t="s">
        <v>223</v>
      </c>
      <c r="B7" s="125">
        <f t="shared" si="0"/>
        <v>98.610688317905186</v>
      </c>
      <c r="C7" s="125">
        <f t="shared" si="0"/>
        <v>100.34495302142615</v>
      </c>
      <c r="D7" s="98"/>
    </row>
    <row r="8" spans="1:5" ht="16.5">
      <c r="A8" s="126" t="s">
        <v>153</v>
      </c>
      <c r="B8" s="128">
        <f t="shared" si="0"/>
        <v>50.39426799496848</v>
      </c>
      <c r="C8" s="128">
        <f t="shared" si="0"/>
        <v>50.184242132945634</v>
      </c>
      <c r="D8" s="98"/>
    </row>
    <row r="9" spans="1:5" ht="16.5">
      <c r="A9" s="126" t="s">
        <v>177</v>
      </c>
      <c r="B9" s="125">
        <f t="shared" si="0"/>
        <v>5.18937917516</v>
      </c>
      <c r="C9" s="125">
        <f t="shared" si="0"/>
        <v>5.2283619737299993</v>
      </c>
      <c r="D9" s="98"/>
    </row>
    <row r="10" spans="1:5" ht="16.5">
      <c r="A10" s="126" t="s">
        <v>224</v>
      </c>
      <c r="B10" s="125">
        <f t="shared" si="0"/>
        <v>49.625885988275535</v>
      </c>
      <c r="C10" s="125">
        <f t="shared" si="0"/>
        <v>49.588495979853811</v>
      </c>
      <c r="D10" s="98"/>
    </row>
    <row r="11" spans="1:5" ht="16.5">
      <c r="A11" s="129"/>
      <c r="B11" s="130"/>
      <c r="C11" s="130"/>
      <c r="D11" s="98"/>
    </row>
    <row r="12" spans="1:5">
      <c r="A12" s="96"/>
      <c r="B12" s="96"/>
      <c r="C12" s="96"/>
      <c r="D12" s="98"/>
    </row>
    <row r="13" spans="1:5">
      <c r="A13" s="170" t="s">
        <v>15</v>
      </c>
      <c r="B13" s="171">
        <f>'Weekly Valuation'!D23/1000000000</f>
        <v>28.745543118100006</v>
      </c>
      <c r="C13" s="172">
        <f>'Weekly Valuation'!K23/1000000000</f>
        <v>28.719008525705398</v>
      </c>
      <c r="D13" s="98"/>
      <c r="E13" s="98"/>
    </row>
    <row r="14" spans="1:5">
      <c r="A14" s="173" t="s">
        <v>47</v>
      </c>
      <c r="B14" s="171">
        <f>'Weekly Valuation'!D60/1000000000</f>
        <v>1064.9640076088697</v>
      </c>
      <c r="C14" s="174">
        <f>'Weekly Valuation'!K60/1000000000</f>
        <v>1119.0815546453996</v>
      </c>
      <c r="D14" s="98"/>
      <c r="E14" s="98"/>
    </row>
    <row r="15" spans="1:5">
      <c r="A15" s="173" t="s">
        <v>222</v>
      </c>
      <c r="B15" s="171">
        <f>'Weekly Valuation'!D98/1000000000</f>
        <v>232.70672923512197</v>
      </c>
      <c r="C15" s="172">
        <f>'Weekly Valuation'!K98/1000000000</f>
        <v>231.54116966796704</v>
      </c>
      <c r="D15" s="98"/>
      <c r="E15" s="98"/>
    </row>
    <row r="16" spans="1:5">
      <c r="A16" s="173" t="s">
        <v>128</v>
      </c>
      <c r="B16" s="171">
        <f>'Weekly Valuation'!D131/1000000000</f>
        <v>1440.7462475029665</v>
      </c>
      <c r="C16" s="174">
        <f>'Weekly Valuation'!K131/1000000000</f>
        <v>1462.330955935362</v>
      </c>
      <c r="D16" s="98"/>
      <c r="E16" s="98"/>
    </row>
    <row r="17" spans="1:5">
      <c r="A17" s="173" t="s">
        <v>223</v>
      </c>
      <c r="B17" s="171">
        <f>'Weekly Valuation'!D139/1000000000</f>
        <v>98.610688317905186</v>
      </c>
      <c r="C17" s="172">
        <f>'Weekly Valuation'!K139/1000000000</f>
        <v>100.34495302142615</v>
      </c>
      <c r="D17" s="98"/>
      <c r="E17" s="98"/>
    </row>
    <row r="18" spans="1:5">
      <c r="A18" s="173" t="s">
        <v>153</v>
      </c>
      <c r="B18" s="171">
        <f>'Weekly Valuation'!D170/1000000000</f>
        <v>50.39426799496848</v>
      </c>
      <c r="C18" s="175">
        <f>'Weekly Valuation'!K170/1000000000</f>
        <v>50.184242132945634</v>
      </c>
      <c r="D18" s="98"/>
      <c r="E18" s="98"/>
    </row>
    <row r="19" spans="1:5">
      <c r="A19" s="173" t="s">
        <v>177</v>
      </c>
      <c r="B19" s="171">
        <f>'Weekly Valuation'!D176/1000000000</f>
        <v>5.18937917516</v>
      </c>
      <c r="C19" s="172">
        <f>'Weekly Valuation'!K176/1000000000</f>
        <v>5.2283619737299993</v>
      </c>
      <c r="D19" s="98"/>
      <c r="E19" s="98"/>
    </row>
    <row r="20" spans="1:5">
      <c r="A20" s="173" t="s">
        <v>224</v>
      </c>
      <c r="B20" s="171">
        <f>'Weekly Valuation'!D195/1000000000</f>
        <v>49.625885988275535</v>
      </c>
      <c r="C20" s="172">
        <f>'Weekly Valuation'!K195/1000000000</f>
        <v>49.588495979853811</v>
      </c>
      <c r="D20" s="98"/>
      <c r="E20" s="98"/>
    </row>
    <row r="21" spans="1:5" ht="16.5">
      <c r="A21" s="129"/>
      <c r="B21" s="96"/>
      <c r="C21" s="176"/>
      <c r="D21" s="98"/>
      <c r="E21" s="98"/>
    </row>
    <row r="22" spans="1:5" ht="16.5">
      <c r="A22" s="112"/>
      <c r="B22" s="98"/>
      <c r="C22" s="103"/>
      <c r="D22" s="98"/>
      <c r="E22" s="98"/>
    </row>
    <row r="23" spans="1:5" ht="16.5">
      <c r="A23" s="129"/>
      <c r="B23" s="130"/>
      <c r="C23" s="142"/>
      <c r="D23" s="98"/>
      <c r="E23" s="98"/>
    </row>
    <row r="24" spans="1:5" ht="16.5">
      <c r="A24" s="129"/>
      <c r="B24" s="130"/>
      <c r="C24" s="130"/>
      <c r="D24" s="98"/>
      <c r="E24" s="98"/>
    </row>
    <row r="25" spans="1:5" ht="16.5">
      <c r="A25" s="112"/>
      <c r="B25" s="103"/>
      <c r="C25" s="103"/>
      <c r="D25" s="98"/>
      <c r="E25" s="98"/>
    </row>
    <row r="26" spans="1:5" ht="16.5">
      <c r="A26" s="112"/>
      <c r="B26" s="103"/>
      <c r="C26" s="103"/>
      <c r="D26" s="98"/>
      <c r="E26" s="98"/>
    </row>
    <row r="27" spans="1:5" ht="16.5">
      <c r="A27" s="112"/>
      <c r="B27" s="103"/>
      <c r="C27" s="103"/>
      <c r="D27" s="98"/>
      <c r="E27" s="98"/>
    </row>
    <row r="28" spans="1:5">
      <c r="B28" s="98"/>
      <c r="C28" s="98"/>
    </row>
    <row r="29" spans="1:5">
      <c r="B29" s="98"/>
      <c r="C29" s="98"/>
    </row>
  </sheetData>
  <sheetProtection algorithmName="SHA-512" hashValue="SCXstElrAlNIh1oPLZ/VLTnCxfsaquFqlD/ITQtflWfXINDRVEQqnJFHQ+ImLJse7lFwk7ac7k6dvS3updwaAA==" saltValue="NDVpLSJbov/gobCWrVoNdA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33"/>
  <sheetViews>
    <sheetView zoomScale="85" zoomScaleNormal="85" workbookViewId="0">
      <selection activeCell="E7" sqref="E7"/>
    </sheetView>
  </sheetViews>
  <sheetFormatPr defaultRowHeight="15"/>
  <cols>
    <col min="1" max="1" width="26.7109375" customWidth="1"/>
    <col min="2" max="2" width="17.42578125" customWidth="1"/>
  </cols>
  <sheetData>
    <row r="1" spans="1:4" ht="16.5">
      <c r="A1" s="124" t="s">
        <v>221</v>
      </c>
      <c r="B1" s="131">
        <v>45478</v>
      </c>
      <c r="C1" s="96"/>
      <c r="D1" s="98"/>
    </row>
    <row r="2" spans="1:4" ht="16.5">
      <c r="A2" s="126" t="s">
        <v>177</v>
      </c>
      <c r="B2" s="125">
        <f>'Weekly Valuation'!K176</f>
        <v>5228361973.7299995</v>
      </c>
      <c r="C2" s="96"/>
      <c r="D2" s="98"/>
    </row>
    <row r="3" spans="1:4" ht="16.5">
      <c r="A3" s="126" t="s">
        <v>15</v>
      </c>
      <c r="B3" s="125">
        <f>'Weekly Valuation'!K23</f>
        <v>28719008525.705399</v>
      </c>
      <c r="C3" s="96"/>
      <c r="D3" s="98"/>
    </row>
    <row r="4" spans="1:4" ht="16.5">
      <c r="A4" s="126" t="s">
        <v>153</v>
      </c>
      <c r="B4" s="128">
        <f>'Weekly Valuation'!K170</f>
        <v>50184242132.945633</v>
      </c>
      <c r="C4" s="96"/>
      <c r="D4" s="98"/>
    </row>
    <row r="5" spans="1:4" ht="16.5">
      <c r="A5" s="126" t="s">
        <v>224</v>
      </c>
      <c r="B5" s="125">
        <f>'Weekly Valuation'!K195</f>
        <v>49588495979.853813</v>
      </c>
      <c r="C5" s="96"/>
      <c r="D5" s="98"/>
    </row>
    <row r="6" spans="1:4" ht="16.5">
      <c r="A6" s="126" t="s">
        <v>223</v>
      </c>
      <c r="B6" s="125">
        <f>'Weekly Valuation'!K139</f>
        <v>100344953021.42615</v>
      </c>
      <c r="C6" s="96"/>
      <c r="D6" s="98"/>
    </row>
    <row r="7" spans="1:4" ht="16.5">
      <c r="A7" s="126" t="s">
        <v>222</v>
      </c>
      <c r="B7" s="125">
        <f>'Weekly Valuation'!K98</f>
        <v>231541169667.96704</v>
      </c>
      <c r="C7" s="96"/>
      <c r="D7" s="98"/>
    </row>
    <row r="8" spans="1:4" ht="16.5">
      <c r="A8" s="126" t="s">
        <v>47</v>
      </c>
      <c r="B8" s="127">
        <f>'Weekly Valuation'!K60</f>
        <v>1119081554645.3997</v>
      </c>
      <c r="C8" s="96"/>
      <c r="D8" s="98"/>
    </row>
    <row r="9" spans="1:4" ht="16.5">
      <c r="A9" s="126" t="s">
        <v>128</v>
      </c>
      <c r="B9" s="127">
        <f>'Weekly Valuation'!K131</f>
        <v>1462330955935.3621</v>
      </c>
      <c r="C9" s="96"/>
      <c r="D9" s="98"/>
    </row>
    <row r="10" spans="1:4">
      <c r="A10" s="96"/>
      <c r="B10" s="96"/>
      <c r="C10" s="96"/>
      <c r="D10" s="98"/>
    </row>
    <row r="11" spans="1:4" ht="16.5">
      <c r="A11" s="129"/>
      <c r="B11" s="146"/>
      <c r="C11" s="96"/>
      <c r="D11" s="98"/>
    </row>
    <row r="12" spans="1:4" ht="16.5">
      <c r="A12" s="130"/>
      <c r="B12" s="96"/>
      <c r="C12" s="96"/>
      <c r="D12" s="98"/>
    </row>
    <row r="13" spans="1:4" ht="16.5">
      <c r="A13" s="103"/>
      <c r="B13" s="103"/>
      <c r="C13" s="98"/>
      <c r="D13" s="98"/>
    </row>
    <row r="14" spans="1:4" ht="16.5">
      <c r="A14" s="103"/>
      <c r="B14" s="103"/>
      <c r="C14" s="98"/>
      <c r="D14" s="98"/>
    </row>
    <row r="15" spans="1:4" ht="16.5" customHeight="1">
      <c r="A15" s="119"/>
      <c r="B15" s="119"/>
      <c r="C15" s="98"/>
      <c r="D15" s="98"/>
    </row>
    <row r="16" spans="1:4" ht="16.5">
      <c r="A16" s="103"/>
      <c r="B16" s="103"/>
      <c r="C16" s="98"/>
      <c r="D16" s="98"/>
    </row>
    <row r="17" spans="1:17" ht="16.5">
      <c r="A17" s="103"/>
      <c r="B17" s="103"/>
      <c r="C17" s="98"/>
    </row>
    <row r="18" spans="1:17" ht="16.5">
      <c r="A18" s="115"/>
      <c r="B18" s="103"/>
      <c r="C18" s="98"/>
    </row>
    <row r="19" spans="1:17" ht="16.5">
      <c r="A19" s="115"/>
      <c r="B19" s="115"/>
      <c r="C19" s="98"/>
    </row>
    <row r="20" spans="1:17" ht="16.5">
      <c r="A20" s="115"/>
      <c r="B20" s="115"/>
      <c r="C20" s="98"/>
    </row>
    <row r="21" spans="1:17" ht="16.5">
      <c r="A21" s="112"/>
      <c r="B21" s="115"/>
      <c r="C21" s="98"/>
    </row>
    <row r="22" spans="1:17" ht="16.5">
      <c r="A22" s="98"/>
      <c r="B22" s="115"/>
      <c r="C22" s="98"/>
    </row>
    <row r="23" spans="1:17">
      <c r="A23" s="98"/>
      <c r="B23" s="98"/>
      <c r="C23" s="98"/>
    </row>
    <row r="24" spans="1:17">
      <c r="A24" s="98"/>
      <c r="B24" s="98"/>
      <c r="C24" s="98"/>
    </row>
    <row r="25" spans="1:17">
      <c r="A25" s="98"/>
      <c r="B25" s="98"/>
      <c r="C25" s="98"/>
    </row>
    <row r="26" spans="1:17">
      <c r="A26" s="98"/>
      <c r="B26" s="98"/>
    </row>
    <row r="32" spans="1:17" ht="16.5" customHeight="1">
      <c r="A32" s="167" t="s">
        <v>284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04"/>
    </row>
    <row r="33" spans="1:17" ht="15" customHeight="1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04"/>
    </row>
  </sheetData>
  <sheetProtection algorithmName="SHA-512" hashValue="KYeIhp9p1xaE3ia08OEBSJmgC9dyVrMlerrhpN7VXrrt0qGo+rknYcW0bVytpu93q6qscX7PtRwWJlK8dzMU+w==" saltValue="ZX7+fVUNkZIPWnWPJmZmGQ==" spinCount="100000" sheet="1" objects="1" scenarios="1"/>
  <sortState xmlns:xlrd2="http://schemas.microsoft.com/office/spreadsheetml/2017/richdata2"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M7"/>
  <sheetViews>
    <sheetView zoomScale="110" zoomScaleNormal="110" workbookViewId="0">
      <selection activeCell="E6" sqref="E6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6"/>
      <c r="B1" s="96"/>
      <c r="C1" s="96"/>
      <c r="D1" s="96"/>
      <c r="E1" s="96"/>
      <c r="F1" s="96"/>
      <c r="G1" s="96"/>
      <c r="H1" s="96"/>
      <c r="I1" s="96"/>
      <c r="J1" s="96"/>
      <c r="K1" s="98"/>
      <c r="L1" s="98"/>
      <c r="M1" s="98"/>
    </row>
    <row r="2" spans="1:13">
      <c r="A2" s="147" t="s">
        <v>232</v>
      </c>
      <c r="B2" s="148">
        <v>45429</v>
      </c>
      <c r="C2" s="148">
        <v>45436</v>
      </c>
      <c r="D2" s="148">
        <v>45443</v>
      </c>
      <c r="E2" s="148">
        <v>45450</v>
      </c>
      <c r="F2" s="148">
        <v>45457</v>
      </c>
      <c r="G2" s="148">
        <v>45464</v>
      </c>
      <c r="H2" s="148">
        <v>45471</v>
      </c>
      <c r="I2" s="148">
        <v>45478</v>
      </c>
      <c r="J2" s="96"/>
      <c r="K2" s="98"/>
      <c r="L2" s="98"/>
      <c r="M2" s="98"/>
    </row>
    <row r="3" spans="1:13">
      <c r="A3" s="147" t="s">
        <v>233</v>
      </c>
      <c r="B3" s="149">
        <f t="shared" ref="B3:I3" si="0">B4</f>
        <v>2882.6977794869722</v>
      </c>
      <c r="C3" s="149">
        <f t="shared" si="0"/>
        <v>2856.7177691570346</v>
      </c>
      <c r="D3" s="149">
        <f t="shared" si="0"/>
        <v>2902.1598706044138</v>
      </c>
      <c r="E3" s="149">
        <f t="shared" si="0"/>
        <v>2910.8781340479409</v>
      </c>
      <c r="F3" s="149">
        <f t="shared" si="0"/>
        <v>2928.2097391078973</v>
      </c>
      <c r="G3" s="149">
        <f t="shared" si="0"/>
        <v>2935.8430719008147</v>
      </c>
      <c r="H3" s="149">
        <f t="shared" si="0"/>
        <v>2970.9827489413674</v>
      </c>
      <c r="I3" s="149">
        <f t="shared" si="0"/>
        <v>3047.0187418823903</v>
      </c>
      <c r="J3" s="96"/>
      <c r="K3" s="98"/>
      <c r="L3" s="98"/>
      <c r="M3" s="98"/>
    </row>
    <row r="4" spans="1:13">
      <c r="A4" s="96"/>
      <c r="B4" s="150">
        <f>'NAV Trend'!C10/1000000000</f>
        <v>2882.6977794869722</v>
      </c>
      <c r="C4" s="150">
        <f>'NAV Trend'!D10/1000000000</f>
        <v>2856.7177691570346</v>
      </c>
      <c r="D4" s="150">
        <f>'NAV Trend'!E10/1000000000</f>
        <v>2902.1598706044138</v>
      </c>
      <c r="E4" s="150">
        <f>'NAV Trend'!F10/1000000000</f>
        <v>2910.8781340479409</v>
      </c>
      <c r="F4" s="150">
        <f>'NAV Trend'!G10/1000000000</f>
        <v>2928.2097391078973</v>
      </c>
      <c r="G4" s="150">
        <f>'NAV Trend'!H10/1000000000</f>
        <v>2935.8430719008147</v>
      </c>
      <c r="H4" s="151">
        <f>'NAV Trend'!I10/1000000000</f>
        <v>2970.9827489413674</v>
      </c>
      <c r="I4" s="151">
        <f>'NAV Trend'!J10/1000000000</f>
        <v>3047.0187418823903</v>
      </c>
      <c r="J4" s="96"/>
      <c r="K4" s="98"/>
      <c r="L4" s="98"/>
      <c r="M4" s="98"/>
    </row>
    <row r="5" spans="1:13">
      <c r="A5" s="96"/>
      <c r="B5" s="96"/>
      <c r="C5" s="96"/>
      <c r="D5" s="96"/>
      <c r="E5" s="96"/>
      <c r="F5" s="96"/>
      <c r="G5" s="96"/>
      <c r="H5" s="96"/>
      <c r="I5" s="96"/>
      <c r="J5" s="96"/>
      <c r="K5" s="98"/>
      <c r="L5" s="98"/>
    </row>
    <row r="6" spans="1:13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3">
      <c r="A7" s="98"/>
      <c r="B7" s="98"/>
      <c r="C7" s="98"/>
      <c r="D7" s="98"/>
      <c r="E7" s="98"/>
      <c r="F7" s="98"/>
      <c r="G7" s="98"/>
      <c r="H7" s="98"/>
      <c r="I7" s="98"/>
      <c r="J7" s="98"/>
    </row>
  </sheetData>
  <sheetProtection algorithmName="SHA-512" hashValue="z+rd0kkSHsel7z7SdjwMRgt9frZxYZvC2Usqcmf/t48oECzTHT2YZIB6AZbv1gZGkUgBOgy2VYY2HJrG2AQsrQ==" saltValue="8PbPt3fUQyHiAzUhKVRhe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2AF0-A961-4E58-933E-1EE96F1E7D82}">
  <sheetPr>
    <tabColor rgb="FFFFFF00"/>
  </sheetPr>
  <dimension ref="A1:L7"/>
  <sheetViews>
    <sheetView workbookViewId="0">
      <selection activeCell="E6" sqref="E6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6"/>
      <c r="B1" s="96"/>
      <c r="C1" s="96"/>
      <c r="D1" s="96"/>
      <c r="E1" s="96"/>
      <c r="F1" s="96"/>
      <c r="G1" s="96"/>
      <c r="H1" s="96"/>
      <c r="I1" s="96"/>
      <c r="J1" s="96"/>
      <c r="K1" s="98"/>
      <c r="L1" s="98"/>
    </row>
    <row r="2" spans="1:12">
      <c r="A2" s="147" t="s">
        <v>232</v>
      </c>
      <c r="B2" s="148">
        <v>45429</v>
      </c>
      <c r="C2" s="148">
        <v>45436</v>
      </c>
      <c r="D2" s="148">
        <v>45443</v>
      </c>
      <c r="E2" s="148">
        <v>45450</v>
      </c>
      <c r="F2" s="148">
        <v>45457</v>
      </c>
      <c r="G2" s="148">
        <v>45464</v>
      </c>
      <c r="H2" s="148">
        <v>45471</v>
      </c>
      <c r="I2" s="148">
        <v>45478</v>
      </c>
      <c r="J2" s="96"/>
      <c r="K2" s="98"/>
      <c r="L2" s="98"/>
    </row>
    <row r="3" spans="1:12">
      <c r="A3" s="147" t="s">
        <v>264</v>
      </c>
      <c r="B3" s="149">
        <f t="shared" ref="B3:I3" si="0">B4</f>
        <v>13.029745632197505</v>
      </c>
      <c r="C3" s="149">
        <f t="shared" si="0"/>
        <v>12.86344406107283</v>
      </c>
      <c r="D3" s="149">
        <f t="shared" si="0"/>
        <v>13.116887577834783</v>
      </c>
      <c r="E3" s="149">
        <f t="shared" si="0"/>
        <v>13.08808103006</v>
      </c>
      <c r="F3" s="149">
        <f t="shared" si="0"/>
        <v>13.263470098545037</v>
      </c>
      <c r="G3" s="149">
        <f t="shared" si="0"/>
        <v>13.253375082678389</v>
      </c>
      <c r="H3" s="149">
        <f t="shared" si="0"/>
        <v>12.263967010065977</v>
      </c>
      <c r="I3" s="149">
        <f t="shared" si="0"/>
        <v>12.187736015745237</v>
      </c>
      <c r="J3" s="96"/>
      <c r="K3" s="98"/>
      <c r="L3" s="98"/>
    </row>
    <row r="4" spans="1:12">
      <c r="A4" s="96"/>
      <c r="B4" s="150">
        <f>'NAV Trend'!C16/1000000000</f>
        <v>13.029745632197505</v>
      </c>
      <c r="C4" s="150">
        <f>'NAV Trend'!D16/1000000000</f>
        <v>12.86344406107283</v>
      </c>
      <c r="D4" s="150">
        <f>'NAV Trend'!E16/1000000000</f>
        <v>13.116887577834783</v>
      </c>
      <c r="E4" s="150">
        <f>'NAV Trend'!F16/1000000000</f>
        <v>13.08808103006</v>
      </c>
      <c r="F4" s="150">
        <f>'NAV Trend'!G16/1000000000</f>
        <v>13.263470098545037</v>
      </c>
      <c r="G4" s="150">
        <f>'NAV Trend'!H16/1000000000</f>
        <v>13.253375082678389</v>
      </c>
      <c r="H4" s="150">
        <f>'NAV Trend'!I16/1000000000</f>
        <v>12.263967010065977</v>
      </c>
      <c r="I4" s="151">
        <f>'NAV Trend'!J16/1000000000</f>
        <v>12.187736015745237</v>
      </c>
      <c r="J4" s="96"/>
      <c r="K4" s="98"/>
      <c r="L4" s="98"/>
    </row>
    <row r="5" spans="1:12">
      <c r="A5" s="96"/>
      <c r="B5" s="96"/>
      <c r="C5" s="96"/>
      <c r="D5" s="96"/>
      <c r="E5" s="96"/>
      <c r="F5" s="96"/>
      <c r="G5" s="96"/>
      <c r="H5" s="96"/>
      <c r="I5" s="96"/>
      <c r="J5" s="96"/>
      <c r="K5" s="98"/>
      <c r="L5" s="98"/>
    </row>
    <row r="6" spans="1:12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2">
      <c r="A7" s="98"/>
      <c r="B7" s="98"/>
      <c r="C7" s="98"/>
      <c r="D7" s="98"/>
      <c r="E7" s="98"/>
      <c r="F7" s="98"/>
      <c r="G7" s="98"/>
      <c r="H7" s="98"/>
      <c r="I7" s="98"/>
      <c r="J7" s="98"/>
    </row>
  </sheetData>
  <sheetProtection algorithmName="SHA-512" hashValue="81GAxIjAk1c3/aelfuc8XUOyzPQpwpFkCVKTCz+1d9hHSmW84/28EUYhsJyo2u2GUuypN9JbEMDKRzTFT1iEhg==" saltValue="PXTJPj+adQbisCxP3ykyLg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topLeftCell="D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3" t="s">
        <v>221</v>
      </c>
      <c r="B1" s="44">
        <v>45422</v>
      </c>
      <c r="C1" s="44">
        <v>45429</v>
      </c>
      <c r="D1" s="44">
        <v>45436</v>
      </c>
      <c r="E1" s="44">
        <v>45443</v>
      </c>
      <c r="F1" s="44">
        <v>45450</v>
      </c>
      <c r="G1" s="44">
        <v>45457</v>
      </c>
      <c r="H1" s="44">
        <v>45464</v>
      </c>
      <c r="I1" s="44">
        <v>45471</v>
      </c>
      <c r="J1" s="44">
        <v>45478</v>
      </c>
    </row>
    <row r="2" spans="1:11" ht="16.5">
      <c r="A2" s="45" t="s">
        <v>15</v>
      </c>
      <c r="B2" s="123">
        <v>27676372012.243797</v>
      </c>
      <c r="C2" s="123">
        <v>27187812730.4636</v>
      </c>
      <c r="D2" s="123">
        <v>26745861363.273003</v>
      </c>
      <c r="E2" s="123">
        <v>27654216011.584301</v>
      </c>
      <c r="F2" s="123">
        <v>27684716686.990002</v>
      </c>
      <c r="G2" s="123">
        <v>28067702772.25</v>
      </c>
      <c r="H2" s="123">
        <v>28799678439.980003</v>
      </c>
      <c r="I2" s="123">
        <v>28745543118.100006</v>
      </c>
      <c r="J2" s="123">
        <v>28719008525.705399</v>
      </c>
    </row>
    <row r="3" spans="1:11" ht="16.5">
      <c r="A3" s="45" t="s">
        <v>47</v>
      </c>
      <c r="B3" s="123">
        <v>959754142868.04614</v>
      </c>
      <c r="C3" s="123">
        <v>974788648500.33569</v>
      </c>
      <c r="D3" s="123">
        <v>984566121728.51306</v>
      </c>
      <c r="E3" s="123">
        <v>1008157528628.0232</v>
      </c>
      <c r="F3" s="123">
        <v>1019331524884.9598</v>
      </c>
      <c r="G3" s="123">
        <v>1035718749074.4199</v>
      </c>
      <c r="H3" s="123">
        <v>1043320161390.5101</v>
      </c>
      <c r="I3" s="123">
        <v>1064964007608.8696</v>
      </c>
      <c r="J3" s="123">
        <v>1119081554645.3997</v>
      </c>
    </row>
    <row r="4" spans="1:11" ht="16.5">
      <c r="A4" s="45" t="s">
        <v>222</v>
      </c>
      <c r="B4" s="122">
        <v>246839006741.43805</v>
      </c>
      <c r="C4" s="122">
        <v>244017171187.90228</v>
      </c>
      <c r="D4" s="122">
        <v>239747208262.17911</v>
      </c>
      <c r="E4" s="122">
        <v>239139059960.20239</v>
      </c>
      <c r="F4" s="122">
        <v>238984928037.17987</v>
      </c>
      <c r="G4" s="122">
        <v>238318816891.85349</v>
      </c>
      <c r="H4" s="122">
        <v>234982241429.96106</v>
      </c>
      <c r="I4" s="122">
        <v>232706729235.12198</v>
      </c>
      <c r="J4" s="122">
        <v>231541169667.96704</v>
      </c>
    </row>
    <row r="5" spans="1:11" ht="16.5">
      <c r="A5" s="45" t="s">
        <v>128</v>
      </c>
      <c r="B5" s="123">
        <v>1366888956827.947</v>
      </c>
      <c r="C5" s="123">
        <v>1433100293468.5864</v>
      </c>
      <c r="D5" s="123">
        <v>1403942641631.5686</v>
      </c>
      <c r="E5" s="123">
        <v>1423985113076.9678</v>
      </c>
      <c r="F5" s="123">
        <v>1421592979861.6797</v>
      </c>
      <c r="G5" s="123">
        <v>1422260670513.2676</v>
      </c>
      <c r="H5" s="123">
        <v>1424471070589.1018</v>
      </c>
      <c r="I5" s="123">
        <v>1440746247502.9666</v>
      </c>
      <c r="J5" s="123">
        <v>1462330955935.3621</v>
      </c>
    </row>
    <row r="6" spans="1:11" ht="16.5">
      <c r="A6" s="45" t="s">
        <v>223</v>
      </c>
      <c r="B6" s="46">
        <v>99061132410.269897</v>
      </c>
      <c r="C6" s="46">
        <v>99095338201.223831</v>
      </c>
      <c r="D6" s="46">
        <v>98590301385.434418</v>
      </c>
      <c r="E6" s="46">
        <v>98591493716.940277</v>
      </c>
      <c r="F6" s="46">
        <v>98650430272.592407</v>
      </c>
      <c r="G6" s="46">
        <v>98697054246.114548</v>
      </c>
      <c r="H6" s="46">
        <v>98696481407.247284</v>
      </c>
      <c r="I6" s="46">
        <v>98610688317.905182</v>
      </c>
      <c r="J6" s="46">
        <v>100344953021.42615</v>
      </c>
    </row>
    <row r="7" spans="1:11" ht="16.5">
      <c r="A7" s="45" t="s">
        <v>153</v>
      </c>
      <c r="B7" s="47">
        <v>49028772091.292122</v>
      </c>
      <c r="C7" s="47">
        <v>48528341927.034386</v>
      </c>
      <c r="D7" s="47">
        <v>47384871316.741325</v>
      </c>
      <c r="E7" s="47">
        <v>48530220711.204056</v>
      </c>
      <c r="F7" s="47">
        <v>48611257159.725822</v>
      </c>
      <c r="G7" s="47">
        <v>49621576838.56208</v>
      </c>
      <c r="H7" s="47">
        <v>50024750313.981438</v>
      </c>
      <c r="I7" s="47">
        <v>50394267994.968483</v>
      </c>
      <c r="J7" s="47">
        <v>50184242132.945633</v>
      </c>
    </row>
    <row r="8" spans="1:11" ht="16.5">
      <c r="A8" s="45" t="s">
        <v>177</v>
      </c>
      <c r="B8" s="46">
        <v>4887347689.7399998</v>
      </c>
      <c r="C8" s="46">
        <v>4791752838.1499996</v>
      </c>
      <c r="D8" s="46">
        <v>4763237841.7700005</v>
      </c>
      <c r="E8" s="46">
        <v>4908750285.25</v>
      </c>
      <c r="F8" s="46">
        <v>4967557316.1199999</v>
      </c>
      <c r="G8" s="46">
        <v>5139182455.1800003</v>
      </c>
      <c r="H8" s="46">
        <v>5167886512.6100006</v>
      </c>
      <c r="I8" s="46">
        <v>5189379175.1599998</v>
      </c>
      <c r="J8" s="46">
        <v>5228361973.7299995</v>
      </c>
    </row>
    <row r="9" spans="1:11" ht="16.5">
      <c r="A9" s="45" t="s">
        <v>224</v>
      </c>
      <c r="B9" s="46">
        <v>51244098077.136551</v>
      </c>
      <c r="C9" s="46">
        <v>51188420633.276352</v>
      </c>
      <c r="D9" s="46">
        <v>50977525627.555077</v>
      </c>
      <c r="E9" s="46">
        <v>51193488214.241379</v>
      </c>
      <c r="F9" s="46">
        <v>51054739828.693481</v>
      </c>
      <c r="G9" s="46">
        <v>50385986316.249466</v>
      </c>
      <c r="H9" s="46">
        <v>50380801817.423843</v>
      </c>
      <c r="I9" s="46">
        <v>49625885988.275536</v>
      </c>
      <c r="J9" s="46">
        <v>49588495979.853813</v>
      </c>
    </row>
    <row r="10" spans="1:11" ht="15.75">
      <c r="A10" s="48" t="s">
        <v>225</v>
      </c>
      <c r="B10" s="49">
        <f t="shared" ref="B10:I10" si="0">SUM(B2:B9)</f>
        <v>2805379828718.1138</v>
      </c>
      <c r="C10" s="49">
        <f t="shared" si="0"/>
        <v>2882697779486.9722</v>
      </c>
      <c r="D10" s="49">
        <f t="shared" si="0"/>
        <v>2856717769157.0347</v>
      </c>
      <c r="E10" s="49">
        <f t="shared" si="0"/>
        <v>2902159870604.4136</v>
      </c>
      <c r="F10" s="49">
        <f t="shared" si="0"/>
        <v>2910878134047.9409</v>
      </c>
      <c r="G10" s="49">
        <f t="shared" si="0"/>
        <v>2928209739107.8975</v>
      </c>
      <c r="H10" s="49">
        <f t="shared" si="0"/>
        <v>2935843071900.8149</v>
      </c>
      <c r="I10" s="49">
        <f t="shared" si="0"/>
        <v>2970982748941.3672</v>
      </c>
      <c r="J10" s="49">
        <f>SUM(J2:J9)</f>
        <v>3047018741882.3901</v>
      </c>
    </row>
    <row r="11" spans="1:11" ht="16.5">
      <c r="A11" s="50"/>
      <c r="B11" s="51"/>
      <c r="C11" s="51"/>
      <c r="D11" s="51"/>
      <c r="E11" s="51"/>
      <c r="F11" s="51"/>
      <c r="G11" s="51"/>
      <c r="H11" s="51"/>
      <c r="I11" s="50"/>
      <c r="J11" s="50"/>
    </row>
    <row r="12" spans="1:11" ht="15.75">
      <c r="A12" s="52" t="s">
        <v>226</v>
      </c>
      <c r="B12" s="53" t="s">
        <v>227</v>
      </c>
      <c r="C12" s="54">
        <f>(B10+C10)/2</f>
        <v>2844038804102.543</v>
      </c>
      <c r="D12" s="55">
        <f t="shared" ref="D12:J12" si="1">(C10+D10)/2</f>
        <v>2869707774322.0034</v>
      </c>
      <c r="E12" s="55">
        <f t="shared" si="1"/>
        <v>2879438819880.7241</v>
      </c>
      <c r="F12" s="55">
        <f t="shared" si="1"/>
        <v>2906519002326.1772</v>
      </c>
      <c r="G12" s="55">
        <f>(F10+G10)/2</f>
        <v>2919543936577.9189</v>
      </c>
      <c r="H12" s="55">
        <f t="shared" si="1"/>
        <v>2932026405504.3564</v>
      </c>
      <c r="I12" s="55">
        <f t="shared" si="1"/>
        <v>2953412910421.0908</v>
      </c>
      <c r="J12" s="55">
        <f t="shared" si="1"/>
        <v>3009000745411.8789</v>
      </c>
    </row>
    <row r="13" spans="1:11">
      <c r="C13" s="98"/>
      <c r="D13" s="98"/>
      <c r="E13" s="98"/>
      <c r="F13" s="98"/>
      <c r="G13" s="98"/>
      <c r="H13" s="98"/>
      <c r="I13" s="98"/>
      <c r="J13" s="98"/>
      <c r="K13" s="98"/>
    </row>
    <row r="14" spans="1:1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</row>
    <row r="15" spans="1:11" ht="16.5">
      <c r="A15" s="98"/>
      <c r="B15" s="44">
        <v>45422</v>
      </c>
      <c r="C15" s="44">
        <v>45429</v>
      </c>
      <c r="D15" s="44">
        <v>45436</v>
      </c>
      <c r="E15" s="44">
        <v>45443</v>
      </c>
      <c r="F15" s="44">
        <v>45450</v>
      </c>
      <c r="G15" s="44">
        <v>45457</v>
      </c>
      <c r="H15" s="44">
        <v>45464</v>
      </c>
      <c r="I15" s="44">
        <v>45471</v>
      </c>
      <c r="J15" s="44">
        <v>45478</v>
      </c>
      <c r="K15" s="98"/>
    </row>
    <row r="16" spans="1:11" ht="16.5">
      <c r="A16" s="118" t="s">
        <v>263</v>
      </c>
      <c r="B16" s="121">
        <v>13034496718.34</v>
      </c>
      <c r="C16" s="121">
        <v>13029745632.197506</v>
      </c>
      <c r="D16" s="121">
        <v>12863444061.07283</v>
      </c>
      <c r="E16" s="121">
        <v>13116887577.834784</v>
      </c>
      <c r="F16" s="121">
        <v>13088081030.059999</v>
      </c>
      <c r="G16" s="121">
        <v>13263470098.545036</v>
      </c>
      <c r="H16" s="121">
        <v>13253375082.678389</v>
      </c>
      <c r="I16" s="121">
        <v>12263967010.065977</v>
      </c>
      <c r="J16" s="121">
        <v>12187736015.745237</v>
      </c>
      <c r="K16" s="98"/>
    </row>
    <row r="17" spans="1:11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</row>
    <row r="18" spans="1:11">
      <c r="A18" s="98"/>
      <c r="B18" s="98"/>
      <c r="C18" s="120"/>
      <c r="D18" s="120"/>
      <c r="E18" s="120"/>
      <c r="F18" s="120"/>
      <c r="G18" s="120"/>
      <c r="H18" s="120"/>
      <c r="I18" s="120"/>
      <c r="J18" s="120"/>
      <c r="K18" s="98"/>
    </row>
    <row r="19" spans="1:1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</row>
    <row r="20" spans="1:11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</row>
    <row r="21" spans="1:11">
      <c r="B21" s="98"/>
      <c r="C21" s="98"/>
      <c r="D21" s="98"/>
      <c r="E21" s="98"/>
      <c r="F21" s="98"/>
      <c r="G21" s="98"/>
      <c r="H21" s="98"/>
      <c r="I21" s="98"/>
      <c r="J21" s="98"/>
      <c r="K21" s="98"/>
    </row>
    <row r="22" spans="1:11">
      <c r="B22" s="98"/>
      <c r="C22" s="98"/>
      <c r="D22" s="98"/>
      <c r="E22" s="98"/>
      <c r="F22" s="98"/>
      <c r="G22" s="98"/>
      <c r="H22" s="98"/>
      <c r="I22" s="98"/>
      <c r="J22" s="98"/>
      <c r="K22" s="96"/>
    </row>
  </sheetData>
  <sheetProtection algorithmName="SHA-512" hashValue="W4WwlO322lZYXCilr7s/v3y4E2KVV8EXoSO12qPL2UnnQris3N+SPvszZJjXJgYuYLezl8GdP8VsOHT3FHW9Lw==" saltValue="e2mgWji0VGVXFjNkdwcOVw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tundeisaac.ti@gmail.com</cp:lastModifiedBy>
  <dcterms:created xsi:type="dcterms:W3CDTF">2023-10-09T09:40:10Z</dcterms:created>
  <dcterms:modified xsi:type="dcterms:W3CDTF">2024-07-10T21:34:59Z</dcterms:modified>
</cp:coreProperties>
</file>