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87BC97C5-1155-4CB9-91AA-60C2D15CC95D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7" i="1" l="1"/>
  <c r="S157" i="1"/>
  <c r="T157" i="1"/>
  <c r="U157" i="1"/>
  <c r="V157" i="1"/>
  <c r="N102" i="1"/>
  <c r="M102" i="1"/>
  <c r="N106" i="1"/>
  <c r="M106" i="1"/>
  <c r="K106" i="1"/>
  <c r="N112" i="1"/>
  <c r="M112" i="1"/>
  <c r="K112" i="1"/>
  <c r="N125" i="1"/>
  <c r="M125" i="1"/>
  <c r="N105" i="1"/>
  <c r="M105" i="1"/>
  <c r="K105" i="1"/>
  <c r="N126" i="1"/>
  <c r="M126" i="1"/>
  <c r="N108" i="1" l="1"/>
  <c r="M108" i="1"/>
  <c r="K108" i="1"/>
  <c r="N104" i="1"/>
  <c r="M104" i="1"/>
  <c r="K104" i="1"/>
  <c r="N130" i="1"/>
  <c r="M130" i="1"/>
  <c r="K130" i="1"/>
  <c r="N120" i="1"/>
  <c r="M120" i="1"/>
  <c r="K120" i="1"/>
  <c r="M129" i="1"/>
  <c r="N113" i="1" l="1"/>
  <c r="M113" i="1"/>
  <c r="K113" i="1"/>
  <c r="N103" i="1"/>
  <c r="M103" i="1"/>
  <c r="K103" i="1"/>
  <c r="N115" i="1"/>
  <c r="M115" i="1"/>
  <c r="K115" i="1"/>
  <c r="N107" i="1"/>
  <c r="M107" i="1"/>
  <c r="K107" i="1"/>
  <c r="N114" i="1"/>
  <c r="M114" i="1"/>
  <c r="K114" i="1"/>
  <c r="N124" i="1"/>
  <c r="M124" i="1"/>
  <c r="K124" i="1"/>
  <c r="N123" i="1" l="1"/>
  <c r="M123" i="1"/>
  <c r="G130" i="1"/>
  <c r="F130" i="1"/>
  <c r="G129" i="1"/>
  <c r="F129" i="1"/>
  <c r="G126" i="1"/>
  <c r="F126" i="1"/>
  <c r="G125" i="1"/>
  <c r="F125" i="1"/>
  <c r="G124" i="1"/>
  <c r="F124" i="1"/>
  <c r="G123" i="1"/>
  <c r="F123" i="1"/>
  <c r="G120" i="1"/>
  <c r="F120" i="1"/>
  <c r="D130" i="1"/>
  <c r="D124" i="1"/>
  <c r="D120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D115" i="1"/>
  <c r="D114" i="1"/>
  <c r="D113" i="1"/>
  <c r="D112" i="1"/>
  <c r="D108" i="1"/>
  <c r="D107" i="1"/>
  <c r="D106" i="1"/>
  <c r="D105" i="1"/>
  <c r="D104" i="1"/>
  <c r="D103" i="1"/>
  <c r="R81" i="1"/>
  <c r="V191" i="1"/>
  <c r="U191" i="1"/>
  <c r="T191" i="1"/>
  <c r="S191" i="1"/>
  <c r="R191" i="1"/>
  <c r="V190" i="1"/>
  <c r="U190" i="1"/>
  <c r="T190" i="1"/>
  <c r="S190" i="1"/>
  <c r="R190" i="1"/>
  <c r="N129" i="1"/>
  <c r="R51" i="1" l="1"/>
  <c r="V51" i="1"/>
  <c r="U51" i="1"/>
  <c r="T51" i="1"/>
  <c r="S51" i="1"/>
  <c r="K60" i="1"/>
  <c r="L38" i="1" s="1"/>
  <c r="C14" i="2"/>
  <c r="E51" i="1" l="1"/>
  <c r="L51" i="1"/>
  <c r="U164" i="1" l="1"/>
  <c r="V164" i="1"/>
  <c r="R164" i="1"/>
  <c r="S164" i="1"/>
  <c r="T164" i="1"/>
  <c r="R53" i="1"/>
  <c r="V53" i="1"/>
  <c r="U53" i="1"/>
  <c r="T53" i="1"/>
  <c r="S53" i="1"/>
  <c r="V175" i="1" l="1"/>
  <c r="R106" i="1" l="1"/>
  <c r="S106" i="1"/>
  <c r="T106" i="1"/>
  <c r="U106" i="1"/>
  <c r="V106" i="1"/>
  <c r="R32" i="1"/>
  <c r="R69" i="1"/>
  <c r="S69" i="1"/>
  <c r="T69" i="1"/>
  <c r="U69" i="1"/>
  <c r="V69" i="1"/>
  <c r="V32" i="1"/>
  <c r="U32" i="1"/>
  <c r="T32" i="1"/>
  <c r="S32" i="1"/>
  <c r="T103" i="1" l="1"/>
  <c r="U103" i="1"/>
  <c r="V103" i="1"/>
  <c r="S103" i="1"/>
  <c r="R103" i="1"/>
  <c r="R88" i="1" l="1"/>
  <c r="O131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5" i="1"/>
  <c r="S105" i="1"/>
  <c r="T105" i="1"/>
  <c r="U105" i="1"/>
  <c r="V105" i="1"/>
  <c r="R156" i="1" l="1"/>
  <c r="S58" i="1" l="1"/>
  <c r="D139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8" i="1" l="1"/>
  <c r="S108" i="1"/>
  <c r="T108" i="1"/>
  <c r="U108" i="1"/>
  <c r="V108" i="1"/>
  <c r="R109" i="1"/>
  <c r="S109" i="1"/>
  <c r="T109" i="1"/>
  <c r="U109" i="1"/>
  <c r="V109" i="1"/>
  <c r="R206" i="1" l="1"/>
  <c r="R207" i="1"/>
  <c r="V129" i="1" l="1"/>
  <c r="U129" i="1"/>
  <c r="T129" i="1"/>
  <c r="R129" i="1"/>
  <c r="R96" i="1"/>
  <c r="S96" i="1"/>
  <c r="T96" i="1"/>
  <c r="U96" i="1"/>
  <c r="V96" i="1"/>
  <c r="R58" i="1"/>
  <c r="V58" i="1"/>
  <c r="U58" i="1"/>
  <c r="T58" i="1"/>
  <c r="R186" i="1"/>
  <c r="S129" i="1" l="1"/>
  <c r="R145" i="1" l="1"/>
  <c r="R124" i="1" l="1"/>
  <c r="S124" i="1"/>
  <c r="T124" i="1"/>
  <c r="U124" i="1"/>
  <c r="V124" i="1"/>
  <c r="R82" i="1"/>
  <c r="S82" i="1"/>
  <c r="T82" i="1"/>
  <c r="U82" i="1"/>
  <c r="V82" i="1"/>
  <c r="V200" i="1" l="1"/>
  <c r="T162" i="1"/>
  <c r="S162" i="1"/>
  <c r="R127" i="1" l="1"/>
  <c r="V158" i="1" l="1"/>
  <c r="T149" i="1" l="1"/>
  <c r="R143" i="1"/>
  <c r="S143" i="1"/>
  <c r="T143" i="1"/>
  <c r="U143" i="1"/>
  <c r="V143" i="1"/>
  <c r="R165" i="1"/>
  <c r="S165" i="1"/>
  <c r="T165" i="1"/>
  <c r="U165" i="1"/>
  <c r="V165" i="1"/>
  <c r="R123" i="1" l="1"/>
  <c r="S123" i="1"/>
  <c r="S187" i="1" l="1"/>
  <c r="V123" i="1"/>
  <c r="U123" i="1"/>
  <c r="T123" i="1"/>
  <c r="R71" i="1" l="1"/>
  <c r="V79" i="1" l="1"/>
  <c r="U79" i="1"/>
  <c r="T79" i="1"/>
  <c r="S79" i="1"/>
  <c r="R79" i="1"/>
  <c r="V85" i="1" l="1"/>
  <c r="U85" i="1"/>
  <c r="T85" i="1"/>
  <c r="S85" i="1"/>
  <c r="R85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8" i="1"/>
  <c r="U188" i="1"/>
  <c r="T188" i="1"/>
  <c r="S188" i="1"/>
  <c r="R188" i="1"/>
  <c r="T34" i="1" l="1"/>
  <c r="S22" i="1" l="1"/>
  <c r="T22" i="1"/>
  <c r="V107" i="1" l="1"/>
  <c r="R107" i="1"/>
  <c r="S107" i="1"/>
  <c r="T107" i="1"/>
  <c r="U107" i="1"/>
  <c r="R13" i="1" l="1"/>
  <c r="R50" i="1" l="1"/>
  <c r="V50" i="1"/>
  <c r="U50" i="1"/>
  <c r="T50" i="1"/>
  <c r="S50" i="1"/>
  <c r="V135" i="1" l="1"/>
  <c r="U135" i="1"/>
  <c r="T135" i="1"/>
  <c r="S135" i="1"/>
  <c r="R135" i="1"/>
  <c r="R76" i="1" l="1"/>
  <c r="S181" i="1" l="1"/>
  <c r="D176" i="1" l="1"/>
  <c r="B19" i="2" s="1"/>
  <c r="B9" i="2" s="1"/>
  <c r="D131" i="1"/>
  <c r="E106" i="1" s="1"/>
  <c r="E105" i="1" l="1"/>
  <c r="E103" i="1"/>
  <c r="E129" i="1"/>
  <c r="B16" i="2"/>
  <c r="B6" i="2" s="1"/>
  <c r="E120" i="1"/>
  <c r="E124" i="1"/>
  <c r="E108" i="1"/>
  <c r="E123" i="1"/>
  <c r="R95" i="1"/>
  <c r="S95" i="1"/>
  <c r="T95" i="1"/>
  <c r="U95" i="1"/>
  <c r="V95" i="1"/>
  <c r="D216" i="1"/>
  <c r="D195" i="1"/>
  <c r="D60" i="1"/>
  <c r="B20" i="2" l="1"/>
  <c r="B10" i="2" s="1"/>
  <c r="E191" i="1"/>
  <c r="E190" i="1"/>
  <c r="B14" i="2"/>
  <c r="B4" i="2" s="1"/>
  <c r="E135" i="1"/>
  <c r="B17" i="2"/>
  <c r="B7" i="2" s="1"/>
  <c r="E185" i="1"/>
  <c r="E186" i="1"/>
  <c r="E187" i="1"/>
  <c r="E188" i="1"/>
  <c r="E189" i="1"/>
  <c r="E192" i="1"/>
  <c r="E193" i="1"/>
  <c r="E194" i="1"/>
  <c r="R174" i="1"/>
  <c r="R87" i="1" l="1"/>
  <c r="S87" i="1"/>
  <c r="T87" i="1"/>
  <c r="V87" i="1"/>
  <c r="U87" i="1"/>
  <c r="D23" i="1" l="1"/>
  <c r="B13" i="2" s="1"/>
  <c r="B3" i="2" l="1"/>
  <c r="E10" i="1"/>
  <c r="R121" i="1"/>
  <c r="R20" i="1" l="1"/>
  <c r="R205" i="1" l="1"/>
  <c r="S205" i="1"/>
  <c r="T205" i="1"/>
  <c r="U205" i="1"/>
  <c r="V205" i="1"/>
  <c r="S206" i="1"/>
  <c r="T206" i="1"/>
  <c r="U206" i="1"/>
  <c r="V206" i="1"/>
  <c r="S207" i="1"/>
  <c r="T207" i="1"/>
  <c r="U207" i="1"/>
  <c r="V207" i="1"/>
  <c r="R208" i="1"/>
  <c r="S208" i="1"/>
  <c r="T208" i="1"/>
  <c r="U208" i="1"/>
  <c r="V208" i="1"/>
  <c r="R209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R212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S216" i="1"/>
  <c r="U216" i="1"/>
  <c r="V216" i="1"/>
  <c r="V204" i="1"/>
  <c r="U204" i="1"/>
  <c r="T204" i="1"/>
  <c r="S204" i="1"/>
  <c r="R204" i="1"/>
  <c r="U200" i="1"/>
  <c r="T200" i="1"/>
  <c r="S200" i="1"/>
  <c r="R200" i="1"/>
  <c r="V199" i="1"/>
  <c r="U199" i="1"/>
  <c r="T199" i="1"/>
  <c r="S199" i="1"/>
  <c r="R199" i="1"/>
  <c r="R185" i="1"/>
  <c r="S185" i="1"/>
  <c r="T185" i="1"/>
  <c r="U185" i="1"/>
  <c r="V185" i="1"/>
  <c r="S186" i="1"/>
  <c r="T186" i="1"/>
  <c r="U186" i="1"/>
  <c r="V186" i="1"/>
  <c r="R187" i="1"/>
  <c r="T187" i="1"/>
  <c r="U187" i="1"/>
  <c r="V187" i="1"/>
  <c r="R189" i="1"/>
  <c r="S189" i="1"/>
  <c r="T189" i="1"/>
  <c r="U189" i="1"/>
  <c r="V189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S195" i="1"/>
  <c r="U195" i="1"/>
  <c r="V195" i="1"/>
  <c r="V184" i="1"/>
  <c r="U184" i="1"/>
  <c r="T184" i="1"/>
  <c r="S184" i="1"/>
  <c r="R184" i="1"/>
  <c r="V181" i="1"/>
  <c r="U181" i="1"/>
  <c r="T181" i="1"/>
  <c r="R181" i="1"/>
  <c r="V180" i="1"/>
  <c r="U180" i="1"/>
  <c r="T180" i="1"/>
  <c r="S180" i="1"/>
  <c r="R180" i="1"/>
  <c r="S174" i="1"/>
  <c r="T174" i="1"/>
  <c r="U174" i="1"/>
  <c r="V174" i="1"/>
  <c r="R175" i="1"/>
  <c r="S175" i="1"/>
  <c r="T175" i="1"/>
  <c r="U175" i="1"/>
  <c r="S176" i="1"/>
  <c r="U176" i="1"/>
  <c r="V176" i="1"/>
  <c r="V173" i="1"/>
  <c r="U173" i="1"/>
  <c r="T173" i="1"/>
  <c r="S173" i="1"/>
  <c r="R173" i="1"/>
  <c r="R144" i="1"/>
  <c r="S144" i="1"/>
  <c r="T144" i="1"/>
  <c r="U144" i="1"/>
  <c r="V144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U149" i="1"/>
  <c r="V149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S156" i="1"/>
  <c r="T156" i="1"/>
  <c r="U156" i="1"/>
  <c r="V156" i="1"/>
  <c r="R158" i="1"/>
  <c r="S158" i="1"/>
  <c r="T158" i="1"/>
  <c r="U158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R162" i="1"/>
  <c r="U162" i="1"/>
  <c r="V162" i="1"/>
  <c r="R163" i="1"/>
  <c r="S163" i="1"/>
  <c r="T163" i="1"/>
  <c r="U163" i="1"/>
  <c r="V163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S170" i="1"/>
  <c r="U170" i="1"/>
  <c r="V170" i="1"/>
  <c r="V142" i="1"/>
  <c r="U142" i="1"/>
  <c r="T142" i="1"/>
  <c r="S142" i="1"/>
  <c r="R142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S139" i="1"/>
  <c r="U139" i="1"/>
  <c r="V139" i="1"/>
  <c r="V134" i="1"/>
  <c r="U134" i="1"/>
  <c r="T134" i="1"/>
  <c r="S134" i="1"/>
  <c r="R134" i="1"/>
  <c r="R120" i="1"/>
  <c r="S120" i="1"/>
  <c r="T120" i="1"/>
  <c r="U120" i="1"/>
  <c r="V120" i="1"/>
  <c r="S121" i="1"/>
  <c r="T121" i="1"/>
  <c r="U121" i="1"/>
  <c r="V121" i="1"/>
  <c r="R122" i="1"/>
  <c r="S122" i="1"/>
  <c r="T122" i="1"/>
  <c r="U122" i="1"/>
  <c r="V122" i="1"/>
  <c r="R125" i="1"/>
  <c r="S125" i="1"/>
  <c r="T125" i="1"/>
  <c r="U125" i="1"/>
  <c r="V125" i="1"/>
  <c r="R126" i="1"/>
  <c r="S126" i="1"/>
  <c r="T126" i="1"/>
  <c r="U126" i="1"/>
  <c r="V126" i="1"/>
  <c r="S127" i="1"/>
  <c r="T127" i="1"/>
  <c r="U127" i="1"/>
  <c r="V127" i="1"/>
  <c r="R128" i="1"/>
  <c r="S128" i="1"/>
  <c r="T128" i="1"/>
  <c r="U128" i="1"/>
  <c r="V128" i="1"/>
  <c r="R130" i="1"/>
  <c r="S130" i="1"/>
  <c r="T130" i="1"/>
  <c r="U130" i="1"/>
  <c r="V130" i="1"/>
  <c r="S131" i="1"/>
  <c r="U131" i="1"/>
  <c r="V131" i="1"/>
  <c r="V119" i="1"/>
  <c r="U119" i="1"/>
  <c r="T119" i="1"/>
  <c r="S119" i="1"/>
  <c r="R119" i="1"/>
  <c r="R104" i="1"/>
  <c r="S104" i="1"/>
  <c r="T104" i="1"/>
  <c r="U104" i="1"/>
  <c r="V104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V102" i="1"/>
  <c r="U102" i="1"/>
  <c r="T102" i="1"/>
  <c r="S102" i="1"/>
  <c r="R102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R68" i="1"/>
  <c r="S68" i="1"/>
  <c r="T68" i="1"/>
  <c r="U68" i="1"/>
  <c r="R70" i="1"/>
  <c r="S70" i="1"/>
  <c r="T70" i="1"/>
  <c r="U70" i="1"/>
  <c r="V70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S81" i="1"/>
  <c r="T81" i="1"/>
  <c r="U81" i="1"/>
  <c r="V81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7" i="1"/>
  <c r="S97" i="1"/>
  <c r="T97" i="1"/>
  <c r="U97" i="1"/>
  <c r="V97" i="1"/>
  <c r="S98" i="1"/>
  <c r="U98" i="1"/>
  <c r="V98" i="1"/>
  <c r="V63" i="1"/>
  <c r="U63" i="1"/>
  <c r="T63" i="1"/>
  <c r="S63" i="1"/>
  <c r="R63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2" i="1"/>
  <c r="S52" i="1"/>
  <c r="T52" i="1"/>
  <c r="U52" i="1"/>
  <c r="V52" i="1"/>
  <c r="R54" i="1"/>
  <c r="S54" i="1"/>
  <c r="T54" i="1"/>
  <c r="U54" i="1"/>
  <c r="V54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9" i="1"/>
  <c r="S59" i="1"/>
  <c r="T59" i="1"/>
  <c r="U59" i="1"/>
  <c r="V59" i="1"/>
  <c r="S60" i="1"/>
  <c r="U60" i="1"/>
  <c r="V60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8" i="1" l="1"/>
  <c r="V146" i="1"/>
  <c r="O195" i="1" l="1"/>
  <c r="O216" i="1"/>
  <c r="K216" i="1"/>
  <c r="H216" i="1"/>
  <c r="K201" i="1"/>
  <c r="H201" i="1"/>
  <c r="D201" i="1"/>
  <c r="H195" i="1"/>
  <c r="K195" i="1"/>
  <c r="H176" i="1"/>
  <c r="O176" i="1"/>
  <c r="K176" i="1"/>
  <c r="O170" i="1"/>
  <c r="K170" i="1"/>
  <c r="H170" i="1"/>
  <c r="D170" i="1"/>
  <c r="E157" i="1" s="1"/>
  <c r="O139" i="1"/>
  <c r="K139" i="1"/>
  <c r="H139" i="1"/>
  <c r="T139" i="1" s="1"/>
  <c r="H131" i="1"/>
  <c r="K131" i="1"/>
  <c r="O98" i="1"/>
  <c r="K98" i="1"/>
  <c r="H98" i="1"/>
  <c r="D98" i="1"/>
  <c r="O60" i="1"/>
  <c r="H60" i="1"/>
  <c r="O23" i="1"/>
  <c r="H23" i="1"/>
  <c r="L164" i="1" l="1"/>
  <c r="L143" i="1"/>
  <c r="B5" i="3"/>
  <c r="L191" i="1"/>
  <c r="L190" i="1"/>
  <c r="E69" i="1"/>
  <c r="B15" i="2"/>
  <c r="L69" i="1"/>
  <c r="C15" i="2"/>
  <c r="B18" i="2"/>
  <c r="B8" i="2" s="1"/>
  <c r="E164" i="1"/>
  <c r="E53" i="1"/>
  <c r="L53" i="1"/>
  <c r="L103" i="1"/>
  <c r="L106" i="1"/>
  <c r="E32" i="1"/>
  <c r="L32" i="1"/>
  <c r="L162" i="1"/>
  <c r="L163" i="1"/>
  <c r="L165" i="1"/>
  <c r="E59" i="1"/>
  <c r="E58" i="1"/>
  <c r="C18" i="2"/>
  <c r="C8" i="2" s="1"/>
  <c r="B4" i="3"/>
  <c r="C16" i="2"/>
  <c r="C6" i="2" s="1"/>
  <c r="L105" i="1"/>
  <c r="L135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6" i="1"/>
  <c r="B5" i="2"/>
  <c r="L129" i="1"/>
  <c r="B9" i="3"/>
  <c r="L82" i="1"/>
  <c r="L96" i="1"/>
  <c r="L58" i="1"/>
  <c r="L185" i="1"/>
  <c r="L186" i="1"/>
  <c r="L187" i="1"/>
  <c r="L188" i="1"/>
  <c r="L189" i="1"/>
  <c r="L192" i="1"/>
  <c r="L193" i="1"/>
  <c r="L194" i="1"/>
  <c r="L123" i="1"/>
  <c r="L124" i="1"/>
  <c r="E79" i="1"/>
  <c r="E82" i="1"/>
  <c r="E163" i="1"/>
  <c r="E165" i="1"/>
  <c r="L89" i="1"/>
  <c r="L97" i="1"/>
  <c r="L79" i="1"/>
  <c r="E143" i="1"/>
  <c r="L108" i="1"/>
  <c r="L121" i="1"/>
  <c r="L184" i="1"/>
  <c r="E85" i="1"/>
  <c r="L85" i="1"/>
  <c r="L56" i="1"/>
  <c r="L37" i="1"/>
  <c r="L214" i="1"/>
  <c r="L215" i="1"/>
  <c r="E50" i="1"/>
  <c r="L49" i="1"/>
  <c r="L52" i="1"/>
  <c r="L50" i="1"/>
  <c r="L54" i="1"/>
  <c r="L102" i="1"/>
  <c r="L119" i="1"/>
  <c r="L159" i="1"/>
  <c r="L166" i="1"/>
  <c r="L90" i="1"/>
  <c r="L66" i="1"/>
  <c r="L107" i="1"/>
  <c r="L26" i="1"/>
  <c r="L40" i="1"/>
  <c r="T195" i="1"/>
  <c r="L94" i="1"/>
  <c r="L95" i="1"/>
  <c r="E87" i="1"/>
  <c r="E95" i="1"/>
  <c r="T216" i="1"/>
  <c r="L87" i="1"/>
  <c r="T60" i="1"/>
  <c r="T176" i="1"/>
  <c r="R176" i="1"/>
  <c r="T98" i="1"/>
  <c r="T170" i="1"/>
  <c r="T23" i="1"/>
  <c r="R139" i="1"/>
  <c r="R216" i="1"/>
  <c r="T131" i="1"/>
  <c r="O196" i="1"/>
  <c r="O217" i="1" s="1"/>
  <c r="R170" i="1"/>
  <c r="L158" i="1"/>
  <c r="R131" i="1"/>
  <c r="R98" i="1"/>
  <c r="L65" i="1"/>
  <c r="L67" i="1"/>
  <c r="L70" i="1"/>
  <c r="L72" i="1"/>
  <c r="L74" i="1"/>
  <c r="L76" i="1"/>
  <c r="L78" i="1"/>
  <c r="L81" i="1"/>
  <c r="L84" i="1"/>
  <c r="L88" i="1"/>
  <c r="L92" i="1"/>
  <c r="L64" i="1"/>
  <c r="L68" i="1"/>
  <c r="L71" i="1"/>
  <c r="L73" i="1"/>
  <c r="L75" i="1"/>
  <c r="L77" i="1"/>
  <c r="L80" i="1"/>
  <c r="L83" i="1"/>
  <c r="L86" i="1"/>
  <c r="L91" i="1"/>
  <c r="L93" i="1"/>
  <c r="E28" i="1"/>
  <c r="E30" i="1"/>
  <c r="E33" i="1"/>
  <c r="E35" i="1"/>
  <c r="E37" i="1"/>
  <c r="E39" i="1"/>
  <c r="E41" i="1"/>
  <c r="E43" i="1"/>
  <c r="E45" i="1"/>
  <c r="E47" i="1"/>
  <c r="E49" i="1"/>
  <c r="E54" i="1"/>
  <c r="E56" i="1"/>
  <c r="E27" i="1"/>
  <c r="E29" i="1"/>
  <c r="E31" i="1"/>
  <c r="E34" i="1"/>
  <c r="E36" i="1"/>
  <c r="E38" i="1"/>
  <c r="E40" i="1"/>
  <c r="E42" i="1"/>
  <c r="E44" i="1"/>
  <c r="E46" i="1"/>
  <c r="E48" i="1"/>
  <c r="E52" i="1"/>
  <c r="E55" i="1"/>
  <c r="E57" i="1"/>
  <c r="E26" i="1"/>
  <c r="R195" i="1"/>
  <c r="H196" i="1"/>
  <c r="H217" i="1" s="1"/>
  <c r="J10" i="4"/>
  <c r="I12" i="4"/>
  <c r="H12" i="4"/>
  <c r="G12" i="4"/>
  <c r="F12" i="4"/>
  <c r="E12" i="4"/>
  <c r="C12" i="4"/>
  <c r="E212" i="1"/>
  <c r="L213" i="1"/>
  <c r="L212" i="1"/>
  <c r="L210" i="1"/>
  <c r="L209" i="1"/>
  <c r="L208" i="1"/>
  <c r="L206" i="1"/>
  <c r="L205" i="1"/>
  <c r="L204" i="1"/>
  <c r="L199" i="1"/>
  <c r="E199" i="1"/>
  <c r="L181" i="1"/>
  <c r="L173" i="1"/>
  <c r="E175" i="1"/>
  <c r="E169" i="1"/>
  <c r="E166" i="1"/>
  <c r="L156" i="1"/>
  <c r="L154" i="1"/>
  <c r="L151" i="1"/>
  <c r="L148" i="1"/>
  <c r="L146" i="1"/>
  <c r="L142" i="1"/>
  <c r="L137" i="1"/>
  <c r="E138" i="1"/>
  <c r="L138" i="1"/>
  <c r="E94" i="1"/>
  <c r="E93" i="1"/>
  <c r="E91" i="1"/>
  <c r="E89" i="1"/>
  <c r="E86" i="1"/>
  <c r="E83" i="1"/>
  <c r="E80" i="1"/>
  <c r="E77" i="1"/>
  <c r="E75" i="1"/>
  <c r="E73" i="1"/>
  <c r="E71" i="1"/>
  <c r="E68" i="1"/>
  <c r="E66" i="1"/>
  <c r="E64" i="1"/>
  <c r="L55" i="1"/>
  <c r="R60" i="1"/>
  <c r="L34" i="1"/>
  <c r="K23" i="1"/>
  <c r="E15" i="1"/>
  <c r="S6" i="1"/>
  <c r="R6" i="1"/>
  <c r="L10" i="1" l="1"/>
  <c r="C13" i="2"/>
  <c r="C3" i="2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4" i="1"/>
  <c r="L144" i="1"/>
  <c r="L147" i="1"/>
  <c r="L150" i="1"/>
  <c r="L152" i="1"/>
  <c r="L155" i="1"/>
  <c r="L160" i="1"/>
  <c r="E19" i="1"/>
  <c r="L63" i="1"/>
  <c r="E67" i="1"/>
  <c r="E134" i="1"/>
  <c r="E142" i="1"/>
  <c r="E144" i="1"/>
  <c r="E145" i="1"/>
  <c r="E150" i="1"/>
  <c r="E151" i="1"/>
  <c r="E152" i="1"/>
  <c r="E153" i="1"/>
  <c r="E159" i="1"/>
  <c r="E162" i="1"/>
  <c r="E168" i="1"/>
  <c r="E12" i="1"/>
  <c r="E14" i="1"/>
  <c r="E17" i="1"/>
  <c r="E21" i="1"/>
  <c r="L30" i="1"/>
  <c r="L39" i="1"/>
  <c r="L45" i="1"/>
  <c r="K196" i="1"/>
  <c r="L136" i="1"/>
  <c r="E146" i="1"/>
  <c r="E147" i="1"/>
  <c r="E148" i="1"/>
  <c r="E149" i="1"/>
  <c r="E154" i="1"/>
  <c r="E155" i="1"/>
  <c r="E156" i="1"/>
  <c r="E158" i="1"/>
  <c r="E160" i="1"/>
  <c r="E161" i="1"/>
  <c r="E167" i="1"/>
  <c r="L180" i="1"/>
  <c r="L112" i="1"/>
  <c r="L111" i="1"/>
  <c r="L35" i="1"/>
  <c r="L46" i="1"/>
  <c r="L57" i="1"/>
  <c r="E137" i="1"/>
  <c r="L168" i="1"/>
  <c r="L175" i="1"/>
  <c r="E207" i="1"/>
  <c r="E211" i="1"/>
  <c r="E215" i="1"/>
  <c r="D12" i="4"/>
  <c r="E104" i="1"/>
  <c r="L41" i="1"/>
  <c r="L31" i="1"/>
  <c r="L43" i="1"/>
  <c r="L145" i="1"/>
  <c r="L149" i="1"/>
  <c r="L153" i="1"/>
  <c r="E174" i="1"/>
  <c r="E184" i="1"/>
  <c r="E200" i="1"/>
  <c r="L207" i="1"/>
  <c r="L211" i="1"/>
  <c r="L29" i="1"/>
  <c r="E7" i="1"/>
  <c r="E18" i="1"/>
  <c r="E22" i="1"/>
  <c r="L28" i="1"/>
  <c r="L48" i="1"/>
  <c r="E63" i="1"/>
  <c r="E72" i="1"/>
  <c r="E76" i="1"/>
  <c r="E81" i="1"/>
  <c r="E88" i="1"/>
  <c r="E92" i="1"/>
  <c r="E97" i="1"/>
  <c r="E136" i="1"/>
  <c r="L161" i="1"/>
  <c r="L167" i="1"/>
  <c r="L174" i="1"/>
  <c r="L200" i="1"/>
  <c r="R201" i="1"/>
  <c r="E206" i="1"/>
  <c r="E210" i="1"/>
  <c r="E214" i="1"/>
  <c r="E173" i="1"/>
  <c r="E181" i="1"/>
  <c r="E205" i="1"/>
  <c r="E209" i="1"/>
  <c r="E213" i="1"/>
  <c r="L47" i="1"/>
  <c r="L59" i="1"/>
  <c r="L27" i="1"/>
  <c r="L36" i="1"/>
  <c r="E180" i="1"/>
  <c r="E13" i="1"/>
  <c r="E16" i="1"/>
  <c r="L33" i="1"/>
  <c r="L44" i="1"/>
  <c r="E65" i="1"/>
  <c r="E70" i="1"/>
  <c r="E74" i="1"/>
  <c r="E78" i="1"/>
  <c r="E84" i="1"/>
  <c r="E90" i="1"/>
  <c r="L169" i="1"/>
  <c r="E204" i="1"/>
  <c r="E208" i="1"/>
  <c r="L122" i="1" l="1"/>
  <c r="L104" i="1"/>
  <c r="L109" i="1"/>
  <c r="L115" i="1"/>
  <c r="L126" i="1"/>
  <c r="L110" i="1"/>
  <c r="K217" i="1"/>
  <c r="L23" i="1"/>
  <c r="L170" i="1"/>
  <c r="L60" i="1"/>
  <c r="L139" i="1"/>
  <c r="L98" i="1"/>
  <c r="L131" i="1"/>
  <c r="L195" i="1"/>
  <c r="L176" i="1"/>
  <c r="L114" i="1"/>
  <c r="L113" i="1"/>
  <c r="L130" i="1"/>
  <c r="L125" i="1"/>
  <c r="L127" i="1"/>
  <c r="L116" i="1"/>
  <c r="L128" i="1"/>
  <c r="L120" i="1"/>
  <c r="E128" i="1"/>
  <c r="E125" i="1"/>
  <c r="E116" i="1"/>
  <c r="E113" i="1"/>
  <c r="E110" i="1"/>
  <c r="E115" i="1"/>
  <c r="E111" i="1"/>
  <c r="E121" i="1"/>
  <c r="E112" i="1"/>
  <c r="D196" i="1"/>
  <c r="E130" i="1"/>
  <c r="E102" i="1"/>
  <c r="E114" i="1"/>
  <c r="E109" i="1"/>
  <c r="E127" i="1"/>
  <c r="E126" i="1"/>
  <c r="E122" i="1"/>
  <c r="E119" i="1"/>
  <c r="E131" i="1" l="1"/>
  <c r="R196" i="1"/>
  <c r="E60" i="1"/>
  <c r="E170" i="1"/>
  <c r="D217" i="1"/>
  <c r="E98" i="1"/>
  <c r="E23" i="1"/>
  <c r="E195" i="1"/>
  <c r="E139" i="1"/>
  <c r="E176" i="1"/>
</calcChain>
</file>

<file path=xl/sharedStrings.xml><?xml version="1.0" encoding="utf-8"?>
<sst xmlns="http://schemas.openxmlformats.org/spreadsheetml/2006/main" count="453" uniqueCount="285">
  <si>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</si>
  <si>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</si>
  <si>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</si>
  <si>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</si>
  <si>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</si>
  <si>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</si>
  <si>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</si>
  <si>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</si>
  <si>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</si>
  <si>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</si>
  <si>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</si>
  <si>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</si>
  <si>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</si>
  <si>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</si>
  <si>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</si>
  <si>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</si>
  <si>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</si>
  <si>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</si>
  <si>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</si>
  <si>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</si>
  <si>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</si>
  <si>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</si>
  <si>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</si>
  <si>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</si>
  <si>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</si>
  <si>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</si>
  <si>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</si>
  <si>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</si>
  <si>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</si>
  <si>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</si>
  <si>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</si>
  <si>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</si>
  <si>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</si>
  <si>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</si>
  <si>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</si>
  <si>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</si>
  <si>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</si>
  <si>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</si>
  <si>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</si>
  <si>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</si>
  <si>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</si>
  <si>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</si>
  <si>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</si>
  <si>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</si>
  <si>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</si>
  <si>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</si>
  <si>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</si>
  <si>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</si>
  <si>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</si>
  <si>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</si>
  <si>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</si>
  <si>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</si>
  <si>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</si>
  <si>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</si>
  <si>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</si>
  <si>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</si>
  <si>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</si>
  <si>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</si>
  <si>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</si>
  <si>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</si>
  <si>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</si>
  <si>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</si>
  <si>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</si>
  <si>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</si>
  <si>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</si>
  <si>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</si>
  <si>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</si>
  <si>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</si>
  <si>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</si>
  <si>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</si>
  <si>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</si>
  <si>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</si>
  <si>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</si>
  <si>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</si>
  <si>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</si>
  <si>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</si>
  <si>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</si>
  <si>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</si>
  <si>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</si>
  <si>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</si>
  <si>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</si>
  <si>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</si>
  <si>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</si>
  <si>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</si>
  <si>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</si>
  <si>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</si>
  <si>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</si>
  <si>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</si>
  <si>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</si>
  <si>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</si>
  <si>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</si>
  <si>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</si>
  <si>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</si>
  <si>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</si>
  <si>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</si>
  <si>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</si>
  <si>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</si>
  <si>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</si>
  <si>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</si>
  <si>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</si>
  <si>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</si>
  <si>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</si>
  <si>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</si>
  <si>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</si>
  <si>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</si>
  <si>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</si>
  <si>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</si>
  <si>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</si>
  <si>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</si>
  <si>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</si>
  <si>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</si>
  <si>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</si>
  <si>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</si>
  <si>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</si>
  <si>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</si>
  <si>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</si>
  <si>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</si>
  <si>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</si>
  <si>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</si>
  <si>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</si>
  <si>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</si>
  <si>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</si>
  <si>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</si>
  <si>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</si>
  <si>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</si>
  <si>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</si>
  <si>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</si>
  <si>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</si>
  <si>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</si>
  <si>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</si>
  <si>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</si>
  <si>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</si>
  <si>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</si>
  <si>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</si>
  <si>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</si>
  <si>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</si>
  <si>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</si>
  <si>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</si>
  <si>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</si>
  <si>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</si>
  <si>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</si>
  <si>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</si>
  <si>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</si>
  <si>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</si>
  <si>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</si>
  <si>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</si>
  <si>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</si>
  <si>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</si>
  <si>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</si>
  <si>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</si>
  <si>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</si>
  <si>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</si>
  <si>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</si>
  <si>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</si>
  <si>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</si>
  <si>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</si>
  <si>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</si>
  <si>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</si>
  <si>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</si>
  <si>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</si>
  <si>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</si>
  <si>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</si>
  <si>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</si>
  <si>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</si>
  <si>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</si>
  <si>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</si>
  <si>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</si>
  <si>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</si>
  <si>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</si>
  <si>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</si>
  <si>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</si>
  <si>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</si>
  <si>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</si>
  <si>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</si>
  <si>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</si>
  <si>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</si>
  <si>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</si>
  <si>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</si>
  <si>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</si>
  <si>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</si>
  <si>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</si>
  <si>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</si>
  <si>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</si>
  <si>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</si>
  <si>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</si>
  <si>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</si>
  <si>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</si>
  <si>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</si>
  <si>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</si>
  <si>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</si>
  <si>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</si>
  <si>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</si>
  <si>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</si>
  <si>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</si>
  <si>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</si>
  <si>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</si>
  <si>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</si>
  <si>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</si>
  <si>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</si>
  <si>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</si>
  <si>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</si>
  <si>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</si>
  <si>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</si>
  <si>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</si>
  <si>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</si>
  <si>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</si>
  <si>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</si>
  <si>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</si>
  <si>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</si>
  <si>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</si>
  <si>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</si>
  <si>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</si>
  <si>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</si>
  <si>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</si>
  <si>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</si>
  <si>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</si>
  <si>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</si>
  <si>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</si>
  <si>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</si>
  <si>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</si>
  <si>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</si>
  <si>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</si>
  <si>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</si>
  <si>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</si>
  <si>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</si>
  <si>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</si>
  <si>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</si>
  <si>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</si>
  <si>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</si>
  <si>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</si>
  <si>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</si>
  <si>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</si>
  <si>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</si>
  <si>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</si>
  <si>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</si>
  <si>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</si>
  <si>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</si>
  <si>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</si>
  <si>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</si>
  <si>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</si>
  <si>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</si>
  <si>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</si>
  <si>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</si>
  <si>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</si>
  <si>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</si>
  <si>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</si>
  <si>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</si>
  <si>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</si>
  <si>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</si>
  <si>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</si>
  <si>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</si>
  <si>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</si>
  <si>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</si>
  <si>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</si>
  <si>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</si>
  <si>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</si>
  <si>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</si>
  <si>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</si>
  <si>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</si>
  <si>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</si>
  <si>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</si>
  <si>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</si>
  <si>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</si>
  <si>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</si>
  <si>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</si>
  <si>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</si>
  <si>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</si>
  <si>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</si>
  <si>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</si>
  <si>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</si>
  <si>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</si>
  <si>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</si>
  <si>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</si>
  <si>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</si>
  <si>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</si>
  <si>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</si>
  <si>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</si>
  <si>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NAV, Unit Price and Yield as at Week Ended June 14, 2024</t>
  </si>
  <si>
    <t>Week Ended June 14, 2024</t>
  </si>
  <si>
    <t>WEEKLY VALUATION REPORT OF COLLECTIVE INVESTMENT SCHEMES AS AT WEEK ENDED FRIDAY, JUNE 21, 2024</t>
  </si>
  <si>
    <t>NAV, Unit Price and Yield as at Week Ended June 21,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</si>
  <si>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21st June, 2024 = N1480.518</t>
    </r>
  </si>
  <si>
    <t>GTI Balanced Fund</t>
  </si>
  <si>
    <t>Week Ended June 21, 2024</t>
  </si>
  <si>
    <t>The chart above shows that the Dollar Fund category (Eurobonds and Fixed Income) has the highest share of the Aggregate Net Asset Value (NAV) at 48.52%, followed by Money Market Fund with 35.54%, Bond/Fixed Income Fund at 8.00%, Real Estate Investment Trust at 3.36%.  Next is Shari'ah Compliant Fund at 1.72%, Balanced Fund at 1.70%, Equity Fund at 0.98%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</si>
</sst>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  <numFmt numFmtId="167" formatCode="0.000%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1" fillId="3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53" fillId="0" borderId="5" xfId="0" applyFont="1" applyBorder="1" applyAlignment="1">
      <alignment horizontal="right" wrapText="1"/>
    </xf>
    <xf numFmtId="4" fontId="54" fillId="3" borderId="5" xfId="0" applyNumberFormat="1" applyFont="1" applyFill="1" applyBorder="1"/>
    <xf numFmtId="0" fontId="53" fillId="0" borderId="5" xfId="0" applyFont="1" applyBorder="1" applyAlignment="1">
      <alignment horizontal="right"/>
    </xf>
    <xf numFmtId="4" fontId="54" fillId="3" borderId="5" xfId="0" applyNumberFormat="1" applyFont="1" applyFill="1" applyBorder="1" applyAlignment="1">
      <alignment horizontal="right"/>
    </xf>
    <xf numFmtId="164" fontId="54" fillId="3" borderId="5" xfId="1" applyFont="1" applyFill="1" applyBorder="1" applyAlignment="1">
      <alignment horizontal="right" vertical="top" wrapText="1"/>
    </xf>
    <xf numFmtId="164" fontId="54" fillId="0" borderId="5" xfId="1" applyFont="1" applyBorder="1"/>
    <xf numFmtId="49" fontId="6" fillId="0" borderId="5" xfId="0" applyNumberFormat="1" applyFont="1" applyBorder="1" applyAlignment="1">
      <alignment wrapText="1"/>
    </xf>
    <xf numFmtId="4" fontId="55" fillId="0" borderId="0" xfId="0" applyNumberFormat="1" applyFont="1"/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7" fontId="4" fillId="4" borderId="5" xfId="2" applyNumberFormat="1" applyFont="1" applyFill="1" applyBorder="1" applyAlignment="1">
      <alignment horizontal="center" vertical="top" wrapText="1"/>
    </xf>
    <xf numFmtId="16" fontId="49" fillId="3" borderId="5" xfId="0" applyNumberFormat="1" applyFont="1" applyFill="1" applyBorder="1"/>
    <xf numFmtId="0" fontId="49" fillId="0" borderId="10" xfId="0" applyFont="1" applyBorder="1" applyAlignment="1">
      <alignment horizontal="right"/>
    </xf>
    <xf numFmtId="167" fontId="4" fillId="7" borderId="5" xfId="2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14,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28.067702772250001</c:v>
                </c:pt>
                <c:pt idx="1">
                  <c:v>1035.71874907442</c:v>
                </c:pt>
                <c:pt idx="2">
                  <c:v>238.31881689185349</c:v>
                </c:pt>
                <c:pt idx="3">
                  <c:v>1422.2606705132675</c:v>
                </c:pt>
                <c:pt idx="4">
                  <c:v>98.697054246114547</c:v>
                </c:pt>
                <c:pt idx="5" formatCode="_-* #,##0.00_-;\-* #,##0.00_-;_-* &quot;-&quot;??_-;_-@_-">
                  <c:v>49.621576838562078</c:v>
                </c:pt>
                <c:pt idx="6">
                  <c:v>5.1391824551800003</c:v>
                </c:pt>
                <c:pt idx="7">
                  <c:v>50.385986316249465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21,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28.799678439980003</c:v>
                </c:pt>
                <c:pt idx="1">
                  <c:v>1043.3201613905101</c:v>
                </c:pt>
                <c:pt idx="2">
                  <c:v>234.98224142996105</c:v>
                </c:pt>
                <c:pt idx="3">
                  <c:v>1424.4710705891018</c:v>
                </c:pt>
                <c:pt idx="4">
                  <c:v>98.69648140724729</c:v>
                </c:pt>
                <c:pt idx="5" formatCode="_-* #,##0.00_-;\-* #,##0.00_-;_-* &quot;-&quot;??_-;_-@_-">
                  <c:v>50.024750313981436</c:v>
                </c:pt>
                <c:pt idx="6">
                  <c:v>5.1678865126100009</c:v>
                </c:pt>
                <c:pt idx="7">
                  <c:v>50.380801817423844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21ST JUNE,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21-Jun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5167886512.6100006</c:v>
                </c:pt>
                <c:pt idx="1">
                  <c:v>28799678439.980003</c:v>
                </c:pt>
                <c:pt idx="2" formatCode="_-* #,##0.00_-;\-* #,##0.00_-;_-* &quot;-&quot;??_-;_-@_-">
                  <c:v>50024750313.981438</c:v>
                </c:pt>
                <c:pt idx="3">
                  <c:v>50380801817.423843</c:v>
                </c:pt>
                <c:pt idx="4">
                  <c:v>98696481407.247284</c:v>
                </c:pt>
                <c:pt idx="5">
                  <c:v>234982241429.96106</c:v>
                </c:pt>
                <c:pt idx="6">
                  <c:v>1043320161390.5101</c:v>
                </c:pt>
                <c:pt idx="7">
                  <c:v>1424471070589.1018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45415</c:v>
                </c:pt>
                <c:pt idx="1">
                  <c:v>45422</c:v>
                </c:pt>
                <c:pt idx="2">
                  <c:v>45429</c:v>
                </c:pt>
                <c:pt idx="3">
                  <c:v>45436</c:v>
                </c:pt>
                <c:pt idx="4">
                  <c:v>45443</c:v>
                </c:pt>
                <c:pt idx="5">
                  <c:v>45450</c:v>
                </c:pt>
                <c:pt idx="6">
                  <c:v>45457</c:v>
                </c:pt>
                <c:pt idx="7">
                  <c:v>45464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2732.0956989192559</c:v>
                </c:pt>
                <c:pt idx="1">
                  <c:v>2805.3798287181139</c:v>
                </c:pt>
                <c:pt idx="2">
                  <c:v>2882.6977794869722</c:v>
                </c:pt>
                <c:pt idx="3">
                  <c:v>2856.7177691570346</c:v>
                </c:pt>
                <c:pt idx="4">
                  <c:v>2902.1598706044138</c:v>
                </c:pt>
                <c:pt idx="5">
                  <c:v>2910.8781340479409</c:v>
                </c:pt>
                <c:pt idx="6">
                  <c:v>2928.2097391078973</c:v>
                </c:pt>
                <c:pt idx="7">
                  <c:v>2935.8430719008147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45415</c:v>
                </c:pt>
                <c:pt idx="1">
                  <c:v>45422</c:v>
                </c:pt>
                <c:pt idx="2">
                  <c:v>45429</c:v>
                </c:pt>
                <c:pt idx="3">
                  <c:v>45436</c:v>
                </c:pt>
                <c:pt idx="4">
                  <c:v>45443</c:v>
                </c:pt>
                <c:pt idx="5">
                  <c:v>45450</c:v>
                </c:pt>
                <c:pt idx="6">
                  <c:v>45457</c:v>
                </c:pt>
                <c:pt idx="7">
                  <c:v>45464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13.067918239830002</c:v>
                </c:pt>
                <c:pt idx="1">
                  <c:v>13.03449671834</c:v>
                </c:pt>
                <c:pt idx="2">
                  <c:v>13.029745632197505</c:v>
                </c:pt>
                <c:pt idx="3">
                  <c:v>12.86344406107283</c:v>
                </c:pt>
                <c:pt idx="4">
                  <c:v>13.116887577834783</c:v>
                </c:pt>
                <c:pt idx="5">
                  <c:v>13.08808103006</c:v>
                </c:pt>
                <c:pt idx="6">
                  <c:v>13.263470098545037</c:v>
                </c:pt>
                <c:pt idx="7">
                  <c:v>13.253375082678389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21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9" t="s">
        <v>279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5" ht="15" customHeight="1">
      <c r="A2" s="1"/>
      <c r="B2" s="1"/>
      <c r="C2" s="1"/>
      <c r="D2" s="166" t="s">
        <v>277</v>
      </c>
      <c r="E2" s="167"/>
      <c r="F2" s="167"/>
      <c r="G2" s="167"/>
      <c r="H2" s="167"/>
      <c r="I2" s="167"/>
      <c r="J2" s="168"/>
      <c r="K2" s="166" t="s">
        <v>280</v>
      </c>
      <c r="L2" s="167"/>
      <c r="M2" s="167"/>
      <c r="N2" s="167"/>
      <c r="O2" s="167"/>
      <c r="P2" s="167"/>
      <c r="Q2" s="168"/>
      <c r="R2" s="166" t="s">
        <v>0</v>
      </c>
      <c r="S2" s="167"/>
      <c r="T2" s="168"/>
      <c r="U2" s="163" t="s">
        <v>1</v>
      </c>
      <c r="V2" s="163"/>
    </row>
    <row r="3" spans="1:25" ht="25.5">
      <c r="A3" s="81" t="s">
        <v>2</v>
      </c>
      <c r="B3" s="81" t="s">
        <v>3</v>
      </c>
      <c r="C3" s="75" t="s">
        <v>4</v>
      </c>
      <c r="D3" s="76" t="s">
        <v>5</v>
      </c>
      <c r="E3" s="77" t="s">
        <v>6</v>
      </c>
      <c r="F3" s="77" t="s">
        <v>7</v>
      </c>
      <c r="G3" s="77" t="s">
        <v>8</v>
      </c>
      <c r="H3" s="77" t="s">
        <v>229</v>
      </c>
      <c r="I3" s="77" t="s">
        <v>9</v>
      </c>
      <c r="J3" s="77" t="s">
        <v>10</v>
      </c>
      <c r="K3" s="78" t="s">
        <v>5</v>
      </c>
      <c r="L3" s="77" t="s">
        <v>6</v>
      </c>
      <c r="M3" s="77" t="s">
        <v>7</v>
      </c>
      <c r="N3" s="77" t="s">
        <v>8</v>
      </c>
      <c r="O3" s="77" t="s">
        <v>229</v>
      </c>
      <c r="P3" s="77" t="s">
        <v>9</v>
      </c>
      <c r="Q3" s="77" t="s">
        <v>10</v>
      </c>
      <c r="R3" s="76" t="s">
        <v>11</v>
      </c>
      <c r="S3" s="77" t="s">
        <v>12</v>
      </c>
      <c r="T3" s="77" t="s">
        <v>235</v>
      </c>
      <c r="U3" s="77" t="s">
        <v>13</v>
      </c>
      <c r="V3" s="77" t="s">
        <v>14</v>
      </c>
    </row>
    <row r="4" spans="1:25" ht="7.5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spans="1:25" ht="15" customHeight="1">
      <c r="A5" s="165" t="s">
        <v>15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</row>
    <row r="6" spans="1:25">
      <c r="A6" s="74">
        <v>1</v>
      </c>
      <c r="B6" s="134" t="s">
        <v>16</v>
      </c>
      <c r="C6" s="135" t="s">
        <v>17</v>
      </c>
      <c r="D6" s="2">
        <v>1117300725.3</v>
      </c>
      <c r="E6" s="3">
        <f t="shared" ref="E6:E22" si="0">(D6/$D$23)</f>
        <v>3.9807344917613056E-2</v>
      </c>
      <c r="F6" s="8">
        <v>337.30009999999999</v>
      </c>
      <c r="G6" s="8">
        <v>337.30009999999999</v>
      </c>
      <c r="H6" s="59">
        <v>1741</v>
      </c>
      <c r="I6" s="5">
        <v>2.3300000000000001E-2</v>
      </c>
      <c r="J6" s="5">
        <v>0.1244</v>
      </c>
      <c r="K6" s="2">
        <v>1118434919.2</v>
      </c>
      <c r="L6" s="3">
        <f>(K6/$K$23)</f>
        <v>3.8834979408915116E-2</v>
      </c>
      <c r="M6" s="8">
        <v>339.34739999999999</v>
      </c>
      <c r="N6" s="8">
        <v>339.34739999999999</v>
      </c>
      <c r="O6" s="59">
        <v>1741</v>
      </c>
      <c r="P6" s="5">
        <v>6.1000000000000004E-3</v>
      </c>
      <c r="Q6" s="5">
        <v>0.13100000000000001</v>
      </c>
      <c r="R6" s="79">
        <f>((K6-D6)/D6)</f>
        <v>1.0151196310156871E-3</v>
      </c>
      <c r="S6" s="79">
        <f>((N6-G6)/G6)</f>
        <v>6.0696691166116081E-3</v>
      </c>
      <c r="T6" s="79">
        <f>((O6-H6)/H6)</f>
        <v>0</v>
      </c>
      <c r="U6" s="80">
        <f>P6-I6</f>
        <v>-1.72E-2</v>
      </c>
      <c r="V6" s="82">
        <f>Q6-J6</f>
        <v>6.6000000000000086E-3</v>
      </c>
    </row>
    <row r="7" spans="1:25">
      <c r="A7" s="74">
        <v>2</v>
      </c>
      <c r="B7" s="134" t="s">
        <v>18</v>
      </c>
      <c r="C7" s="135" t="s">
        <v>19</v>
      </c>
      <c r="D7" s="4">
        <v>608826177.94000006</v>
      </c>
      <c r="E7" s="3">
        <f t="shared" si="0"/>
        <v>2.1691343352186799E-2</v>
      </c>
      <c r="F7" s="4">
        <v>224.90110000000001</v>
      </c>
      <c r="G7" s="4">
        <v>227.6</v>
      </c>
      <c r="H7" s="59">
        <v>415</v>
      </c>
      <c r="I7" s="5">
        <v>4.0229999999999997E-3</v>
      </c>
      <c r="J7" s="5">
        <v>0.16259999999999999</v>
      </c>
      <c r="K7" s="4">
        <v>610744887.89999998</v>
      </c>
      <c r="L7" s="3">
        <f t="shared" ref="L7:L22" si="1">(K7/$K$23)</f>
        <v>2.120665649697525E-2</v>
      </c>
      <c r="M7" s="4">
        <v>225.54419999999999</v>
      </c>
      <c r="N7" s="4">
        <v>228.24850000000001</v>
      </c>
      <c r="O7" s="59">
        <v>418</v>
      </c>
      <c r="P7" s="5">
        <v>-3.9899999999999999E-4</v>
      </c>
      <c r="Q7" s="5">
        <v>0.16589999999999999</v>
      </c>
      <c r="R7" s="79">
        <f t="shared" ref="R7:R23" si="2">((K7-D7)/D7)</f>
        <v>3.1514905723863409E-3</v>
      </c>
      <c r="S7" s="79">
        <f t="shared" ref="S7:S23" si="3">((N7-G7)/G7)</f>
        <v>2.8492970123023408E-3</v>
      </c>
      <c r="T7" s="79">
        <f t="shared" ref="T7:T23" si="4">((O7-H7)/H7)</f>
        <v>7.2289156626506026E-3</v>
      </c>
      <c r="U7" s="80">
        <f t="shared" ref="U7:U23" si="5">P7-I7</f>
        <v>-4.4219999999999997E-3</v>
      </c>
      <c r="V7" s="82">
        <f t="shared" ref="V7:V23" si="6">Q7-J7</f>
        <v>3.2999999999999974E-3</v>
      </c>
    </row>
    <row r="8" spans="1:25">
      <c r="A8" s="74">
        <v>3</v>
      </c>
      <c r="B8" s="134" t="s">
        <v>20</v>
      </c>
      <c r="C8" s="135" t="s">
        <v>21</v>
      </c>
      <c r="D8" s="4">
        <v>3898866834.9899998</v>
      </c>
      <c r="E8" s="3">
        <f t="shared" si="0"/>
        <v>0.13890936734746723</v>
      </c>
      <c r="F8" s="4">
        <v>36.085900000000002</v>
      </c>
      <c r="G8" s="4">
        <v>37.173900000000003</v>
      </c>
      <c r="H8" s="61">
        <v>6497</v>
      </c>
      <c r="I8" s="6">
        <v>0.35489999999999999</v>
      </c>
      <c r="J8" s="6">
        <v>0.39960000000000001</v>
      </c>
      <c r="K8" s="4">
        <v>3905018944.3800001</v>
      </c>
      <c r="L8" s="3">
        <f t="shared" si="1"/>
        <v>0.13559244949620736</v>
      </c>
      <c r="M8" s="4">
        <v>36.153700000000001</v>
      </c>
      <c r="N8" s="4">
        <v>37.2438</v>
      </c>
      <c r="O8" s="61">
        <v>6503</v>
      </c>
      <c r="P8" s="6">
        <v>9.8299999999999998E-2</v>
      </c>
      <c r="Q8" s="6">
        <v>0.3881</v>
      </c>
      <c r="R8" s="79">
        <f t="shared" si="2"/>
        <v>1.5779224196089073E-3</v>
      </c>
      <c r="S8" s="79">
        <f t="shared" si="3"/>
        <v>1.8803515369653697E-3</v>
      </c>
      <c r="T8" s="79">
        <f t="shared" si="4"/>
        <v>9.2350315530244733E-4</v>
      </c>
      <c r="U8" s="80">
        <f t="shared" si="5"/>
        <v>-0.25659999999999999</v>
      </c>
      <c r="V8" s="82">
        <f t="shared" si="6"/>
        <v>-1.150000000000001E-2</v>
      </c>
      <c r="X8" s="101"/>
      <c r="Y8" s="101"/>
    </row>
    <row r="9" spans="1:25">
      <c r="A9" s="74">
        <v>4</v>
      </c>
      <c r="B9" s="134" t="s">
        <v>22</v>
      </c>
      <c r="C9" s="135" t="s">
        <v>23</v>
      </c>
      <c r="D9" s="4">
        <v>610341062.53999996</v>
      </c>
      <c r="E9" s="3">
        <f t="shared" si="0"/>
        <v>2.1745315870432848E-2</v>
      </c>
      <c r="F9" s="4">
        <v>203.82490000000001</v>
      </c>
      <c r="G9" s="4">
        <v>203.82490000000001</v>
      </c>
      <c r="H9" s="59">
        <v>1773</v>
      </c>
      <c r="I9" s="5">
        <v>1.3599999999999999E-2</v>
      </c>
      <c r="J9" s="5">
        <v>0.1789</v>
      </c>
      <c r="K9" s="4">
        <v>610341062.53999996</v>
      </c>
      <c r="L9" s="3">
        <f t="shared" si="1"/>
        <v>2.1192634626528272E-2</v>
      </c>
      <c r="M9" s="4">
        <v>203.82490000000001</v>
      </c>
      <c r="N9" s="4">
        <v>203.82490000000001</v>
      </c>
      <c r="O9" s="59">
        <v>1773</v>
      </c>
      <c r="P9" s="5">
        <v>1.3599999999999999E-2</v>
      </c>
      <c r="Q9" s="5">
        <v>0.1789</v>
      </c>
      <c r="R9" s="79">
        <f t="shared" si="2"/>
        <v>0</v>
      </c>
      <c r="S9" s="79">
        <f t="shared" si="3"/>
        <v>0</v>
      </c>
      <c r="T9" s="79">
        <f t="shared" si="4"/>
        <v>0</v>
      </c>
      <c r="U9" s="80">
        <f t="shared" si="5"/>
        <v>0</v>
      </c>
      <c r="V9" s="82">
        <f t="shared" si="6"/>
        <v>0</v>
      </c>
    </row>
    <row r="10" spans="1:25">
      <c r="A10" s="74">
        <v>5</v>
      </c>
      <c r="B10" s="134" t="s">
        <v>266</v>
      </c>
      <c r="C10" s="135" t="s">
        <v>99</v>
      </c>
      <c r="D10" s="4">
        <v>614905067.77999997</v>
      </c>
      <c r="E10" s="3">
        <f t="shared" si="0"/>
        <v>2.1907922880954292E-2</v>
      </c>
      <c r="F10" s="4">
        <v>0.9</v>
      </c>
      <c r="G10" s="4">
        <v>0.90810000000000002</v>
      </c>
      <c r="H10" s="59">
        <v>540</v>
      </c>
      <c r="I10" s="5">
        <v>4.1599999999999998E-2</v>
      </c>
      <c r="J10" s="5">
        <v>-9.5100000000000004E-2</v>
      </c>
      <c r="K10" s="4">
        <v>620619964.37</v>
      </c>
      <c r="L10" s="3">
        <f t="shared" si="1"/>
        <v>2.1549544925072814E-2</v>
      </c>
      <c r="M10" s="4">
        <v>0.90859999999999996</v>
      </c>
      <c r="N10" s="4">
        <v>0.91700000000000004</v>
      </c>
      <c r="O10" s="59">
        <v>539</v>
      </c>
      <c r="P10" s="5">
        <v>9.2999999999999992E-3</v>
      </c>
      <c r="Q10" s="5">
        <v>-8.6300000000000002E-2</v>
      </c>
      <c r="R10" s="79">
        <f>((K10-D10)/D10)</f>
        <v>9.2939494069102426E-3</v>
      </c>
      <c r="S10" s="79">
        <f>((N10-G10)/G10)</f>
        <v>9.8006827441911894E-3</v>
      </c>
      <c r="T10" s="79">
        <f>((O10-H10)/H10)</f>
        <v>-1.8518518518518519E-3</v>
      </c>
      <c r="U10" s="80">
        <f>P10-I10</f>
        <v>-3.2299999999999995E-2</v>
      </c>
      <c r="V10" s="82">
        <f>Q10-J10</f>
        <v>8.8000000000000023E-3</v>
      </c>
    </row>
    <row r="11" spans="1:25">
      <c r="A11" s="74">
        <v>6</v>
      </c>
      <c r="B11" s="134" t="s">
        <v>24</v>
      </c>
      <c r="C11" s="135" t="s">
        <v>25</v>
      </c>
      <c r="D11" s="7">
        <v>87030050.069999993</v>
      </c>
      <c r="E11" s="3">
        <f t="shared" si="0"/>
        <v>3.1007186721403127E-3</v>
      </c>
      <c r="F11" s="4">
        <v>154.9128</v>
      </c>
      <c r="G11" s="4">
        <v>155.42760000000001</v>
      </c>
      <c r="H11" s="61">
        <v>93</v>
      </c>
      <c r="I11" s="6">
        <v>9.3800000000000003E-4</v>
      </c>
      <c r="J11" s="6">
        <v>0.31940000000000002</v>
      </c>
      <c r="K11" s="7">
        <v>87332379.409999996</v>
      </c>
      <c r="L11" s="3">
        <f t="shared" si="1"/>
        <v>3.0324081427507994E-3</v>
      </c>
      <c r="M11" s="4">
        <v>155.43299999999999</v>
      </c>
      <c r="N11" s="4">
        <v>155.94900000000001</v>
      </c>
      <c r="O11" s="61">
        <v>95</v>
      </c>
      <c r="P11" s="6">
        <v>5.9199999999999997E-4</v>
      </c>
      <c r="Q11" s="6">
        <v>0.31990000000000002</v>
      </c>
      <c r="R11" s="79">
        <f t="shared" si="2"/>
        <v>3.4738500064843592E-3</v>
      </c>
      <c r="S11" s="79">
        <f t="shared" si="3"/>
        <v>3.354616554588759E-3</v>
      </c>
      <c r="T11" s="79">
        <f t="shared" si="4"/>
        <v>2.1505376344086023E-2</v>
      </c>
      <c r="U11" s="80">
        <f t="shared" si="5"/>
        <v>-3.4600000000000006E-4</v>
      </c>
      <c r="V11" s="82">
        <f t="shared" si="6"/>
        <v>5.0000000000000044E-4</v>
      </c>
    </row>
    <row r="12" spans="1:25">
      <c r="A12" s="74">
        <v>7</v>
      </c>
      <c r="B12" s="134" t="s">
        <v>26</v>
      </c>
      <c r="C12" s="135" t="s">
        <v>27</v>
      </c>
      <c r="D12" s="4">
        <v>1071352866.87</v>
      </c>
      <c r="E12" s="3">
        <f t="shared" si="0"/>
        <v>3.8170308256549802E-2</v>
      </c>
      <c r="F12" s="4">
        <v>290.24</v>
      </c>
      <c r="G12" s="4">
        <v>294.27999999999997</v>
      </c>
      <c r="H12" s="61">
        <v>1618</v>
      </c>
      <c r="I12" s="6">
        <v>5.33E-2</v>
      </c>
      <c r="J12" s="6">
        <v>0.1671</v>
      </c>
      <c r="K12" s="4">
        <v>1092165472.26</v>
      </c>
      <c r="L12" s="3">
        <f t="shared" si="1"/>
        <v>3.7922835650270485E-2</v>
      </c>
      <c r="M12" s="4">
        <v>296.31</v>
      </c>
      <c r="N12" s="4">
        <v>300.47000000000003</v>
      </c>
      <c r="O12" s="61">
        <v>1619</v>
      </c>
      <c r="P12" s="6">
        <v>2.1000000000000001E-2</v>
      </c>
      <c r="Q12" s="6">
        <v>0.1915</v>
      </c>
      <c r="R12" s="79">
        <f t="shared" si="2"/>
        <v>1.9426470991583605E-2</v>
      </c>
      <c r="S12" s="79">
        <f t="shared" si="3"/>
        <v>2.1034389017262657E-2</v>
      </c>
      <c r="T12" s="79">
        <f t="shared" si="4"/>
        <v>6.1804697156983925E-4</v>
      </c>
      <c r="U12" s="80">
        <f t="shared" si="5"/>
        <v>-3.2299999999999995E-2</v>
      </c>
      <c r="V12" s="82">
        <f t="shared" si="6"/>
        <v>2.4400000000000005E-2</v>
      </c>
    </row>
    <row r="13" spans="1:25">
      <c r="A13" s="74">
        <v>8</v>
      </c>
      <c r="B13" s="134" t="s">
        <v>28</v>
      </c>
      <c r="C13" s="135" t="s">
        <v>29</v>
      </c>
      <c r="D13" s="2">
        <v>327620945.06999999</v>
      </c>
      <c r="E13" s="3">
        <f t="shared" si="0"/>
        <v>1.1672524386068124E-2</v>
      </c>
      <c r="F13" s="4">
        <v>164.58</v>
      </c>
      <c r="G13" s="4">
        <v>167.19</v>
      </c>
      <c r="H13" s="59">
        <v>2466</v>
      </c>
      <c r="I13" s="5">
        <v>2.0969999999999999E-2</v>
      </c>
      <c r="J13" s="5">
        <v>-1.9130000000000001E-2</v>
      </c>
      <c r="K13" s="2">
        <v>328659558.18000001</v>
      </c>
      <c r="L13" s="3">
        <f t="shared" si="1"/>
        <v>1.1411917631821594E-2</v>
      </c>
      <c r="M13" s="4">
        <v>165.1</v>
      </c>
      <c r="N13" s="4">
        <v>167.72</v>
      </c>
      <c r="O13" s="59">
        <v>2466</v>
      </c>
      <c r="P13" s="5">
        <v>3.16E-3</v>
      </c>
      <c r="Q13" s="5">
        <v>-1.6029999999999999E-2</v>
      </c>
      <c r="R13" s="79">
        <f t="shared" si="2"/>
        <v>3.1701670043656782E-3</v>
      </c>
      <c r="S13" s="79">
        <f t="shared" si="3"/>
        <v>3.1700460553860947E-3</v>
      </c>
      <c r="T13" s="79">
        <f t="shared" si="4"/>
        <v>0</v>
      </c>
      <c r="U13" s="80">
        <f t="shared" si="5"/>
        <v>-1.7809999999999999E-2</v>
      </c>
      <c r="V13" s="82">
        <f t="shared" si="6"/>
        <v>3.1000000000000021E-3</v>
      </c>
    </row>
    <row r="14" spans="1:25">
      <c r="A14" s="74">
        <v>9</v>
      </c>
      <c r="B14" s="134" t="s">
        <v>30</v>
      </c>
      <c r="C14" s="135" t="s">
        <v>31</v>
      </c>
      <c r="D14" s="7">
        <v>52622220.619999997</v>
      </c>
      <c r="E14" s="3">
        <f t="shared" si="0"/>
        <v>1.8748317611524154E-3</v>
      </c>
      <c r="F14" s="4">
        <v>188.21</v>
      </c>
      <c r="G14" s="4">
        <v>193.36</v>
      </c>
      <c r="H14" s="59">
        <v>13</v>
      </c>
      <c r="I14" s="5">
        <v>3.78E-2</v>
      </c>
      <c r="J14" s="5">
        <v>4.2500000000000003E-2</v>
      </c>
      <c r="K14" s="7">
        <v>52622220.619999997</v>
      </c>
      <c r="L14" s="3">
        <f t="shared" si="1"/>
        <v>1.8271808391773327E-3</v>
      </c>
      <c r="M14" s="4">
        <v>188.03</v>
      </c>
      <c r="N14" s="4">
        <v>193.16</v>
      </c>
      <c r="O14" s="59">
        <v>13</v>
      </c>
      <c r="P14" s="5">
        <v>-1E-3</v>
      </c>
      <c r="Q14" s="5">
        <v>4.1399999999999999E-2</v>
      </c>
      <c r="R14" s="79">
        <f t="shared" si="2"/>
        <v>0</v>
      </c>
      <c r="S14" s="79">
        <f t="shared" si="3"/>
        <v>-1.0343400910220162E-3</v>
      </c>
      <c r="T14" s="79">
        <f t="shared" si="4"/>
        <v>0</v>
      </c>
      <c r="U14" s="80">
        <f t="shared" si="5"/>
        <v>-3.8800000000000001E-2</v>
      </c>
      <c r="V14" s="82">
        <f t="shared" si="6"/>
        <v>-1.1000000000000038E-3</v>
      </c>
    </row>
    <row r="15" spans="1:25" ht="14.25" customHeight="1">
      <c r="A15" s="74">
        <v>10</v>
      </c>
      <c r="B15" s="134" t="s">
        <v>238</v>
      </c>
      <c r="C15" s="135" t="s">
        <v>32</v>
      </c>
      <c r="D15" s="2">
        <v>530559339.44</v>
      </c>
      <c r="E15" s="3">
        <f t="shared" si="0"/>
        <v>1.8902841595021942E-2</v>
      </c>
      <c r="F15" s="4">
        <v>1.759884</v>
      </c>
      <c r="G15" s="4">
        <v>1.7755320000000001</v>
      </c>
      <c r="H15" s="59">
        <v>457</v>
      </c>
      <c r="I15" s="5">
        <v>5.8857080971806086E-2</v>
      </c>
      <c r="J15" s="5">
        <v>3.8463444857496754E-2</v>
      </c>
      <c r="K15" s="2">
        <v>536848507.81</v>
      </c>
      <c r="L15" s="3">
        <f t="shared" si="1"/>
        <v>1.864078131736157E-2</v>
      </c>
      <c r="M15" s="4">
        <v>1.7800940000000001</v>
      </c>
      <c r="N15" s="4">
        <v>1.796691</v>
      </c>
      <c r="O15" s="59">
        <v>460</v>
      </c>
      <c r="P15" s="5">
        <v>1.1483711426435006E-2</v>
      </c>
      <c r="Q15" s="5">
        <v>5.0388859385141815E-2</v>
      </c>
      <c r="R15" s="79">
        <f t="shared" si="2"/>
        <v>1.185384537126075E-2</v>
      </c>
      <c r="S15" s="79">
        <f t="shared" si="3"/>
        <v>1.1916991639688795E-2</v>
      </c>
      <c r="T15" s="79">
        <f t="shared" si="4"/>
        <v>6.5645514223194746E-3</v>
      </c>
      <c r="U15" s="80">
        <f t="shared" si="5"/>
        <v>-4.737336954537108E-2</v>
      </c>
      <c r="V15" s="82">
        <f t="shared" si="6"/>
        <v>1.1925414527645062E-2</v>
      </c>
    </row>
    <row r="16" spans="1:25">
      <c r="A16" s="74">
        <v>11</v>
      </c>
      <c r="B16" s="134" t="s">
        <v>33</v>
      </c>
      <c r="C16" s="135" t="s">
        <v>34</v>
      </c>
      <c r="D16" s="2">
        <v>1636880514.6400001</v>
      </c>
      <c r="E16" s="3">
        <f t="shared" si="0"/>
        <v>5.831900558168774E-2</v>
      </c>
      <c r="F16" s="4">
        <v>3.31</v>
      </c>
      <c r="G16" s="4">
        <v>3.38</v>
      </c>
      <c r="H16" s="59">
        <v>3668</v>
      </c>
      <c r="I16" s="5">
        <v>9.7999999999999997E-3</v>
      </c>
      <c r="J16" s="5">
        <v>0.19500000000000001</v>
      </c>
      <c r="K16" s="2">
        <v>1638186737.3499999</v>
      </c>
      <c r="L16" s="3">
        <f t="shared" si="1"/>
        <v>5.6882119040463058E-2</v>
      </c>
      <c r="M16" s="4">
        <v>3.32</v>
      </c>
      <c r="N16" s="4">
        <v>3.38</v>
      </c>
      <c r="O16" s="59">
        <v>3668</v>
      </c>
      <c r="P16" s="5">
        <v>-8.3000000000000001E-3</v>
      </c>
      <c r="Q16" s="5">
        <v>0.19589999999999999</v>
      </c>
      <c r="R16" s="79">
        <f t="shared" si="2"/>
        <v>7.9799514889275708E-4</v>
      </c>
      <c r="S16" s="79">
        <f t="shared" si="3"/>
        <v>0</v>
      </c>
      <c r="T16" s="79">
        <f t="shared" si="4"/>
        <v>0</v>
      </c>
      <c r="U16" s="80">
        <f t="shared" si="5"/>
        <v>-1.8099999999999998E-2</v>
      </c>
      <c r="V16" s="82">
        <f t="shared" si="6"/>
        <v>8.9999999999998415E-4</v>
      </c>
    </row>
    <row r="17" spans="1:22">
      <c r="A17" s="74">
        <v>12</v>
      </c>
      <c r="B17" s="134" t="s">
        <v>35</v>
      </c>
      <c r="C17" s="135" t="s">
        <v>36</v>
      </c>
      <c r="D17" s="4">
        <v>574656140.21000004</v>
      </c>
      <c r="E17" s="3">
        <f t="shared" si="0"/>
        <v>2.0473928517518419E-2</v>
      </c>
      <c r="F17" s="4">
        <v>19.28</v>
      </c>
      <c r="G17" s="4">
        <v>19.45</v>
      </c>
      <c r="H17" s="59">
        <v>327</v>
      </c>
      <c r="I17" s="5">
        <v>5.7579970039338679E-3</v>
      </c>
      <c r="J17" s="5">
        <v>0.1043</v>
      </c>
      <c r="K17" s="4">
        <v>591792376.87</v>
      </c>
      <c r="L17" s="3">
        <f t="shared" si="1"/>
        <v>2.054857584966879E-2</v>
      </c>
      <c r="M17" s="4">
        <v>19.409434000000001</v>
      </c>
      <c r="N17" s="4">
        <v>19.590194</v>
      </c>
      <c r="O17" s="59">
        <v>326</v>
      </c>
      <c r="P17" s="5">
        <v>5.7579970039338679E-3</v>
      </c>
      <c r="Q17" s="5">
        <v>0.11149252217644245</v>
      </c>
      <c r="R17" s="79">
        <f t="shared" si="2"/>
        <v>2.9819983570936473E-2</v>
      </c>
      <c r="S17" s="79">
        <f t="shared" si="3"/>
        <v>7.2079177377892571E-3</v>
      </c>
      <c r="T17" s="79">
        <f t="shared" si="4"/>
        <v>-3.0581039755351682E-3</v>
      </c>
      <c r="U17" s="80">
        <f t="shared" si="5"/>
        <v>0</v>
      </c>
      <c r="V17" s="82">
        <f t="shared" si="6"/>
        <v>7.1925221764424507E-3</v>
      </c>
    </row>
    <row r="18" spans="1:22">
      <c r="A18" s="74">
        <v>13</v>
      </c>
      <c r="B18" s="134" t="s">
        <v>37</v>
      </c>
      <c r="C18" s="135" t="s">
        <v>38</v>
      </c>
      <c r="D18" s="4">
        <v>355158155.19</v>
      </c>
      <c r="E18" s="3">
        <f t="shared" si="0"/>
        <v>1.2653623920413538E-2</v>
      </c>
      <c r="F18" s="4">
        <v>2.5538859999999999</v>
      </c>
      <c r="G18" s="4">
        <v>2.5868350000000002</v>
      </c>
      <c r="H18" s="59">
        <v>22</v>
      </c>
      <c r="I18" s="5">
        <v>2.6599999999999999E-2</v>
      </c>
      <c r="J18" s="5">
        <v>0.18410000000000001</v>
      </c>
      <c r="K18" s="4">
        <v>357932948.72000003</v>
      </c>
      <c r="L18" s="3">
        <f t="shared" si="1"/>
        <v>1.2428366152280155E-2</v>
      </c>
      <c r="M18" s="4">
        <v>2.573839</v>
      </c>
      <c r="N18" s="4">
        <v>2.607672</v>
      </c>
      <c r="O18" s="59">
        <v>22</v>
      </c>
      <c r="P18" s="5">
        <v>6.7999999999999996E-3</v>
      </c>
      <c r="Q18" s="5">
        <v>0.19350000000000001</v>
      </c>
      <c r="R18" s="79">
        <f t="shared" si="2"/>
        <v>7.8128391237858291E-3</v>
      </c>
      <c r="S18" s="79">
        <f t="shared" si="3"/>
        <v>8.0550170381952346E-3</v>
      </c>
      <c r="T18" s="79">
        <f t="shared" si="4"/>
        <v>0</v>
      </c>
      <c r="U18" s="80">
        <f t="shared" si="5"/>
        <v>-1.9799999999999998E-2</v>
      </c>
      <c r="V18" s="82">
        <f t="shared" si="6"/>
        <v>9.3999999999999917E-3</v>
      </c>
    </row>
    <row r="19" spans="1:22">
      <c r="A19" s="74">
        <v>14</v>
      </c>
      <c r="B19" s="134" t="s">
        <v>39</v>
      </c>
      <c r="C19" s="135" t="s">
        <v>40</v>
      </c>
      <c r="D19" s="2">
        <v>1439903167.03</v>
      </c>
      <c r="E19" s="3">
        <f t="shared" si="0"/>
        <v>5.1301069371933232E-2</v>
      </c>
      <c r="F19" s="4">
        <v>26.37</v>
      </c>
      <c r="G19" s="4">
        <v>26.83</v>
      </c>
      <c r="H19" s="59">
        <v>8834</v>
      </c>
      <c r="I19" s="5">
        <v>3.2599999999999997E-2</v>
      </c>
      <c r="J19" s="5">
        <v>4.5999999999999999E-2</v>
      </c>
      <c r="K19" s="2">
        <v>1451702369.8499999</v>
      </c>
      <c r="L19" s="3">
        <f t="shared" si="1"/>
        <v>5.0406895093478961E-2</v>
      </c>
      <c r="M19" s="4">
        <v>26.48</v>
      </c>
      <c r="N19" s="4">
        <v>26.94</v>
      </c>
      <c r="O19" s="59">
        <v>8834</v>
      </c>
      <c r="P19" s="5">
        <v>7.4000000000000003E-3</v>
      </c>
      <c r="Q19" s="5">
        <v>5.0299999999999997E-2</v>
      </c>
      <c r="R19" s="79">
        <f t="shared" si="2"/>
        <v>8.1944418834340275E-3</v>
      </c>
      <c r="S19" s="79">
        <f t="shared" si="3"/>
        <v>4.0998881848677967E-3</v>
      </c>
      <c r="T19" s="79">
        <f t="shared" si="4"/>
        <v>0</v>
      </c>
      <c r="U19" s="80">
        <f t="shared" si="5"/>
        <v>-2.5199999999999997E-2</v>
      </c>
      <c r="V19" s="82">
        <f t="shared" si="6"/>
        <v>4.2999999999999983E-3</v>
      </c>
    </row>
    <row r="20" spans="1:22" ht="12.75" customHeight="1">
      <c r="A20" s="74">
        <v>15</v>
      </c>
      <c r="B20" s="134" t="s">
        <v>41</v>
      </c>
      <c r="C20" s="135" t="s">
        <v>42</v>
      </c>
      <c r="D20" s="4">
        <v>637110702.75999999</v>
      </c>
      <c r="E20" s="3">
        <f t="shared" si="0"/>
        <v>2.2699068318120397E-2</v>
      </c>
      <c r="F20" s="4">
        <v>6269.85</v>
      </c>
      <c r="G20" s="4">
        <v>6346.9</v>
      </c>
      <c r="H20" s="59">
        <v>20</v>
      </c>
      <c r="I20" s="5">
        <v>5.1200000000000002E-2</v>
      </c>
      <c r="J20" s="5">
        <v>0.1651</v>
      </c>
      <c r="K20" s="4">
        <v>646839246.50999999</v>
      </c>
      <c r="L20" s="3">
        <f t="shared" si="1"/>
        <v>2.2459946830935835E-2</v>
      </c>
      <c r="M20" s="4">
        <v>6365.35</v>
      </c>
      <c r="N20" s="4">
        <v>6443.98</v>
      </c>
      <c r="O20" s="59">
        <v>20</v>
      </c>
      <c r="P20" s="5">
        <v>1.5299999999999999E-2</v>
      </c>
      <c r="Q20" s="5">
        <v>0.18290000000000001</v>
      </c>
      <c r="R20" s="79">
        <f t="shared" si="2"/>
        <v>1.5269785467196505E-2</v>
      </c>
      <c r="S20" s="79">
        <f t="shared" si="3"/>
        <v>1.5295656147095422E-2</v>
      </c>
      <c r="T20" s="79">
        <f t="shared" si="4"/>
        <v>0</v>
      </c>
      <c r="U20" s="80">
        <f t="shared" si="5"/>
        <v>-3.5900000000000001E-2</v>
      </c>
      <c r="V20" s="82">
        <f t="shared" si="6"/>
        <v>1.780000000000001E-2</v>
      </c>
    </row>
    <row r="21" spans="1:22">
      <c r="A21" s="74">
        <v>16</v>
      </c>
      <c r="B21" s="134" t="s">
        <v>43</v>
      </c>
      <c r="C21" s="135" t="s">
        <v>42</v>
      </c>
      <c r="D21" s="4">
        <v>11358016792.559999</v>
      </c>
      <c r="E21" s="3">
        <f t="shared" si="0"/>
        <v>0.40466499466388295</v>
      </c>
      <c r="F21" s="4">
        <v>20055.169999999998</v>
      </c>
      <c r="G21" s="4">
        <v>20322.07</v>
      </c>
      <c r="H21" s="59">
        <v>17381</v>
      </c>
      <c r="I21" s="5">
        <v>4.1500000000000002E-2</v>
      </c>
      <c r="J21" s="5">
        <v>0.1067</v>
      </c>
      <c r="K21" s="151">
        <v>11981465525.690001</v>
      </c>
      <c r="L21" s="3">
        <f t="shared" si="1"/>
        <v>0.41602775359662381</v>
      </c>
      <c r="M21" s="4">
        <v>20329.97</v>
      </c>
      <c r="N21" s="4">
        <v>20601.439999999999</v>
      </c>
      <c r="O21" s="59">
        <v>17380</v>
      </c>
      <c r="P21" s="5">
        <v>1.37E-2</v>
      </c>
      <c r="Q21" s="5">
        <v>0.12189999999999999</v>
      </c>
      <c r="R21" s="79">
        <f t="shared" si="2"/>
        <v>5.4890633155110974E-2</v>
      </c>
      <c r="S21" s="79">
        <f t="shared" si="3"/>
        <v>1.3747123201524204E-2</v>
      </c>
      <c r="T21" s="79">
        <f t="shared" si="4"/>
        <v>-5.7534088947701514E-5</v>
      </c>
      <c r="U21" s="80">
        <f t="shared" si="5"/>
        <v>-2.7800000000000002E-2</v>
      </c>
      <c r="V21" s="82">
        <f t="shared" si="6"/>
        <v>1.5199999999999991E-2</v>
      </c>
    </row>
    <row r="22" spans="1:22">
      <c r="A22" s="74">
        <v>17</v>
      </c>
      <c r="B22" s="135" t="s">
        <v>44</v>
      </c>
      <c r="C22" s="135" t="s">
        <v>45</v>
      </c>
      <c r="D22" s="4">
        <v>3146552009.2399998</v>
      </c>
      <c r="E22" s="3">
        <f t="shared" si="0"/>
        <v>0.11210579058685684</v>
      </c>
      <c r="F22" s="4">
        <v>1.5567</v>
      </c>
      <c r="G22" s="8">
        <v>1.5719000000000001</v>
      </c>
      <c r="H22" s="59">
        <v>3173</v>
      </c>
      <c r="I22" s="5">
        <v>1.8499999999999999E-2</v>
      </c>
      <c r="J22" s="5">
        <v>0.14530000000000001</v>
      </c>
      <c r="K22" s="4">
        <v>3168971318.3200002</v>
      </c>
      <c r="L22" s="3">
        <f t="shared" si="1"/>
        <v>0.1100349549014687</v>
      </c>
      <c r="M22" s="4">
        <v>1.5681</v>
      </c>
      <c r="N22" s="8">
        <v>1.5834999999999999</v>
      </c>
      <c r="O22" s="59">
        <v>3833</v>
      </c>
      <c r="P22" s="5">
        <v>7.3000000000000001E-3</v>
      </c>
      <c r="Q22" s="5">
        <v>0.1537</v>
      </c>
      <c r="R22" s="79">
        <f t="shared" si="2"/>
        <v>7.125040048333869E-3</v>
      </c>
      <c r="S22" s="79">
        <f t="shared" si="3"/>
        <v>7.3796043005279165E-3</v>
      </c>
      <c r="T22" s="79">
        <f t="shared" si="4"/>
        <v>0.20800504254648597</v>
      </c>
      <c r="U22" s="80">
        <f t="shared" si="5"/>
        <v>-1.1199999999999998E-2</v>
      </c>
      <c r="V22" s="82">
        <f t="shared" si="6"/>
        <v>8.3999999999999908E-3</v>
      </c>
    </row>
    <row r="23" spans="1:22">
      <c r="A23" s="74"/>
      <c r="B23" s="19"/>
      <c r="C23" s="70" t="s">
        <v>46</v>
      </c>
      <c r="D23" s="57">
        <f>SUM(D6:D22)</f>
        <v>28067702772.25</v>
      </c>
      <c r="E23" s="99">
        <f>(D23/$D$196)</f>
        <v>9.5852774469635665E-3</v>
      </c>
      <c r="F23" s="30"/>
      <c r="G23" s="31"/>
      <c r="H23" s="64">
        <f>SUM(H6:H22)</f>
        <v>49038</v>
      </c>
      <c r="I23" s="28"/>
      <c r="J23" s="59">
        <v>0</v>
      </c>
      <c r="K23" s="57">
        <f>SUM(K6:K22)</f>
        <v>28799678439.980003</v>
      </c>
      <c r="L23" s="99">
        <f>(K23/$K$196)</f>
        <v>9.8096791056797254E-3</v>
      </c>
      <c r="M23" s="30"/>
      <c r="N23" s="31"/>
      <c r="O23" s="64">
        <f>SUM(O6:O22)</f>
        <v>49710</v>
      </c>
      <c r="P23" s="28"/>
      <c r="Q23" s="64"/>
      <c r="R23" s="79">
        <f t="shared" si="2"/>
        <v>2.6078930422966204E-2</v>
      </c>
      <c r="S23" s="79" t="e">
        <f t="shared" si="3"/>
        <v>#DIV/0!</v>
      </c>
      <c r="T23" s="79">
        <f t="shared" si="4"/>
        <v>1.3703658387373058E-2</v>
      </c>
      <c r="U23" s="80">
        <f t="shared" si="5"/>
        <v>0</v>
      </c>
      <c r="V23" s="82">
        <f t="shared" si="6"/>
        <v>0</v>
      </c>
    </row>
    <row r="24" spans="1:22" ht="9" customHeight="1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</row>
    <row r="25" spans="1:22" ht="15" customHeight="1">
      <c r="A25" s="165" t="s">
        <v>47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</row>
    <row r="26" spans="1:22">
      <c r="A26" s="74">
        <v>18</v>
      </c>
      <c r="B26" s="134" t="s">
        <v>48</v>
      </c>
      <c r="C26" s="135" t="s">
        <v>17</v>
      </c>
      <c r="D26" s="9">
        <v>945977301.04999995</v>
      </c>
      <c r="E26" s="3">
        <f>(D26/$K$60)</f>
        <v>9.0669895594581995E-4</v>
      </c>
      <c r="F26" s="8">
        <v>100</v>
      </c>
      <c r="G26" s="8">
        <v>100</v>
      </c>
      <c r="H26" s="59">
        <v>801</v>
      </c>
      <c r="I26" s="5">
        <v>0.152</v>
      </c>
      <c r="J26" s="5">
        <v>0.152</v>
      </c>
      <c r="K26" s="9">
        <v>1050400553.91</v>
      </c>
      <c r="L26" s="3">
        <f t="shared" ref="L26:L59" si="7">(K26/$K$60)</f>
        <v>1.0067864043862176E-3</v>
      </c>
      <c r="M26" s="8">
        <v>100</v>
      </c>
      <c r="N26" s="8">
        <v>100</v>
      </c>
      <c r="O26" s="59">
        <v>801</v>
      </c>
      <c r="P26" s="5">
        <v>0.18909999999999999</v>
      </c>
      <c r="Q26" s="5">
        <v>0.18909999999999999</v>
      </c>
      <c r="R26" s="79">
        <f>((K26-D26)/D26)</f>
        <v>0.11038663691411417</v>
      </c>
      <c r="S26" s="79">
        <f>((N26-G26)/G26)</f>
        <v>0</v>
      </c>
      <c r="T26" s="79">
        <f>((O26-H26)/H26)</f>
        <v>0</v>
      </c>
      <c r="U26" s="80">
        <f>P26-I26</f>
        <v>3.7099999999999994E-2</v>
      </c>
      <c r="V26" s="82">
        <f>Q26-J26</f>
        <v>3.7099999999999994E-2</v>
      </c>
    </row>
    <row r="27" spans="1:22">
      <c r="A27" s="74">
        <v>19</v>
      </c>
      <c r="B27" s="134" t="s">
        <v>49</v>
      </c>
      <c r="C27" s="135" t="s">
        <v>50</v>
      </c>
      <c r="D27" s="9">
        <v>5526227768.6599998</v>
      </c>
      <c r="E27" s="3">
        <f t="shared" ref="E27:E59" si="8">(D27/$K$60)</f>
        <v>5.2967708026410475E-3</v>
      </c>
      <c r="F27" s="8">
        <v>100</v>
      </c>
      <c r="G27" s="8">
        <v>100</v>
      </c>
      <c r="H27" s="59">
        <v>1465</v>
      </c>
      <c r="I27" s="5">
        <v>0.195854</v>
      </c>
      <c r="J27" s="5">
        <v>0.195854</v>
      </c>
      <c r="K27" s="9">
        <v>5733441080.6000004</v>
      </c>
      <c r="L27" s="3">
        <f t="shared" si="7"/>
        <v>5.4953803183086375E-3</v>
      </c>
      <c r="M27" s="8">
        <v>100</v>
      </c>
      <c r="N27" s="8">
        <v>100</v>
      </c>
      <c r="O27" s="59">
        <v>1476</v>
      </c>
      <c r="P27" s="5">
        <v>5.0850000000000001E-3</v>
      </c>
      <c r="Q27" s="5">
        <v>7.4832999999999997E-2</v>
      </c>
      <c r="R27" s="79">
        <f t="shared" ref="R27:R60" si="9">((K27-D27)/D27)</f>
        <v>3.7496339386359684E-2</v>
      </c>
      <c r="S27" s="79">
        <f t="shared" ref="S27:S60" si="10">((N27-G27)/G27)</f>
        <v>0</v>
      </c>
      <c r="T27" s="79">
        <f t="shared" ref="T27:T60" si="11">((O27-H27)/H27)</f>
        <v>7.5085324232081908E-3</v>
      </c>
      <c r="U27" s="80">
        <f t="shared" ref="U27:U60" si="12">P27-I27</f>
        <v>-0.19076899999999999</v>
      </c>
      <c r="V27" s="82">
        <f t="shared" ref="V27:V60" si="13">Q27-J27</f>
        <v>-0.121021</v>
      </c>
    </row>
    <row r="28" spans="1:22">
      <c r="A28" s="74">
        <v>20</v>
      </c>
      <c r="B28" s="134" t="s">
        <v>51</v>
      </c>
      <c r="C28" s="135" t="s">
        <v>19</v>
      </c>
      <c r="D28" s="9">
        <v>431757704.32999998</v>
      </c>
      <c r="E28" s="3">
        <f t="shared" si="8"/>
        <v>4.1383050026998853E-4</v>
      </c>
      <c r="F28" s="8">
        <v>100</v>
      </c>
      <c r="G28" s="8">
        <v>100</v>
      </c>
      <c r="H28" s="59">
        <v>1574</v>
      </c>
      <c r="I28" s="5">
        <v>0.16569999999999999</v>
      </c>
      <c r="J28" s="5">
        <v>0.16569999999999999</v>
      </c>
      <c r="K28" s="9">
        <v>431284552.57999998</v>
      </c>
      <c r="L28" s="3">
        <f t="shared" si="7"/>
        <v>4.1337699446466661E-4</v>
      </c>
      <c r="M28" s="8">
        <v>100</v>
      </c>
      <c r="N28" s="8">
        <v>100</v>
      </c>
      <c r="O28" s="59">
        <v>1604</v>
      </c>
      <c r="P28" s="5">
        <v>0.1663</v>
      </c>
      <c r="Q28" s="5">
        <v>0.1663</v>
      </c>
      <c r="R28" s="79">
        <f t="shared" si="9"/>
        <v>-1.0958733225947528E-3</v>
      </c>
      <c r="S28" s="79">
        <f t="shared" si="10"/>
        <v>0</v>
      </c>
      <c r="T28" s="79">
        <f t="shared" si="11"/>
        <v>1.9059720457433291E-2</v>
      </c>
      <c r="U28" s="80">
        <f t="shared" si="12"/>
        <v>6.0000000000001719E-4</v>
      </c>
      <c r="V28" s="82">
        <f t="shared" si="13"/>
        <v>6.0000000000001719E-4</v>
      </c>
    </row>
    <row r="29" spans="1:22">
      <c r="A29" s="74">
        <v>21</v>
      </c>
      <c r="B29" s="134" t="s">
        <v>52</v>
      </c>
      <c r="C29" s="135" t="s">
        <v>21</v>
      </c>
      <c r="D29" s="9">
        <v>88409536344.169998</v>
      </c>
      <c r="E29" s="3">
        <f t="shared" si="8"/>
        <v>8.473864458474574E-2</v>
      </c>
      <c r="F29" s="8">
        <v>1</v>
      </c>
      <c r="G29" s="8">
        <v>1</v>
      </c>
      <c r="H29" s="59">
        <v>58315</v>
      </c>
      <c r="I29" s="5">
        <v>0.1883</v>
      </c>
      <c r="J29" s="5">
        <v>0.1883</v>
      </c>
      <c r="K29" s="9">
        <v>89568580033.970001</v>
      </c>
      <c r="L29" s="3">
        <f t="shared" si="7"/>
        <v>8.5849563104958421E-2</v>
      </c>
      <c r="M29" s="8">
        <v>1</v>
      </c>
      <c r="N29" s="8">
        <v>1</v>
      </c>
      <c r="O29" s="59">
        <v>58442</v>
      </c>
      <c r="P29" s="5">
        <v>0.1895</v>
      </c>
      <c r="Q29" s="5">
        <v>0.1895</v>
      </c>
      <c r="R29" s="79">
        <f t="shared" si="9"/>
        <v>1.3109939693473283E-2</v>
      </c>
      <c r="S29" s="79">
        <f t="shared" si="10"/>
        <v>0</v>
      </c>
      <c r="T29" s="79">
        <f t="shared" si="11"/>
        <v>2.1778273171568206E-3</v>
      </c>
      <c r="U29" s="80">
        <f t="shared" si="12"/>
        <v>1.2000000000000066E-3</v>
      </c>
      <c r="V29" s="82">
        <f t="shared" si="13"/>
        <v>1.2000000000000066E-3</v>
      </c>
    </row>
    <row r="30" spans="1:22">
      <c r="A30" s="74">
        <v>22</v>
      </c>
      <c r="B30" s="134" t="s">
        <v>53</v>
      </c>
      <c r="C30" s="135" t="s">
        <v>23</v>
      </c>
      <c r="D30" s="9">
        <v>57213345249.019997</v>
      </c>
      <c r="E30" s="3">
        <f t="shared" si="8"/>
        <v>5.4837764443052196E-2</v>
      </c>
      <c r="F30" s="8">
        <v>1</v>
      </c>
      <c r="G30" s="8">
        <v>1</v>
      </c>
      <c r="H30" s="59">
        <v>27823</v>
      </c>
      <c r="I30" s="5">
        <v>0.1832</v>
      </c>
      <c r="J30" s="5">
        <v>0.1832</v>
      </c>
      <c r="K30" s="9">
        <v>57975100414.459999</v>
      </c>
      <c r="L30" s="3">
        <f t="shared" si="7"/>
        <v>5.5567890432781708E-2</v>
      </c>
      <c r="M30" s="8">
        <v>1</v>
      </c>
      <c r="N30" s="8">
        <v>1</v>
      </c>
      <c r="O30" s="59">
        <v>27869</v>
      </c>
      <c r="P30" s="5">
        <v>0.17860000000000001</v>
      </c>
      <c r="Q30" s="5">
        <v>0.17860000000000001</v>
      </c>
      <c r="R30" s="79">
        <f t="shared" si="9"/>
        <v>1.3314291659130882E-2</v>
      </c>
      <c r="S30" s="79">
        <f t="shared" si="10"/>
        <v>0</v>
      </c>
      <c r="T30" s="79">
        <f t="shared" si="11"/>
        <v>1.6533084139021673E-3</v>
      </c>
      <c r="U30" s="80">
        <f t="shared" si="12"/>
        <v>-4.599999999999993E-3</v>
      </c>
      <c r="V30" s="82">
        <f t="shared" si="13"/>
        <v>-4.599999999999993E-3</v>
      </c>
    </row>
    <row r="31" spans="1:22" ht="15" customHeight="1">
      <c r="A31" s="74">
        <v>23</v>
      </c>
      <c r="B31" s="134" t="s">
        <v>54</v>
      </c>
      <c r="C31" s="135" t="s">
        <v>40</v>
      </c>
      <c r="D31" s="9">
        <v>8311414335.8400002</v>
      </c>
      <c r="E31" s="3">
        <f t="shared" si="8"/>
        <v>7.9663123971099748E-3</v>
      </c>
      <c r="F31" s="8">
        <v>100</v>
      </c>
      <c r="G31" s="8">
        <v>100</v>
      </c>
      <c r="H31" s="59">
        <v>2891</v>
      </c>
      <c r="I31" s="5">
        <v>0.191</v>
      </c>
      <c r="J31" s="5">
        <v>0.191</v>
      </c>
      <c r="K31" s="9">
        <v>8298702177.8000002</v>
      </c>
      <c r="L31" s="3">
        <f t="shared" si="7"/>
        <v>7.9541280662492938E-3</v>
      </c>
      <c r="M31" s="8">
        <v>100</v>
      </c>
      <c r="N31" s="8">
        <v>100</v>
      </c>
      <c r="O31" s="59">
        <v>2891</v>
      </c>
      <c r="P31" s="5">
        <v>0.19900000000000001</v>
      </c>
      <c r="Q31" s="5">
        <v>0.19900000000000001</v>
      </c>
      <c r="R31" s="79">
        <f t="shared" si="9"/>
        <v>-1.5294819300709543E-3</v>
      </c>
      <c r="S31" s="79">
        <f t="shared" si="10"/>
        <v>0</v>
      </c>
      <c r="T31" s="79">
        <f t="shared" si="11"/>
        <v>0</v>
      </c>
      <c r="U31" s="80">
        <f t="shared" si="12"/>
        <v>8.0000000000000071E-3</v>
      </c>
      <c r="V31" s="82">
        <f t="shared" si="13"/>
        <v>8.0000000000000071E-3</v>
      </c>
    </row>
    <row r="32" spans="1:22" ht="15" customHeight="1">
      <c r="A32" s="74">
        <v>24</v>
      </c>
      <c r="B32" s="134" t="s">
        <v>270</v>
      </c>
      <c r="C32" s="135" t="s">
        <v>269</v>
      </c>
      <c r="D32" s="9">
        <v>250372264.31999999</v>
      </c>
      <c r="E32" s="3">
        <f t="shared" si="8"/>
        <v>2.3997644595146164E-4</v>
      </c>
      <c r="F32" s="8">
        <v>1</v>
      </c>
      <c r="G32" s="8">
        <v>1</v>
      </c>
      <c r="H32" s="59">
        <v>85</v>
      </c>
      <c r="I32" s="5">
        <v>0.16800000000000001</v>
      </c>
      <c r="J32" s="5">
        <v>0.16800000000000001</v>
      </c>
      <c r="K32" s="9">
        <v>250867158.63999999</v>
      </c>
      <c r="L32" s="3">
        <f t="shared" si="7"/>
        <v>2.4045079154384473E-4</v>
      </c>
      <c r="M32" s="8">
        <v>1</v>
      </c>
      <c r="N32" s="8">
        <v>1</v>
      </c>
      <c r="O32" s="59">
        <v>86</v>
      </c>
      <c r="P32" s="5">
        <v>0.17630000000000001</v>
      </c>
      <c r="Q32" s="5">
        <v>0.17630000000000001</v>
      </c>
      <c r="R32" s="79">
        <f t="shared" si="9"/>
        <v>1.9766339588137049E-3</v>
      </c>
      <c r="S32" s="79">
        <f t="shared" si="10"/>
        <v>0</v>
      </c>
      <c r="T32" s="79">
        <f t="shared" si="11"/>
        <v>1.1764705882352941E-2</v>
      </c>
      <c r="U32" s="80">
        <f t="shared" si="12"/>
        <v>8.3000000000000018E-3</v>
      </c>
      <c r="V32" s="82">
        <f t="shared" si="13"/>
        <v>8.3000000000000018E-3</v>
      </c>
    </row>
    <row r="33" spans="1:22">
      <c r="A33" s="74">
        <v>25</v>
      </c>
      <c r="B33" s="134" t="s">
        <v>55</v>
      </c>
      <c r="C33" s="135" t="s">
        <v>56</v>
      </c>
      <c r="D33" s="9">
        <v>20939569683.489998</v>
      </c>
      <c r="E33" s="3">
        <f t="shared" si="8"/>
        <v>2.0070128478665916E-2</v>
      </c>
      <c r="F33" s="8">
        <v>100</v>
      </c>
      <c r="G33" s="8">
        <v>100</v>
      </c>
      <c r="H33" s="59">
        <v>2464</v>
      </c>
      <c r="I33" s="5">
        <v>0.20905365508478099</v>
      </c>
      <c r="J33" s="5">
        <v>0.20905365508478099</v>
      </c>
      <c r="K33" s="9">
        <v>21394228155.099998</v>
      </c>
      <c r="L33" s="3">
        <f t="shared" si="7"/>
        <v>2.0505908873251644E-2</v>
      </c>
      <c r="M33" s="8">
        <v>100</v>
      </c>
      <c r="N33" s="8">
        <v>100</v>
      </c>
      <c r="O33" s="59">
        <v>2484</v>
      </c>
      <c r="P33" s="5">
        <v>0.21203796005449799</v>
      </c>
      <c r="Q33" s="5">
        <v>0.21203796005449799</v>
      </c>
      <c r="R33" s="79">
        <f t="shared" si="9"/>
        <v>2.1712885149138494E-2</v>
      </c>
      <c r="S33" s="79">
        <f t="shared" si="10"/>
        <v>0</v>
      </c>
      <c r="T33" s="79">
        <f t="shared" si="11"/>
        <v>8.1168831168831161E-3</v>
      </c>
      <c r="U33" s="80">
        <f t="shared" si="12"/>
        <v>2.9843049697169943E-3</v>
      </c>
      <c r="V33" s="82">
        <f t="shared" si="13"/>
        <v>2.9843049697169943E-3</v>
      </c>
    </row>
    <row r="34" spans="1:22">
      <c r="A34" s="74">
        <v>26</v>
      </c>
      <c r="B34" s="134" t="s">
        <v>57</v>
      </c>
      <c r="C34" s="135" t="s">
        <v>58</v>
      </c>
      <c r="D34" s="9">
        <v>7496224585.5500002</v>
      </c>
      <c r="E34" s="3">
        <f t="shared" si="8"/>
        <v>7.1849705037418483E-3</v>
      </c>
      <c r="F34" s="8">
        <v>100</v>
      </c>
      <c r="G34" s="8">
        <v>100</v>
      </c>
      <c r="H34" s="59">
        <v>6014</v>
      </c>
      <c r="I34" s="5">
        <v>0.1875</v>
      </c>
      <c r="J34" s="5">
        <v>0.1875</v>
      </c>
      <c r="K34" s="9">
        <v>7628666395.96</v>
      </c>
      <c r="L34" s="3">
        <f t="shared" si="7"/>
        <v>7.3119131387173724E-3</v>
      </c>
      <c r="M34" s="8">
        <v>100</v>
      </c>
      <c r="N34" s="8">
        <v>100</v>
      </c>
      <c r="O34" s="59">
        <v>6023</v>
      </c>
      <c r="P34" s="5">
        <v>0.19189999999999999</v>
      </c>
      <c r="Q34" s="5">
        <v>0.19189999999999999</v>
      </c>
      <c r="R34" s="79">
        <f t="shared" si="9"/>
        <v>1.7667801824574409E-2</v>
      </c>
      <c r="S34" s="79">
        <f t="shared" si="10"/>
        <v>0</v>
      </c>
      <c r="T34" s="79">
        <f t="shared" si="11"/>
        <v>1.4965081476554707E-3</v>
      </c>
      <c r="U34" s="80">
        <f t="shared" si="12"/>
        <v>4.3999999999999873E-3</v>
      </c>
      <c r="V34" s="82">
        <f t="shared" si="13"/>
        <v>4.3999999999999873E-3</v>
      </c>
    </row>
    <row r="35" spans="1:22">
      <c r="A35" s="74">
        <v>27</v>
      </c>
      <c r="B35" s="134" t="s">
        <v>59</v>
      </c>
      <c r="C35" s="135" t="s">
        <v>60</v>
      </c>
      <c r="D35" s="9">
        <v>44514190.369999997</v>
      </c>
      <c r="E35" s="3">
        <f t="shared" si="8"/>
        <v>4.2665896833310149E-5</v>
      </c>
      <c r="F35" s="8">
        <v>100</v>
      </c>
      <c r="G35" s="8">
        <v>100</v>
      </c>
      <c r="H35" s="59">
        <v>0</v>
      </c>
      <c r="I35" s="5">
        <v>0</v>
      </c>
      <c r="J35" s="5">
        <v>0</v>
      </c>
      <c r="K35" s="9">
        <v>44514190.369999997</v>
      </c>
      <c r="L35" s="3">
        <f t="shared" si="7"/>
        <v>4.2665896833310149E-5</v>
      </c>
      <c r="M35" s="8">
        <v>100</v>
      </c>
      <c r="N35" s="8">
        <v>100</v>
      </c>
      <c r="O35" s="59">
        <v>0</v>
      </c>
      <c r="P35" s="5">
        <v>0</v>
      </c>
      <c r="Q35" s="5">
        <v>0</v>
      </c>
      <c r="R35" s="79">
        <f t="shared" si="9"/>
        <v>0</v>
      </c>
      <c r="S35" s="79">
        <f t="shared" si="10"/>
        <v>0</v>
      </c>
      <c r="T35" s="79" t="e">
        <f t="shared" si="11"/>
        <v>#DIV/0!</v>
      </c>
      <c r="U35" s="80">
        <f t="shared" si="12"/>
        <v>0</v>
      </c>
      <c r="V35" s="82">
        <f t="shared" si="13"/>
        <v>0</v>
      </c>
    </row>
    <row r="36" spans="1:22">
      <c r="A36" s="74">
        <v>28</v>
      </c>
      <c r="B36" s="134" t="s">
        <v>61</v>
      </c>
      <c r="C36" s="135" t="s">
        <v>62</v>
      </c>
      <c r="D36" s="9">
        <v>5409136671.5799999</v>
      </c>
      <c r="E36" s="3">
        <f t="shared" si="8"/>
        <v>5.1845414971861013E-3</v>
      </c>
      <c r="F36" s="8">
        <v>1</v>
      </c>
      <c r="G36" s="8">
        <v>1</v>
      </c>
      <c r="H36" s="59">
        <v>2353</v>
      </c>
      <c r="I36" s="5">
        <v>0.1792</v>
      </c>
      <c r="J36" s="5">
        <v>0.1792</v>
      </c>
      <c r="K36" s="9">
        <v>5455820998.6000004</v>
      </c>
      <c r="L36" s="3">
        <f t="shared" si="7"/>
        <v>5.2292874234584168E-3</v>
      </c>
      <c r="M36" s="8">
        <v>1</v>
      </c>
      <c r="N36" s="8">
        <v>1</v>
      </c>
      <c r="O36" s="59">
        <v>2366</v>
      </c>
      <c r="P36" s="5">
        <v>0.18790000000000001</v>
      </c>
      <c r="Q36" s="5">
        <v>0.18790000000000001</v>
      </c>
      <c r="R36" s="79">
        <f t="shared" si="9"/>
        <v>8.6306429019039829E-3</v>
      </c>
      <c r="S36" s="79">
        <f t="shared" si="10"/>
        <v>0</v>
      </c>
      <c r="T36" s="79">
        <f t="shared" si="11"/>
        <v>5.5248618784530384E-3</v>
      </c>
      <c r="U36" s="80">
        <f t="shared" si="12"/>
        <v>8.7000000000000133E-3</v>
      </c>
      <c r="V36" s="82">
        <f t="shared" si="13"/>
        <v>8.7000000000000133E-3</v>
      </c>
    </row>
    <row r="37" spans="1:22">
      <c r="A37" s="74">
        <v>29</v>
      </c>
      <c r="B37" s="134" t="s">
        <v>63</v>
      </c>
      <c r="C37" s="135" t="s">
        <v>64</v>
      </c>
      <c r="D37" s="9">
        <v>14973123679.379999</v>
      </c>
      <c r="E37" s="3">
        <f t="shared" si="8"/>
        <v>1.4351417938118062E-2</v>
      </c>
      <c r="F37" s="11">
        <v>100</v>
      </c>
      <c r="G37" s="11">
        <v>100</v>
      </c>
      <c r="H37" s="59">
        <v>2758</v>
      </c>
      <c r="I37" s="5">
        <v>0.16700000000000001</v>
      </c>
      <c r="J37" s="5">
        <v>0.16700000000000001</v>
      </c>
      <c r="K37" s="9">
        <v>15181393246.75</v>
      </c>
      <c r="L37" s="3">
        <f t="shared" si="7"/>
        <v>1.4551039851963208E-2</v>
      </c>
      <c r="M37" s="11">
        <v>100</v>
      </c>
      <c r="N37" s="11">
        <v>100</v>
      </c>
      <c r="O37" s="59">
        <v>2758</v>
      </c>
      <c r="P37" s="5">
        <v>0.16819999999999999</v>
      </c>
      <c r="Q37" s="5">
        <v>0.16819999999999999</v>
      </c>
      <c r="R37" s="79">
        <f t="shared" si="9"/>
        <v>1.390956034490091E-2</v>
      </c>
      <c r="S37" s="79">
        <f t="shared" si="10"/>
        <v>0</v>
      </c>
      <c r="T37" s="79">
        <f t="shared" si="11"/>
        <v>0</v>
      </c>
      <c r="U37" s="80">
        <f t="shared" si="12"/>
        <v>1.1999999999999789E-3</v>
      </c>
      <c r="V37" s="82">
        <f t="shared" si="13"/>
        <v>1.1999999999999789E-3</v>
      </c>
    </row>
    <row r="38" spans="1:22">
      <c r="A38" s="74">
        <v>30</v>
      </c>
      <c r="B38" s="134" t="s">
        <v>65</v>
      </c>
      <c r="C38" s="135" t="s">
        <v>64</v>
      </c>
      <c r="D38" s="9">
        <v>533747181.08999997</v>
      </c>
      <c r="E38" s="3">
        <f t="shared" si="8"/>
        <v>5.1158522651247875E-4</v>
      </c>
      <c r="F38" s="11">
        <v>1000000</v>
      </c>
      <c r="G38" s="11">
        <v>1000000</v>
      </c>
      <c r="H38" s="59">
        <v>3</v>
      </c>
      <c r="I38" s="5">
        <v>0.16</v>
      </c>
      <c r="J38" s="5">
        <v>0.16</v>
      </c>
      <c r="K38" s="9">
        <v>535092009.56999999</v>
      </c>
      <c r="L38" s="3">
        <f t="shared" si="7"/>
        <v>5.1287421576982006E-4</v>
      </c>
      <c r="M38" s="11">
        <v>1000000</v>
      </c>
      <c r="N38" s="11">
        <v>1000000</v>
      </c>
      <c r="O38" s="59">
        <v>3</v>
      </c>
      <c r="P38" s="5">
        <v>0.16</v>
      </c>
      <c r="Q38" s="5">
        <v>0.16</v>
      </c>
      <c r="R38" s="79">
        <f t="shared" si="9"/>
        <v>2.5195982810694325E-3</v>
      </c>
      <c r="S38" s="79">
        <f t="shared" si="10"/>
        <v>0</v>
      </c>
      <c r="T38" s="79">
        <f t="shared" si="11"/>
        <v>0</v>
      </c>
      <c r="U38" s="80">
        <f t="shared" si="12"/>
        <v>0</v>
      </c>
      <c r="V38" s="82">
        <f t="shared" si="13"/>
        <v>0</v>
      </c>
    </row>
    <row r="39" spans="1:22">
      <c r="A39" s="74">
        <v>31</v>
      </c>
      <c r="B39" s="134" t="s">
        <v>66</v>
      </c>
      <c r="C39" s="135" t="s">
        <v>67</v>
      </c>
      <c r="D39" s="9">
        <v>3368340364.8400002</v>
      </c>
      <c r="E39" s="3">
        <f t="shared" si="8"/>
        <v>3.2284820034060909E-3</v>
      </c>
      <c r="F39" s="8">
        <v>1</v>
      </c>
      <c r="G39" s="8">
        <v>1</v>
      </c>
      <c r="H39" s="59">
        <v>546</v>
      </c>
      <c r="I39" s="5">
        <v>0.16850000000000001</v>
      </c>
      <c r="J39" s="5">
        <v>0.16850000000000001</v>
      </c>
      <c r="K39" s="9">
        <v>3454044426.1399999</v>
      </c>
      <c r="L39" s="3">
        <f t="shared" si="7"/>
        <v>3.3106275081817059E-3</v>
      </c>
      <c r="M39" s="8">
        <v>1</v>
      </c>
      <c r="N39" s="8">
        <v>1</v>
      </c>
      <c r="O39" s="59">
        <v>548</v>
      </c>
      <c r="P39" s="5">
        <v>0.19159999999999999</v>
      </c>
      <c r="Q39" s="5">
        <v>0.19159999999999999</v>
      </c>
      <c r="R39" s="79">
        <f t="shared" si="9"/>
        <v>2.5444002688864476E-2</v>
      </c>
      <c r="S39" s="79">
        <f t="shared" si="10"/>
        <v>0</v>
      </c>
      <c r="T39" s="79">
        <f t="shared" si="11"/>
        <v>3.663003663003663E-3</v>
      </c>
      <c r="U39" s="80">
        <f t="shared" si="12"/>
        <v>2.3099999999999982E-2</v>
      </c>
      <c r="V39" s="82">
        <f t="shared" si="13"/>
        <v>2.3099999999999982E-2</v>
      </c>
    </row>
    <row r="40" spans="1:22">
      <c r="A40" s="74">
        <v>32</v>
      </c>
      <c r="B40" s="134" t="s">
        <v>68</v>
      </c>
      <c r="C40" s="135" t="s">
        <v>27</v>
      </c>
      <c r="D40" s="9">
        <v>226007893884.29001</v>
      </c>
      <c r="E40" s="3">
        <f t="shared" si="8"/>
        <v>0.21662371939891636</v>
      </c>
      <c r="F40" s="8">
        <v>100</v>
      </c>
      <c r="G40" s="8">
        <v>100</v>
      </c>
      <c r="H40" s="59">
        <v>15413</v>
      </c>
      <c r="I40" s="5">
        <v>0.21049999999999999</v>
      </c>
      <c r="J40" s="5">
        <v>0.21049999999999999</v>
      </c>
      <c r="K40" s="9">
        <v>226504455098.62</v>
      </c>
      <c r="L40" s="3">
        <f t="shared" si="7"/>
        <v>0.2170996626737671</v>
      </c>
      <c r="M40" s="8">
        <v>100</v>
      </c>
      <c r="N40" s="8">
        <v>100</v>
      </c>
      <c r="O40" s="59">
        <v>15463</v>
      </c>
      <c r="P40" s="5">
        <v>0.21149999999999999</v>
      </c>
      <c r="Q40" s="5">
        <v>0.21149999999999999</v>
      </c>
      <c r="R40" s="79">
        <f t="shared" si="9"/>
        <v>2.1970967730189665E-3</v>
      </c>
      <c r="S40" s="79">
        <f t="shared" si="10"/>
        <v>0</v>
      </c>
      <c r="T40" s="79">
        <f t="shared" si="11"/>
        <v>3.2440147927074547E-3</v>
      </c>
      <c r="U40" s="80">
        <f t="shared" si="12"/>
        <v>1.0000000000000009E-3</v>
      </c>
      <c r="V40" s="82">
        <f t="shared" si="13"/>
        <v>1.0000000000000009E-3</v>
      </c>
    </row>
    <row r="41" spans="1:22">
      <c r="A41" s="74">
        <v>33</v>
      </c>
      <c r="B41" s="134" t="s">
        <v>69</v>
      </c>
      <c r="C41" s="135" t="s">
        <v>70</v>
      </c>
      <c r="D41" s="9">
        <v>583746853.90999997</v>
      </c>
      <c r="E41" s="3">
        <f t="shared" si="8"/>
        <v>5.5950884063430469E-4</v>
      </c>
      <c r="F41" s="8">
        <v>1</v>
      </c>
      <c r="G41" s="8">
        <v>1</v>
      </c>
      <c r="H41" s="60">
        <v>546</v>
      </c>
      <c r="I41" s="12">
        <v>0.16600000000000001</v>
      </c>
      <c r="J41" s="12">
        <v>0.16600000000000001</v>
      </c>
      <c r="K41" s="9">
        <v>586850257.47000003</v>
      </c>
      <c r="L41" s="3">
        <f t="shared" si="7"/>
        <v>5.6248338639201714E-4</v>
      </c>
      <c r="M41" s="8">
        <v>1</v>
      </c>
      <c r="N41" s="8">
        <v>1</v>
      </c>
      <c r="O41" s="60">
        <v>548</v>
      </c>
      <c r="P41" s="12">
        <v>0.1678</v>
      </c>
      <c r="Q41" s="12">
        <v>0.1678</v>
      </c>
      <c r="R41" s="79">
        <f t="shared" si="9"/>
        <v>5.3163516671878011E-3</v>
      </c>
      <c r="S41" s="79">
        <f t="shared" si="10"/>
        <v>0</v>
      </c>
      <c r="T41" s="79">
        <f t="shared" si="11"/>
        <v>3.663003663003663E-3</v>
      </c>
      <c r="U41" s="80">
        <f t="shared" si="12"/>
        <v>1.799999999999996E-3</v>
      </c>
      <c r="V41" s="82">
        <f t="shared" si="13"/>
        <v>1.799999999999996E-3</v>
      </c>
    </row>
    <row r="42" spans="1:22">
      <c r="A42" s="74">
        <v>34</v>
      </c>
      <c r="B42" s="134" t="s">
        <v>71</v>
      </c>
      <c r="C42" s="135" t="s">
        <v>72</v>
      </c>
      <c r="D42" s="9">
        <v>658229395.24000013</v>
      </c>
      <c r="E42" s="3">
        <f t="shared" si="8"/>
        <v>6.3089875917161323E-4</v>
      </c>
      <c r="F42" s="8">
        <v>10</v>
      </c>
      <c r="G42" s="8">
        <v>10</v>
      </c>
      <c r="H42" s="59">
        <v>358</v>
      </c>
      <c r="I42" s="5">
        <v>0.13900000000000001</v>
      </c>
      <c r="J42" s="5">
        <v>0.13900000000000001</v>
      </c>
      <c r="K42" s="9">
        <v>630767414.07000005</v>
      </c>
      <c r="L42" s="3">
        <f t="shared" si="7"/>
        <v>6.045770391605675E-4</v>
      </c>
      <c r="M42" s="8">
        <v>10</v>
      </c>
      <c r="N42" s="8">
        <v>10</v>
      </c>
      <c r="O42" s="59">
        <v>357</v>
      </c>
      <c r="P42" s="5">
        <v>0.14549999999999999</v>
      </c>
      <c r="Q42" s="5">
        <v>0.14549999999999999</v>
      </c>
      <c r="R42" s="79">
        <f t="shared" si="9"/>
        <v>-4.1720988713952883E-2</v>
      </c>
      <c r="S42" s="79">
        <f t="shared" si="10"/>
        <v>0</v>
      </c>
      <c r="T42" s="79">
        <f t="shared" si="11"/>
        <v>-2.7932960893854749E-3</v>
      </c>
      <c r="U42" s="80">
        <f t="shared" si="12"/>
        <v>6.499999999999978E-3</v>
      </c>
      <c r="V42" s="82">
        <f t="shared" si="13"/>
        <v>6.499999999999978E-3</v>
      </c>
    </row>
    <row r="43" spans="1:22">
      <c r="A43" s="74">
        <v>35</v>
      </c>
      <c r="B43" s="134" t="s">
        <v>73</v>
      </c>
      <c r="C43" s="135" t="s">
        <v>74</v>
      </c>
      <c r="D43" s="9">
        <v>3254710863.1599998</v>
      </c>
      <c r="E43" s="3">
        <f t="shared" si="8"/>
        <v>3.1195705629058347E-3</v>
      </c>
      <c r="F43" s="8">
        <v>100</v>
      </c>
      <c r="G43" s="8">
        <v>100</v>
      </c>
      <c r="H43" s="59">
        <v>685</v>
      </c>
      <c r="I43" s="5">
        <v>0.17710000000000001</v>
      </c>
      <c r="J43" s="5">
        <v>0.17710000000000001</v>
      </c>
      <c r="K43" s="9">
        <v>3271541775.4499998</v>
      </c>
      <c r="L43" s="3">
        <f t="shared" si="7"/>
        <v>3.135702631385723E-3</v>
      </c>
      <c r="M43" s="8">
        <v>100</v>
      </c>
      <c r="N43" s="8">
        <v>100</v>
      </c>
      <c r="O43" s="59">
        <v>644</v>
      </c>
      <c r="P43" s="5">
        <v>0.22239999999999999</v>
      </c>
      <c r="Q43" s="5">
        <v>0.22239999999999999</v>
      </c>
      <c r="R43" s="79">
        <f t="shared" si="9"/>
        <v>5.1712465400563486E-3</v>
      </c>
      <c r="S43" s="79">
        <f t="shared" si="10"/>
        <v>0</v>
      </c>
      <c r="T43" s="79">
        <f t="shared" si="11"/>
        <v>-5.9854014598540145E-2</v>
      </c>
      <c r="U43" s="80">
        <f t="shared" si="12"/>
        <v>4.5299999999999979E-2</v>
      </c>
      <c r="V43" s="82">
        <f t="shared" si="13"/>
        <v>4.5299999999999979E-2</v>
      </c>
    </row>
    <row r="44" spans="1:22" ht="15.75" customHeight="1">
      <c r="A44" s="74">
        <v>36</v>
      </c>
      <c r="B44" s="134" t="s">
        <v>239</v>
      </c>
      <c r="C44" s="135" t="s">
        <v>32</v>
      </c>
      <c r="D44" s="9">
        <v>25197312362.66</v>
      </c>
      <c r="E44" s="3">
        <f t="shared" si="8"/>
        <v>2.4151083526534819E-2</v>
      </c>
      <c r="F44" s="8">
        <v>1</v>
      </c>
      <c r="G44" s="8">
        <v>1</v>
      </c>
      <c r="H44" s="59">
        <v>11952</v>
      </c>
      <c r="I44" s="5">
        <v>0.20330000000000001</v>
      </c>
      <c r="J44" s="5">
        <v>0.20330000000000001</v>
      </c>
      <c r="K44" s="9">
        <v>25960942744.200001</v>
      </c>
      <c r="L44" s="3">
        <f t="shared" si="7"/>
        <v>2.4883006870680929E-2</v>
      </c>
      <c r="M44" s="8">
        <v>1</v>
      </c>
      <c r="N44" s="8">
        <v>1</v>
      </c>
      <c r="O44" s="59">
        <v>12100</v>
      </c>
      <c r="P44" s="5">
        <v>0.20230000000000001</v>
      </c>
      <c r="Q44" s="5">
        <v>0.20230000000000001</v>
      </c>
      <c r="R44" s="79">
        <f t="shared" si="9"/>
        <v>3.0306025124791799E-2</v>
      </c>
      <c r="S44" s="79">
        <f t="shared" si="10"/>
        <v>0</v>
      </c>
      <c r="T44" s="79">
        <f t="shared" si="11"/>
        <v>1.2382864792503346E-2</v>
      </c>
      <c r="U44" s="80">
        <f t="shared" si="12"/>
        <v>-1.0000000000000009E-3</v>
      </c>
      <c r="V44" s="82">
        <f t="shared" si="13"/>
        <v>-1.0000000000000009E-3</v>
      </c>
    </row>
    <row r="45" spans="1:22">
      <c r="A45" s="74">
        <v>37</v>
      </c>
      <c r="B45" s="134" t="s">
        <v>75</v>
      </c>
      <c r="C45" s="135" t="s">
        <v>34</v>
      </c>
      <c r="D45" s="9">
        <v>3623022486.9899998</v>
      </c>
      <c r="E45" s="3">
        <f t="shared" si="8"/>
        <v>3.4725893556598474E-3</v>
      </c>
      <c r="F45" s="8">
        <v>1</v>
      </c>
      <c r="G45" s="8">
        <v>1</v>
      </c>
      <c r="H45" s="59">
        <v>926</v>
      </c>
      <c r="I45" s="5">
        <v>0.15759999999999999</v>
      </c>
      <c r="J45" s="5">
        <v>0.15759999999999999</v>
      </c>
      <c r="K45" s="9">
        <v>3639196422.1599998</v>
      </c>
      <c r="L45" s="3">
        <f t="shared" si="7"/>
        <v>3.488091725659526E-3</v>
      </c>
      <c r="M45" s="8">
        <v>1</v>
      </c>
      <c r="N45" s="8">
        <v>1</v>
      </c>
      <c r="O45" s="59">
        <v>931</v>
      </c>
      <c r="P45" s="5">
        <v>0.16120000000000001</v>
      </c>
      <c r="Q45" s="5">
        <v>0.16120000000000001</v>
      </c>
      <c r="R45" s="79">
        <f t="shared" si="9"/>
        <v>4.4642105391505173E-3</v>
      </c>
      <c r="S45" s="79">
        <f t="shared" si="10"/>
        <v>0</v>
      </c>
      <c r="T45" s="79">
        <f t="shared" si="11"/>
        <v>5.3995680345572351E-3</v>
      </c>
      <c r="U45" s="80">
        <f t="shared" si="12"/>
        <v>3.6000000000000199E-3</v>
      </c>
      <c r="V45" s="82">
        <f t="shared" si="13"/>
        <v>3.6000000000000199E-3</v>
      </c>
    </row>
    <row r="46" spans="1:22">
      <c r="A46" s="74">
        <v>38</v>
      </c>
      <c r="B46" s="134" t="s">
        <v>76</v>
      </c>
      <c r="C46" s="135" t="s">
        <v>36</v>
      </c>
      <c r="D46" s="13">
        <v>5582855945.0299997</v>
      </c>
      <c r="E46" s="3">
        <f t="shared" si="8"/>
        <v>5.3510476952628935E-3</v>
      </c>
      <c r="F46" s="8">
        <v>10</v>
      </c>
      <c r="G46" s="8">
        <v>10</v>
      </c>
      <c r="H46" s="59">
        <v>2119</v>
      </c>
      <c r="I46" s="5">
        <v>0.2021</v>
      </c>
      <c r="J46" s="5">
        <v>0.2021</v>
      </c>
      <c r="K46" s="13">
        <v>5710459731.4499998</v>
      </c>
      <c r="L46" s="3">
        <f t="shared" si="7"/>
        <v>5.473353187998636E-3</v>
      </c>
      <c r="M46" s="8">
        <v>10</v>
      </c>
      <c r="N46" s="8">
        <v>10</v>
      </c>
      <c r="O46" s="59">
        <v>2127</v>
      </c>
      <c r="P46" s="5">
        <v>0.21959999999999999</v>
      </c>
      <c r="Q46" s="5">
        <v>0.21959999999999999</v>
      </c>
      <c r="R46" s="79">
        <f t="shared" si="9"/>
        <v>2.2856363781622598E-2</v>
      </c>
      <c r="S46" s="79">
        <f t="shared" si="10"/>
        <v>0</v>
      </c>
      <c r="T46" s="79">
        <f t="shared" si="11"/>
        <v>3.7753657385559227E-3</v>
      </c>
      <c r="U46" s="80">
        <f t="shared" si="12"/>
        <v>1.7499999999999988E-2</v>
      </c>
      <c r="V46" s="82">
        <f t="shared" si="13"/>
        <v>1.7499999999999988E-2</v>
      </c>
    </row>
    <row r="47" spans="1:22">
      <c r="A47" s="74">
        <v>39</v>
      </c>
      <c r="B47" s="134" t="s">
        <v>77</v>
      </c>
      <c r="C47" s="135" t="s">
        <v>78</v>
      </c>
      <c r="D47" s="9">
        <v>5245186306.9700003</v>
      </c>
      <c r="E47" s="3">
        <f t="shared" si="8"/>
        <v>5.0273985887317194E-3</v>
      </c>
      <c r="F47" s="8">
        <v>100</v>
      </c>
      <c r="G47" s="8">
        <v>100</v>
      </c>
      <c r="H47" s="59">
        <v>2337</v>
      </c>
      <c r="I47" s="5">
        <v>0.1928</v>
      </c>
      <c r="J47" s="5">
        <v>0.1928</v>
      </c>
      <c r="K47" s="9">
        <v>5304523290.5</v>
      </c>
      <c r="L47" s="3">
        <f t="shared" si="7"/>
        <v>5.0842718149242596E-3</v>
      </c>
      <c r="M47" s="8">
        <v>100</v>
      </c>
      <c r="N47" s="8">
        <v>100</v>
      </c>
      <c r="O47" s="59">
        <v>2360</v>
      </c>
      <c r="P47" s="5">
        <v>0.1905</v>
      </c>
      <c r="Q47" s="5">
        <v>0.1905</v>
      </c>
      <c r="R47" s="79">
        <f t="shared" si="9"/>
        <v>1.1312655081698533E-2</v>
      </c>
      <c r="S47" s="79">
        <f t="shared" si="10"/>
        <v>0</v>
      </c>
      <c r="T47" s="79">
        <f t="shared" si="11"/>
        <v>9.8416773641420621E-3</v>
      </c>
      <c r="U47" s="80">
        <f t="shared" si="12"/>
        <v>-2.2999999999999965E-3</v>
      </c>
      <c r="V47" s="82">
        <f t="shared" si="13"/>
        <v>-2.2999999999999965E-3</v>
      </c>
    </row>
    <row r="48" spans="1:22">
      <c r="A48" s="74">
        <v>40</v>
      </c>
      <c r="B48" s="134" t="s">
        <v>79</v>
      </c>
      <c r="C48" s="135" t="s">
        <v>80</v>
      </c>
      <c r="D48" s="9">
        <v>159534792.84</v>
      </c>
      <c r="E48" s="3">
        <f t="shared" si="8"/>
        <v>1.529106776077021E-4</v>
      </c>
      <c r="F48" s="8">
        <v>1</v>
      </c>
      <c r="G48" s="8">
        <v>1</v>
      </c>
      <c r="H48" s="59">
        <v>74</v>
      </c>
      <c r="I48" s="5">
        <v>0.1726</v>
      </c>
      <c r="J48" s="5">
        <v>0.1726</v>
      </c>
      <c r="K48" s="9">
        <v>158834792.94</v>
      </c>
      <c r="L48" s="3">
        <f t="shared" si="7"/>
        <v>1.5223974271551418E-4</v>
      </c>
      <c r="M48" s="8">
        <v>1</v>
      </c>
      <c r="N48" s="8">
        <v>1</v>
      </c>
      <c r="O48" s="59">
        <v>74</v>
      </c>
      <c r="P48" s="5">
        <v>0.1734</v>
      </c>
      <c r="Q48" s="5">
        <v>0.1734</v>
      </c>
      <c r="R48" s="79">
        <f t="shared" si="9"/>
        <v>-4.3877569747562658E-3</v>
      </c>
      <c r="S48" s="79">
        <f t="shared" si="10"/>
        <v>0</v>
      </c>
      <c r="T48" s="79">
        <f t="shared" si="11"/>
        <v>0</v>
      </c>
      <c r="U48" s="80">
        <f t="shared" si="12"/>
        <v>7.9999999999999516E-4</v>
      </c>
      <c r="V48" s="82">
        <f t="shared" si="13"/>
        <v>7.9999999999999516E-4</v>
      </c>
    </row>
    <row r="49" spans="1:22">
      <c r="A49" s="74">
        <v>41</v>
      </c>
      <c r="B49" s="134" t="s">
        <v>81</v>
      </c>
      <c r="C49" s="135" t="s">
        <v>38</v>
      </c>
      <c r="D49" s="13">
        <v>760401785.84000003</v>
      </c>
      <c r="E49" s="3">
        <f t="shared" si="8"/>
        <v>7.2882880440703474E-4</v>
      </c>
      <c r="F49" s="8">
        <v>10</v>
      </c>
      <c r="G49" s="8">
        <v>10</v>
      </c>
      <c r="H49" s="59">
        <v>706</v>
      </c>
      <c r="I49" s="5">
        <v>0.1288</v>
      </c>
      <c r="J49" s="5">
        <v>0.1288</v>
      </c>
      <c r="K49" s="13">
        <v>749812868.17999995</v>
      </c>
      <c r="L49" s="3">
        <f t="shared" si="7"/>
        <v>7.186795539162866E-4</v>
      </c>
      <c r="M49" s="8">
        <v>10</v>
      </c>
      <c r="N49" s="8">
        <v>10</v>
      </c>
      <c r="O49" s="59">
        <v>705</v>
      </c>
      <c r="P49" s="5">
        <v>0.17649999999999999</v>
      </c>
      <c r="Q49" s="5">
        <v>0.17649999999999999</v>
      </c>
      <c r="R49" s="79">
        <f t="shared" si="9"/>
        <v>-1.3925424502130447E-2</v>
      </c>
      <c r="S49" s="79">
        <f t="shared" si="10"/>
        <v>0</v>
      </c>
      <c r="T49" s="79">
        <f t="shared" si="11"/>
        <v>-1.4164305949008499E-3</v>
      </c>
      <c r="U49" s="80">
        <f t="shared" si="12"/>
        <v>4.7699999999999992E-2</v>
      </c>
      <c r="V49" s="82">
        <f t="shared" si="13"/>
        <v>4.7699999999999992E-2</v>
      </c>
    </row>
    <row r="50" spans="1:22">
      <c r="A50" s="74">
        <v>42</v>
      </c>
      <c r="B50" s="134" t="s">
        <v>247</v>
      </c>
      <c r="C50" s="135" t="s">
        <v>248</v>
      </c>
      <c r="D50" s="13">
        <v>595485249.32000005</v>
      </c>
      <c r="E50" s="3">
        <f t="shared" si="8"/>
        <v>5.7075984089711518E-4</v>
      </c>
      <c r="F50" s="8">
        <v>1</v>
      </c>
      <c r="G50" s="8">
        <v>1</v>
      </c>
      <c r="H50" s="59">
        <v>44</v>
      </c>
      <c r="I50" s="5">
        <v>0.19270000000000001</v>
      </c>
      <c r="J50" s="5">
        <v>0.19270000000000001</v>
      </c>
      <c r="K50" s="13">
        <v>595574952.99000001</v>
      </c>
      <c r="L50" s="3">
        <f t="shared" si="7"/>
        <v>5.7084581994105543E-4</v>
      </c>
      <c r="M50" s="8">
        <v>1</v>
      </c>
      <c r="N50" s="8">
        <v>1</v>
      </c>
      <c r="O50" s="59">
        <v>44</v>
      </c>
      <c r="P50" s="5">
        <v>0.19270000000000001</v>
      </c>
      <c r="Q50" s="5">
        <v>0.19270000000000001</v>
      </c>
      <c r="R50" s="79">
        <f t="shared" si="9"/>
        <v>1.5063961719016889E-4</v>
      </c>
      <c r="S50" s="79">
        <f t="shared" si="10"/>
        <v>0</v>
      </c>
      <c r="T50" s="79">
        <f t="shared" si="11"/>
        <v>0</v>
      </c>
      <c r="U50" s="80">
        <f t="shared" si="12"/>
        <v>0</v>
      </c>
      <c r="V50" s="82">
        <f t="shared" si="13"/>
        <v>0</v>
      </c>
    </row>
    <row r="51" spans="1:22">
      <c r="A51" s="74">
        <v>43</v>
      </c>
      <c r="B51" s="134" t="s">
        <v>276</v>
      </c>
      <c r="C51" s="135" t="s">
        <v>108</v>
      </c>
      <c r="D51" s="13">
        <v>49415970.780000001</v>
      </c>
      <c r="E51" s="3">
        <f t="shared" si="8"/>
        <v>4.7364148234363338E-5</v>
      </c>
      <c r="F51" s="8">
        <v>1000</v>
      </c>
      <c r="G51" s="8">
        <v>1000</v>
      </c>
      <c r="H51" s="59">
        <v>1</v>
      </c>
      <c r="I51" s="5">
        <v>0</v>
      </c>
      <c r="J51" s="5">
        <v>0.24099999999999999</v>
      </c>
      <c r="K51" s="13">
        <v>49415970.780000001</v>
      </c>
      <c r="L51" s="3">
        <f t="shared" si="7"/>
        <v>4.7364148234363338E-5</v>
      </c>
      <c r="M51" s="8">
        <v>1000</v>
      </c>
      <c r="N51" s="8">
        <v>1000</v>
      </c>
      <c r="O51" s="59">
        <v>1</v>
      </c>
      <c r="P51" s="5">
        <v>0</v>
      </c>
      <c r="Q51" s="5">
        <v>2.01E-2</v>
      </c>
      <c r="R51" s="79">
        <f t="shared" si="9"/>
        <v>0</v>
      </c>
      <c r="S51" s="79">
        <f t="shared" si="10"/>
        <v>0</v>
      </c>
      <c r="T51" s="79">
        <f t="shared" si="11"/>
        <v>0</v>
      </c>
      <c r="U51" s="80">
        <f t="shared" si="12"/>
        <v>0</v>
      </c>
      <c r="V51" s="82">
        <f t="shared" si="13"/>
        <v>-0.22089999999999999</v>
      </c>
    </row>
    <row r="52" spans="1:22">
      <c r="A52" s="74">
        <v>44</v>
      </c>
      <c r="B52" s="134" t="s">
        <v>82</v>
      </c>
      <c r="C52" s="135" t="s">
        <v>42</v>
      </c>
      <c r="D52" s="9">
        <v>475140902524.48999</v>
      </c>
      <c r="E52" s="3">
        <f t="shared" si="8"/>
        <v>0.45541236535794966</v>
      </c>
      <c r="F52" s="8">
        <v>100</v>
      </c>
      <c r="G52" s="8">
        <v>100</v>
      </c>
      <c r="H52" s="59">
        <v>123570</v>
      </c>
      <c r="I52" s="5">
        <v>0.19719999999999999</v>
      </c>
      <c r="J52" s="5">
        <v>0.19719999999999999</v>
      </c>
      <c r="K52" s="151">
        <v>476722286715.17999</v>
      </c>
      <c r="L52" s="3">
        <f t="shared" si="7"/>
        <v>0.45692808819089326</v>
      </c>
      <c r="M52" s="8">
        <v>100</v>
      </c>
      <c r="N52" s="8">
        <v>100</v>
      </c>
      <c r="O52" s="59">
        <v>124054</v>
      </c>
      <c r="P52" s="5">
        <v>0.1988</v>
      </c>
      <c r="Q52" s="5">
        <v>0.1988</v>
      </c>
      <c r="R52" s="79">
        <f t="shared" si="9"/>
        <v>3.3282425955919333E-3</v>
      </c>
      <c r="S52" s="79">
        <f t="shared" si="10"/>
        <v>0</v>
      </c>
      <c r="T52" s="79">
        <f t="shared" si="11"/>
        <v>3.9168082868010039E-3</v>
      </c>
      <c r="U52" s="80">
        <f t="shared" si="12"/>
        <v>1.6000000000000181E-3</v>
      </c>
      <c r="V52" s="82">
        <f t="shared" si="13"/>
        <v>1.6000000000000181E-3</v>
      </c>
    </row>
    <row r="53" spans="1:22">
      <c r="A53" s="74">
        <v>45</v>
      </c>
      <c r="B53" s="134" t="s">
        <v>274</v>
      </c>
      <c r="C53" s="134" t="s">
        <v>273</v>
      </c>
      <c r="D53" s="9">
        <v>289852999.64999998</v>
      </c>
      <c r="E53" s="3">
        <f t="shared" si="8"/>
        <v>2.7781788407471337E-4</v>
      </c>
      <c r="F53" s="8">
        <v>100</v>
      </c>
      <c r="G53" s="8">
        <v>100</v>
      </c>
      <c r="H53" s="59">
        <v>50</v>
      </c>
      <c r="I53" s="5">
        <v>0.1857</v>
      </c>
      <c r="J53" s="5">
        <v>0.1857</v>
      </c>
      <c r="K53" s="9">
        <v>355631414.04000002</v>
      </c>
      <c r="L53" s="3">
        <f t="shared" si="7"/>
        <v>3.4086508360580672E-4</v>
      </c>
      <c r="M53" s="8">
        <v>100</v>
      </c>
      <c r="N53" s="8">
        <v>100</v>
      </c>
      <c r="O53" s="59">
        <v>58</v>
      </c>
      <c r="P53" s="5">
        <v>0.19270000000000001</v>
      </c>
      <c r="Q53" s="5">
        <v>0.19270000000000001</v>
      </c>
      <c r="R53" s="79">
        <f t="shared" si="9"/>
        <v>0.2269371525201673</v>
      </c>
      <c r="S53" s="79">
        <f t="shared" si="10"/>
        <v>0</v>
      </c>
      <c r="T53" s="79">
        <f t="shared" si="11"/>
        <v>0.16</v>
      </c>
      <c r="U53" s="80">
        <f t="shared" si="12"/>
        <v>7.0000000000000062E-3</v>
      </c>
      <c r="V53" s="82">
        <f t="shared" si="13"/>
        <v>7.0000000000000062E-3</v>
      </c>
    </row>
    <row r="54" spans="1:22">
      <c r="A54" s="74">
        <v>46</v>
      </c>
      <c r="B54" s="134" t="s">
        <v>83</v>
      </c>
      <c r="C54" s="135" t="s">
        <v>84</v>
      </c>
      <c r="D54" s="9">
        <v>3457159627.4499998</v>
      </c>
      <c r="E54" s="3">
        <f t="shared" si="8"/>
        <v>3.3136133618297827E-3</v>
      </c>
      <c r="F54" s="8">
        <v>1</v>
      </c>
      <c r="G54" s="8">
        <v>1</v>
      </c>
      <c r="H54" s="59">
        <v>356</v>
      </c>
      <c r="I54" s="5">
        <v>0.20006356859999999</v>
      </c>
      <c r="J54" s="5">
        <v>0.20006356859999999</v>
      </c>
      <c r="K54" s="9">
        <v>3491336509.3000002</v>
      </c>
      <c r="L54" s="3">
        <f t="shared" si="7"/>
        <v>3.3463711701371105E-3</v>
      </c>
      <c r="M54" s="8">
        <v>1</v>
      </c>
      <c r="N54" s="8">
        <v>1</v>
      </c>
      <c r="O54" s="59">
        <v>358</v>
      </c>
      <c r="P54" s="5">
        <v>0.2007015409</v>
      </c>
      <c r="Q54" s="5">
        <v>0.2007015409</v>
      </c>
      <c r="R54" s="79">
        <f t="shared" si="9"/>
        <v>9.8858269599802207E-3</v>
      </c>
      <c r="S54" s="79">
        <f t="shared" si="10"/>
        <v>0</v>
      </c>
      <c r="T54" s="79">
        <f t="shared" si="11"/>
        <v>5.6179775280898875E-3</v>
      </c>
      <c r="U54" s="80">
        <f t="shared" si="12"/>
        <v>6.3797230000001148E-4</v>
      </c>
      <c r="V54" s="82">
        <f t="shared" si="13"/>
        <v>6.3797230000001148E-4</v>
      </c>
    </row>
    <row r="55" spans="1:22">
      <c r="A55" s="74">
        <v>47</v>
      </c>
      <c r="B55" s="134" t="s">
        <v>85</v>
      </c>
      <c r="C55" s="135" t="s">
        <v>45</v>
      </c>
      <c r="D55" s="9">
        <v>35888898014.480003</v>
      </c>
      <c r="E55" s="3">
        <f t="shared" si="8"/>
        <v>3.43987390856592E-2</v>
      </c>
      <c r="F55" s="8">
        <v>1</v>
      </c>
      <c r="G55" s="8">
        <v>1</v>
      </c>
      <c r="H55" s="59">
        <v>23289</v>
      </c>
      <c r="I55" s="5">
        <v>0.1764</v>
      </c>
      <c r="J55" s="5">
        <v>0.1764</v>
      </c>
      <c r="K55" s="9">
        <v>36789815469.18</v>
      </c>
      <c r="L55" s="3">
        <f t="shared" si="7"/>
        <v>3.5262249145216827E-2</v>
      </c>
      <c r="M55" s="8">
        <v>1</v>
      </c>
      <c r="N55" s="8">
        <v>1</v>
      </c>
      <c r="O55" s="59">
        <v>24161</v>
      </c>
      <c r="P55" s="5">
        <v>0.18459999999999999</v>
      </c>
      <c r="Q55" s="5">
        <v>0.18459999999999999</v>
      </c>
      <c r="R55" s="79">
        <f t="shared" si="9"/>
        <v>2.5102956751040559E-2</v>
      </c>
      <c r="S55" s="79">
        <f t="shared" si="10"/>
        <v>0</v>
      </c>
      <c r="T55" s="79">
        <f t="shared" si="11"/>
        <v>3.7442569453390015E-2</v>
      </c>
      <c r="U55" s="80">
        <f t="shared" si="12"/>
        <v>8.1999999999999851E-3</v>
      </c>
      <c r="V55" s="82">
        <f t="shared" si="13"/>
        <v>8.1999999999999851E-3</v>
      </c>
    </row>
    <row r="56" spans="1:22">
      <c r="A56" s="74">
        <v>48</v>
      </c>
      <c r="B56" s="134" t="s">
        <v>86</v>
      </c>
      <c r="C56" s="135" t="s">
        <v>87</v>
      </c>
      <c r="D56" s="9">
        <v>1314228554.49</v>
      </c>
      <c r="E56" s="3">
        <f t="shared" si="8"/>
        <v>1.2596598849757012E-3</v>
      </c>
      <c r="F56" s="8">
        <v>1</v>
      </c>
      <c r="G56" s="8">
        <v>1</v>
      </c>
      <c r="H56" s="59">
        <v>87</v>
      </c>
      <c r="I56" s="5">
        <v>0.151</v>
      </c>
      <c r="J56" s="5">
        <v>0.151</v>
      </c>
      <c r="K56" s="9">
        <v>1319346393.9300001</v>
      </c>
      <c r="L56" s="3">
        <f t="shared" si="7"/>
        <v>1.2645652243234802E-3</v>
      </c>
      <c r="M56" s="8">
        <v>1</v>
      </c>
      <c r="N56" s="8">
        <v>1</v>
      </c>
      <c r="O56" s="59">
        <v>88</v>
      </c>
      <c r="P56" s="5">
        <v>0.1724</v>
      </c>
      <c r="Q56" s="5">
        <v>0.1724</v>
      </c>
      <c r="R56" s="79">
        <f t="shared" si="9"/>
        <v>3.8941776318245406E-3</v>
      </c>
      <c r="S56" s="79">
        <f t="shared" si="10"/>
        <v>0</v>
      </c>
      <c r="T56" s="79">
        <f t="shared" si="11"/>
        <v>1.1494252873563218E-2</v>
      </c>
      <c r="U56" s="80">
        <f t="shared" si="12"/>
        <v>2.1400000000000002E-2</v>
      </c>
      <c r="V56" s="82">
        <f t="shared" si="13"/>
        <v>2.1400000000000002E-2</v>
      </c>
    </row>
    <row r="57" spans="1:22">
      <c r="A57" s="74">
        <v>49</v>
      </c>
      <c r="B57" s="134" t="s">
        <v>88</v>
      </c>
      <c r="C57" s="135" t="s">
        <v>89</v>
      </c>
      <c r="D57" s="9">
        <v>1848477519.0699999</v>
      </c>
      <c r="E57" s="3">
        <f t="shared" si="8"/>
        <v>1.7717260602022652E-3</v>
      </c>
      <c r="F57" s="8">
        <v>1</v>
      </c>
      <c r="G57" s="8">
        <v>1</v>
      </c>
      <c r="H57" s="59">
        <v>252</v>
      </c>
      <c r="I57" s="5">
        <v>0.14169999999999999</v>
      </c>
      <c r="J57" s="5">
        <v>0.14169999999999999</v>
      </c>
      <c r="K57" s="9">
        <v>1853493890.0999999</v>
      </c>
      <c r="L57" s="3">
        <f t="shared" si="7"/>
        <v>1.7765341442551165E-3</v>
      </c>
      <c r="M57" s="8">
        <v>1</v>
      </c>
      <c r="N57" s="8">
        <v>1</v>
      </c>
      <c r="O57" s="59">
        <v>252</v>
      </c>
      <c r="P57" s="5">
        <v>0.1915</v>
      </c>
      <c r="Q57" s="5">
        <v>0.1915</v>
      </c>
      <c r="R57" s="79">
        <f t="shared" si="9"/>
        <v>2.7137852520509914E-3</v>
      </c>
      <c r="S57" s="79">
        <f t="shared" si="10"/>
        <v>0</v>
      </c>
      <c r="T57" s="79">
        <f t="shared" si="11"/>
        <v>0</v>
      </c>
      <c r="U57" s="80">
        <f t="shared" si="12"/>
        <v>4.9800000000000011E-2</v>
      </c>
      <c r="V57" s="82">
        <f t="shared" si="13"/>
        <v>4.9800000000000011E-2</v>
      </c>
    </row>
    <row r="58" spans="1:22">
      <c r="A58" s="74">
        <v>50</v>
      </c>
      <c r="B58" s="134" t="s">
        <v>260</v>
      </c>
      <c r="C58" s="135" t="s">
        <v>261</v>
      </c>
      <c r="D58" s="9">
        <v>775062995.53999996</v>
      </c>
      <c r="E58" s="3">
        <f t="shared" si="8"/>
        <v>7.4288125948511919E-4</v>
      </c>
      <c r="F58" s="8">
        <v>1</v>
      </c>
      <c r="G58" s="8">
        <v>1</v>
      </c>
      <c r="H58" s="59">
        <v>856</v>
      </c>
      <c r="I58" s="5">
        <v>0.17380000000000001</v>
      </c>
      <c r="J58" s="5">
        <v>0.17380000000000001</v>
      </c>
      <c r="K58" s="9">
        <v>773779459.87</v>
      </c>
      <c r="L58" s="3">
        <f t="shared" si="7"/>
        <v>7.4165101807169786E-4</v>
      </c>
      <c r="M58" s="8">
        <v>1</v>
      </c>
      <c r="N58" s="8">
        <v>1</v>
      </c>
      <c r="O58" s="59">
        <v>861</v>
      </c>
      <c r="P58" s="5">
        <v>0.15279999999999999</v>
      </c>
      <c r="Q58" s="5">
        <v>0.15279999999999999</v>
      </c>
      <c r="R58" s="79">
        <f t="shared" si="9"/>
        <v>-1.6560404475325201E-3</v>
      </c>
      <c r="S58" s="79">
        <f t="shared" si="10"/>
        <v>0</v>
      </c>
      <c r="T58" s="79">
        <f t="shared" si="11"/>
        <v>5.8411214953271026E-3</v>
      </c>
      <c r="U58" s="80">
        <f t="shared" si="12"/>
        <v>-2.1000000000000019E-2</v>
      </c>
      <c r="V58" s="82">
        <f t="shared" si="13"/>
        <v>-2.1000000000000019E-2</v>
      </c>
    </row>
    <row r="59" spans="1:22">
      <c r="A59" s="74">
        <v>51</v>
      </c>
      <c r="B59" s="134" t="s">
        <v>90</v>
      </c>
      <c r="C59" s="135" t="s">
        <v>91</v>
      </c>
      <c r="D59" s="9">
        <v>31433083618.529999</v>
      </c>
      <c r="E59" s="3">
        <f t="shared" si="8"/>
        <v>3.0127936545035993E-2</v>
      </c>
      <c r="F59" s="8">
        <v>1</v>
      </c>
      <c r="G59" s="8">
        <v>1</v>
      </c>
      <c r="H59" s="59">
        <v>3524</v>
      </c>
      <c r="I59" s="5">
        <v>0.19600000000000001</v>
      </c>
      <c r="J59" s="5">
        <v>0.19600000000000001</v>
      </c>
      <c r="K59" s="9">
        <v>31849960825.650002</v>
      </c>
      <c r="L59" s="3">
        <f t="shared" si="7"/>
        <v>3.0527504407852329E-2</v>
      </c>
      <c r="M59" s="8">
        <v>1</v>
      </c>
      <c r="N59" s="8">
        <v>1</v>
      </c>
      <c r="O59" s="59">
        <v>3537</v>
      </c>
      <c r="P59" s="5">
        <v>0.19800000000000001</v>
      </c>
      <c r="Q59" s="5">
        <v>0.19800000000000001</v>
      </c>
      <c r="R59" s="79">
        <f t="shared" si="9"/>
        <v>1.326237069767635E-2</v>
      </c>
      <c r="S59" s="79">
        <f t="shared" si="10"/>
        <v>0</v>
      </c>
      <c r="T59" s="79">
        <f t="shared" si="11"/>
        <v>3.6889897843359817E-3</v>
      </c>
      <c r="U59" s="80">
        <f t="shared" si="12"/>
        <v>2.0000000000000018E-3</v>
      </c>
      <c r="V59" s="82">
        <f t="shared" si="13"/>
        <v>2.0000000000000018E-3</v>
      </c>
    </row>
    <row r="60" spans="1:22">
      <c r="A60" s="74"/>
      <c r="B60" s="19"/>
      <c r="C60" s="70" t="s">
        <v>46</v>
      </c>
      <c r="D60" s="58">
        <f>SUM(D26:D59)</f>
        <v>1035718749074.4199</v>
      </c>
      <c r="E60" s="99">
        <f>(D60/$D$196)</f>
        <v>0.35370374438750413</v>
      </c>
      <c r="F60" s="30"/>
      <c r="G60" s="11"/>
      <c r="H60" s="64">
        <f>SUM(H26:H59)</f>
        <v>294237</v>
      </c>
      <c r="I60" s="32"/>
      <c r="J60" s="32"/>
      <c r="K60" s="58">
        <f>SUM(K26:K59)</f>
        <v>1043320161390.5101</v>
      </c>
      <c r="L60" s="99">
        <f>(K60/$K$196)</f>
        <v>0.35537327297096005</v>
      </c>
      <c r="M60" s="30"/>
      <c r="N60" s="11"/>
      <c r="O60" s="64">
        <f>SUM(O26:O59)</f>
        <v>296074</v>
      </c>
      <c r="P60" s="32"/>
      <c r="Q60" s="32"/>
      <c r="R60" s="79">
        <f t="shared" si="9"/>
        <v>7.3392630218225606E-3</v>
      </c>
      <c r="S60" s="79" t="e">
        <f t="shared" si="10"/>
        <v>#DIV/0!</v>
      </c>
      <c r="T60" s="79">
        <f t="shared" si="11"/>
        <v>6.2432664824614171E-3</v>
      </c>
      <c r="U60" s="80">
        <f t="shared" si="12"/>
        <v>0</v>
      </c>
      <c r="V60" s="82">
        <f t="shared" si="13"/>
        <v>0</v>
      </c>
    </row>
    <row r="61" spans="1:22" ht="9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</row>
    <row r="62" spans="1:22" ht="15" customHeight="1">
      <c r="A62" s="165" t="s">
        <v>92</v>
      </c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</row>
    <row r="63" spans="1:22">
      <c r="A63" s="74">
        <v>52</v>
      </c>
      <c r="B63" s="134" t="s">
        <v>93</v>
      </c>
      <c r="C63" s="135" t="s">
        <v>19</v>
      </c>
      <c r="D63" s="2">
        <v>463571417.88</v>
      </c>
      <c r="E63" s="3">
        <f>(D63/$D$98)</f>
        <v>1.9451733770999868E-3</v>
      </c>
      <c r="F63" s="14">
        <v>1.2465999999999999</v>
      </c>
      <c r="G63" s="14">
        <v>1.2465999999999999</v>
      </c>
      <c r="H63" s="59">
        <v>434</v>
      </c>
      <c r="I63" s="5">
        <v>3.21E-4</v>
      </c>
      <c r="J63" s="5">
        <v>-2.6200000000000001E-2</v>
      </c>
      <c r="K63" s="2">
        <v>466493946.43000001</v>
      </c>
      <c r="L63" s="3">
        <f t="shared" ref="L63:L84" si="14">(K63/$K$98)</f>
        <v>1.985230643776302E-3</v>
      </c>
      <c r="M63" s="14">
        <v>1.2548999999999999</v>
      </c>
      <c r="N63" s="14">
        <v>1.2548999999999999</v>
      </c>
      <c r="O63" s="59">
        <v>440</v>
      </c>
      <c r="P63" s="5">
        <v>3.7590000000000002E-3</v>
      </c>
      <c r="Q63" s="5">
        <v>-1.9699999999999999E-2</v>
      </c>
      <c r="R63" s="79">
        <f>((K63-D63)/D63)</f>
        <v>6.3043760621940177E-3</v>
      </c>
      <c r="S63" s="79">
        <f>((N63-G63)/G63)</f>
        <v>6.6581100593614429E-3</v>
      </c>
      <c r="T63" s="79">
        <f>((O63-H63)/H63)</f>
        <v>1.3824884792626729E-2</v>
      </c>
      <c r="U63" s="80">
        <f>P63-I63</f>
        <v>3.4380000000000001E-3</v>
      </c>
      <c r="V63" s="82">
        <f>Q63-J63</f>
        <v>6.5000000000000023E-3</v>
      </c>
    </row>
    <row r="64" spans="1:22">
      <c r="A64" s="74">
        <v>53</v>
      </c>
      <c r="B64" s="134" t="s">
        <v>94</v>
      </c>
      <c r="C64" s="135" t="s">
        <v>21</v>
      </c>
      <c r="D64" s="2">
        <v>1420216433.8800001</v>
      </c>
      <c r="E64" s="3">
        <f>(D64/$D$98)</f>
        <v>5.9593130429330685E-3</v>
      </c>
      <c r="F64" s="14">
        <v>1.1489</v>
      </c>
      <c r="G64" s="14">
        <v>1.1489</v>
      </c>
      <c r="H64" s="59">
        <v>667</v>
      </c>
      <c r="I64" s="5">
        <v>0.1598</v>
      </c>
      <c r="J64" s="5">
        <v>-2.1499999999999998E-2</v>
      </c>
      <c r="K64" s="2">
        <v>1421487709.3699999</v>
      </c>
      <c r="L64" s="3">
        <f t="shared" si="14"/>
        <v>6.0493410085786818E-3</v>
      </c>
      <c r="M64" s="14">
        <v>1.1536999999999999</v>
      </c>
      <c r="N64" s="14">
        <v>1.1536999999999999</v>
      </c>
      <c r="O64" s="59">
        <v>670</v>
      </c>
      <c r="P64" s="5">
        <v>0.21840000000000001</v>
      </c>
      <c r="Q64" s="5">
        <v>-1.1900000000000001E-2</v>
      </c>
      <c r="R64" s="79">
        <f t="shared" ref="R64:R98" si="15">((K64-D64)/D64)</f>
        <v>8.951279957567273E-4</v>
      </c>
      <c r="S64" s="79">
        <f t="shared" ref="S64:S98" si="16">((N64-G64)/G64)</f>
        <v>4.1779093045521062E-3</v>
      </c>
      <c r="T64" s="79">
        <f t="shared" ref="T64:T98" si="17">((O64-H64)/H64)</f>
        <v>4.4977511244377807E-3</v>
      </c>
      <c r="U64" s="80">
        <f t="shared" ref="U64:U98" si="18">P64-I64</f>
        <v>5.8600000000000013E-2</v>
      </c>
      <c r="V64" s="82">
        <f t="shared" ref="V64:V98" si="19">Q64-J64</f>
        <v>9.5999999999999974E-3</v>
      </c>
    </row>
    <row r="65" spans="1:22">
      <c r="A65" s="74">
        <v>54</v>
      </c>
      <c r="B65" s="134" t="s">
        <v>95</v>
      </c>
      <c r="C65" s="135" t="s">
        <v>21</v>
      </c>
      <c r="D65" s="2">
        <v>864448343.13</v>
      </c>
      <c r="E65" s="3">
        <f>(D65/$D$98)</f>
        <v>3.6272769158730649E-3</v>
      </c>
      <c r="F65" s="14">
        <v>1.0504</v>
      </c>
      <c r="G65" s="14">
        <v>1.0504</v>
      </c>
      <c r="H65" s="59">
        <v>167</v>
      </c>
      <c r="I65" s="5">
        <v>0.10970000000000001</v>
      </c>
      <c r="J65" s="5">
        <v>-4.0800000000000003E-2</v>
      </c>
      <c r="K65" s="2">
        <v>866132582.29999995</v>
      </c>
      <c r="L65" s="3">
        <f t="shared" si="14"/>
        <v>3.6859491041928796E-3</v>
      </c>
      <c r="M65" s="14">
        <v>1.0526</v>
      </c>
      <c r="N65" s="14">
        <v>1.0526</v>
      </c>
      <c r="O65" s="59">
        <v>168</v>
      </c>
      <c r="P65" s="5">
        <v>0.1095</v>
      </c>
      <c r="Q65" s="5">
        <v>-3.4799999999999998E-2</v>
      </c>
      <c r="R65" s="79">
        <f t="shared" si="15"/>
        <v>1.948339867136136E-3</v>
      </c>
      <c r="S65" s="79">
        <f t="shared" si="16"/>
        <v>2.0944402132520752E-3</v>
      </c>
      <c r="T65" s="79">
        <f t="shared" si="17"/>
        <v>5.9880239520958087E-3</v>
      </c>
      <c r="U65" s="80">
        <f t="shared" si="18"/>
        <v>-2.0000000000000573E-4</v>
      </c>
      <c r="V65" s="82">
        <f t="shared" si="19"/>
        <v>6.0000000000000053E-3</v>
      </c>
    </row>
    <row r="66" spans="1:22">
      <c r="A66" s="74">
        <v>55</v>
      </c>
      <c r="B66" s="134" t="s">
        <v>96</v>
      </c>
      <c r="C66" s="135" t="s">
        <v>97</v>
      </c>
      <c r="D66" s="2">
        <v>259672094.65000001</v>
      </c>
      <c r="E66" s="3">
        <f>(D66/$D$98)</f>
        <v>1.0895996297591408E-3</v>
      </c>
      <c r="F66" s="7">
        <v>1044.1600000000001</v>
      </c>
      <c r="G66" s="7">
        <v>1044.1600000000001</v>
      </c>
      <c r="H66" s="59">
        <v>112</v>
      </c>
      <c r="I66" s="5">
        <v>1.6999999999999999E-3</v>
      </c>
      <c r="J66" s="5">
        <v>1.21E-2</v>
      </c>
      <c r="K66" s="2">
        <v>260442832.56999999</v>
      </c>
      <c r="L66" s="3">
        <f t="shared" si="14"/>
        <v>1.1083511289410682E-3</v>
      </c>
      <c r="M66" s="7">
        <v>1047.26</v>
      </c>
      <c r="N66" s="7">
        <v>1047.26</v>
      </c>
      <c r="O66" s="59">
        <v>112</v>
      </c>
      <c r="P66" s="5">
        <v>2.5000000000000001E-3</v>
      </c>
      <c r="Q66" s="5">
        <v>1.49E-2</v>
      </c>
      <c r="R66" s="79">
        <f t="shared" si="15"/>
        <v>2.9681199323278416E-3</v>
      </c>
      <c r="S66" s="79">
        <f t="shared" si="16"/>
        <v>2.9688936561445647E-3</v>
      </c>
      <c r="T66" s="79">
        <f t="shared" si="17"/>
        <v>0</v>
      </c>
      <c r="U66" s="80">
        <f t="shared" si="18"/>
        <v>8.0000000000000015E-4</v>
      </c>
      <c r="V66" s="82">
        <f t="shared" si="19"/>
        <v>2.8000000000000004E-3</v>
      </c>
    </row>
    <row r="67" spans="1:22" ht="15" customHeight="1">
      <c r="A67" s="74">
        <v>56</v>
      </c>
      <c r="B67" s="134" t="s">
        <v>98</v>
      </c>
      <c r="C67" s="135" t="s">
        <v>99</v>
      </c>
      <c r="D67" s="2">
        <v>1694554072.9400001</v>
      </c>
      <c r="E67" s="3">
        <f>(D67/$K$98)</f>
        <v>7.2114133503364333E-3</v>
      </c>
      <c r="F67" s="7">
        <v>1.0649</v>
      </c>
      <c r="G67" s="7">
        <v>1.0649</v>
      </c>
      <c r="H67" s="59">
        <v>855</v>
      </c>
      <c r="I67" s="5">
        <v>2.5999999999999999E-3</v>
      </c>
      <c r="J67" s="5">
        <v>4.6199999999999998E-2</v>
      </c>
      <c r="K67" s="2">
        <v>1703498514.8699999</v>
      </c>
      <c r="L67" s="3">
        <f t="shared" si="14"/>
        <v>7.2494776818176941E-3</v>
      </c>
      <c r="M67" s="7">
        <v>1.0672999999999999</v>
      </c>
      <c r="N67" s="7">
        <v>1.0672999999999999</v>
      </c>
      <c r="O67" s="59">
        <v>854</v>
      </c>
      <c r="P67" s="5">
        <v>2.3E-3</v>
      </c>
      <c r="Q67" s="5">
        <v>4.8500000000000001E-2</v>
      </c>
      <c r="R67" s="79">
        <f t="shared" si="15"/>
        <v>5.2783455381164041E-3</v>
      </c>
      <c r="S67" s="79">
        <f t="shared" si="16"/>
        <v>2.2537327448586327E-3</v>
      </c>
      <c r="T67" s="79">
        <f t="shared" si="17"/>
        <v>-1.1695906432748538E-3</v>
      </c>
      <c r="U67" s="80">
        <f t="shared" si="18"/>
        <v>-2.9999999999999992E-4</v>
      </c>
      <c r="V67" s="82">
        <v>7.87</v>
      </c>
    </row>
    <row r="68" spans="1:22">
      <c r="A68" s="74">
        <v>57</v>
      </c>
      <c r="B68" s="134" t="s">
        <v>100</v>
      </c>
      <c r="C68" s="135" t="s">
        <v>101</v>
      </c>
      <c r="D68" s="2">
        <v>413280273.85906196</v>
      </c>
      <c r="E68" s="3">
        <f t="shared" ref="E68:E84" si="20">(D68/$D$98)</f>
        <v>1.7341487308851658E-3</v>
      </c>
      <c r="F68" s="7">
        <v>2.3511000000000002</v>
      </c>
      <c r="G68" s="7">
        <v>2.3511000000000002</v>
      </c>
      <c r="H68" s="59">
        <v>1393</v>
      </c>
      <c r="I68" s="5">
        <v>0.13600000000000001</v>
      </c>
      <c r="J68" s="5">
        <v>0.1124</v>
      </c>
      <c r="K68" s="2">
        <v>413568184.52245516</v>
      </c>
      <c r="L68" s="3">
        <f t="shared" si="14"/>
        <v>1.7599976151632868E-3</v>
      </c>
      <c r="M68" s="7">
        <v>2.3569</v>
      </c>
      <c r="N68" s="7">
        <v>2.3569</v>
      </c>
      <c r="O68" s="59">
        <v>1392</v>
      </c>
      <c r="P68" s="5">
        <v>0.129</v>
      </c>
      <c r="Q68" s="5">
        <v>0.1133</v>
      </c>
      <c r="R68" s="79">
        <f t="shared" si="15"/>
        <v>6.9664748502219482E-4</v>
      </c>
      <c r="S68" s="79">
        <f t="shared" si="16"/>
        <v>2.4669303730168028E-3</v>
      </c>
      <c r="T68" s="79">
        <f t="shared" si="17"/>
        <v>-7.1787508973438624E-4</v>
      </c>
      <c r="U68" s="80">
        <f t="shared" si="18"/>
        <v>-7.0000000000000062E-3</v>
      </c>
      <c r="V68" s="82">
        <f t="shared" si="19"/>
        <v>8.9999999999999802E-4</v>
      </c>
    </row>
    <row r="69" spans="1:22">
      <c r="A69" s="74">
        <v>58</v>
      </c>
      <c r="B69" s="134" t="s">
        <v>271</v>
      </c>
      <c r="C69" s="135" t="s">
        <v>269</v>
      </c>
      <c r="D69" s="2">
        <v>132806418.14</v>
      </c>
      <c r="E69" s="3">
        <f t="shared" si="20"/>
        <v>5.5726366835844997E-4</v>
      </c>
      <c r="F69" s="7">
        <v>10.673999999999999</v>
      </c>
      <c r="G69" s="7">
        <v>10.739800000000001</v>
      </c>
      <c r="H69" s="59">
        <v>29</v>
      </c>
      <c r="I69" s="5">
        <v>0.15229999999999999</v>
      </c>
      <c r="J69" s="5">
        <v>3.8899999999999997E-2</v>
      </c>
      <c r="K69" s="2">
        <v>133080768.34999999</v>
      </c>
      <c r="L69" s="3">
        <f t="shared" si="14"/>
        <v>5.6634393961071364E-4</v>
      </c>
      <c r="M69" s="7">
        <v>10.75</v>
      </c>
      <c r="N69" s="7">
        <v>10.76</v>
      </c>
      <c r="O69" s="59">
        <v>29</v>
      </c>
      <c r="P69" s="5">
        <v>0.14899999999999999</v>
      </c>
      <c r="Q69" s="5">
        <v>4.19E-2</v>
      </c>
      <c r="R69" s="79">
        <f>((K69-D69)/D69)</f>
        <v>2.06579029720373E-3</v>
      </c>
      <c r="S69" s="79">
        <f>((N69-G69)/G69)</f>
        <v>1.8808543920742571E-3</v>
      </c>
      <c r="T69" s="79">
        <f>((O69-H69)/H69)</f>
        <v>0</v>
      </c>
      <c r="U69" s="80">
        <f>P69-I69</f>
        <v>-3.2999999999999974E-3</v>
      </c>
      <c r="V69" s="82">
        <f>Q69-J69</f>
        <v>3.0000000000000027E-3</v>
      </c>
    </row>
    <row r="70" spans="1:22">
      <c r="A70" s="74">
        <v>59</v>
      </c>
      <c r="B70" s="134" t="s">
        <v>102</v>
      </c>
      <c r="C70" s="135" t="s">
        <v>56</v>
      </c>
      <c r="D70" s="2">
        <v>2648836168.42168</v>
      </c>
      <c r="E70" s="3">
        <f t="shared" si="20"/>
        <v>1.1114674883702923E-2</v>
      </c>
      <c r="F70" s="2">
        <v>4165.5254161502899</v>
      </c>
      <c r="G70" s="2">
        <v>4165.5254161502899</v>
      </c>
      <c r="H70" s="59">
        <v>1041</v>
      </c>
      <c r="I70" s="5">
        <v>9.9840314434802915E-2</v>
      </c>
      <c r="J70" s="5">
        <v>9.199411771462164E-2</v>
      </c>
      <c r="K70" s="2">
        <v>2624740953.5528202</v>
      </c>
      <c r="L70" s="3">
        <f t="shared" si="14"/>
        <v>1.1169954536054386E-2</v>
      </c>
      <c r="M70" s="2">
        <v>4173.7229744766601</v>
      </c>
      <c r="N70" s="2">
        <v>4173.7229744766601</v>
      </c>
      <c r="O70" s="59">
        <v>1044</v>
      </c>
      <c r="P70" s="5">
        <v>0.10289582937875566</v>
      </c>
      <c r="Q70" s="5">
        <v>9.2608942214957052E-2</v>
      </c>
      <c r="R70" s="79">
        <f t="shared" si="15"/>
        <v>-9.0965289420738317E-3</v>
      </c>
      <c r="S70" s="79">
        <f t="shared" si="16"/>
        <v>1.9679530209051632E-3</v>
      </c>
      <c r="T70" s="79">
        <f t="shared" si="17"/>
        <v>2.881844380403458E-3</v>
      </c>
      <c r="U70" s="80">
        <f t="shared" si="18"/>
        <v>3.0555149439527446E-3</v>
      </c>
      <c r="V70" s="82">
        <f t="shared" si="19"/>
        <v>6.1482450033541192E-4</v>
      </c>
    </row>
    <row r="71" spans="1:22">
      <c r="A71" s="74">
        <v>60</v>
      </c>
      <c r="B71" s="134" t="s">
        <v>103</v>
      </c>
      <c r="C71" s="135" t="s">
        <v>58</v>
      </c>
      <c r="D71" s="2">
        <v>344025776.10000002</v>
      </c>
      <c r="E71" s="3">
        <f t="shared" si="20"/>
        <v>1.4435527189450392E-3</v>
      </c>
      <c r="F71" s="14">
        <v>107.95</v>
      </c>
      <c r="G71" s="14">
        <v>107.95</v>
      </c>
      <c r="H71" s="59">
        <v>128</v>
      </c>
      <c r="I71" s="5">
        <v>2E-3</v>
      </c>
      <c r="J71" s="5">
        <v>0.11</v>
      </c>
      <c r="K71" s="2">
        <v>345123283.70999998</v>
      </c>
      <c r="L71" s="3">
        <f t="shared" si="14"/>
        <v>1.4687207067639945E-3</v>
      </c>
      <c r="M71" s="14">
        <v>108.17</v>
      </c>
      <c r="N71" s="14">
        <v>108.17</v>
      </c>
      <c r="O71" s="59">
        <v>128</v>
      </c>
      <c r="P71" s="5">
        <v>2E-3</v>
      </c>
      <c r="Q71" s="5">
        <v>0.1111</v>
      </c>
      <c r="R71" s="79">
        <f t="shared" si="15"/>
        <v>3.1901900562268789E-3</v>
      </c>
      <c r="S71" s="79">
        <f t="shared" si="16"/>
        <v>2.037980546549318E-3</v>
      </c>
      <c r="T71" s="79">
        <f t="shared" si="17"/>
        <v>0</v>
      </c>
      <c r="U71" s="80">
        <f t="shared" si="18"/>
        <v>0</v>
      </c>
      <c r="V71" s="82">
        <f t="shared" si="19"/>
        <v>1.1000000000000038E-3</v>
      </c>
    </row>
    <row r="72" spans="1:22" ht="13.5" customHeight="1">
      <c r="A72" s="74">
        <v>61</v>
      </c>
      <c r="B72" s="134" t="s">
        <v>104</v>
      </c>
      <c r="C72" s="135" t="s">
        <v>105</v>
      </c>
      <c r="D72" s="2">
        <v>327793976.44999999</v>
      </c>
      <c r="E72" s="3">
        <f t="shared" si="20"/>
        <v>1.3754431174385587E-3</v>
      </c>
      <c r="F72" s="14">
        <v>1.3616999999999999</v>
      </c>
      <c r="G72" s="14">
        <v>1.3616999999999999</v>
      </c>
      <c r="H72" s="59">
        <v>330</v>
      </c>
      <c r="I72" s="5">
        <v>2.4293286219079224E-3</v>
      </c>
      <c r="J72" s="5">
        <v>1.9779366365190509E-2</v>
      </c>
      <c r="K72" s="2">
        <v>328984162.86000001</v>
      </c>
      <c r="L72" s="3">
        <f t="shared" si="14"/>
        <v>1.4000384065536171E-3</v>
      </c>
      <c r="M72" s="14">
        <v>1.3660000000000001</v>
      </c>
      <c r="N72" s="14">
        <v>1.3660000000000001</v>
      </c>
      <c r="O72" s="59">
        <v>331</v>
      </c>
      <c r="P72" s="5">
        <v>3.1578174340898268E-3</v>
      </c>
      <c r="Q72" s="5">
        <v>2.2861582693769367E-2</v>
      </c>
      <c r="R72" s="79">
        <f t="shared" si="15"/>
        <v>3.6308977452536293E-3</v>
      </c>
      <c r="S72" s="79">
        <f t="shared" si="16"/>
        <v>3.1578174340898824E-3</v>
      </c>
      <c r="T72" s="79">
        <f t="shared" si="17"/>
        <v>3.0303030303030303E-3</v>
      </c>
      <c r="U72" s="80">
        <f t="shared" si="18"/>
        <v>7.2848881218190442E-4</v>
      </c>
      <c r="V72" s="82">
        <f t="shared" si="19"/>
        <v>3.0822163285788573E-3</v>
      </c>
    </row>
    <row r="73" spans="1:22">
      <c r="A73" s="74">
        <v>62</v>
      </c>
      <c r="B73" s="134" t="s">
        <v>106</v>
      </c>
      <c r="C73" s="135" t="s">
        <v>25</v>
      </c>
      <c r="D73" s="2">
        <v>101544421.89</v>
      </c>
      <c r="E73" s="3">
        <f t="shared" si="20"/>
        <v>4.2608646356313428E-4</v>
      </c>
      <c r="F73" s="14">
        <v>118.88</v>
      </c>
      <c r="G73" s="14">
        <v>118.88</v>
      </c>
      <c r="H73" s="59">
        <v>119</v>
      </c>
      <c r="I73" s="5">
        <v>3.8400000000000001E-4</v>
      </c>
      <c r="J73" s="5">
        <v>0.1575</v>
      </c>
      <c r="K73" s="2">
        <v>107001533.16</v>
      </c>
      <c r="L73" s="3">
        <f t="shared" si="14"/>
        <v>4.553600838465614E-4</v>
      </c>
      <c r="M73" s="14">
        <v>119.19629999999999</v>
      </c>
      <c r="N73" s="14">
        <v>119.19629999999999</v>
      </c>
      <c r="O73" s="59">
        <v>122</v>
      </c>
      <c r="P73" s="5">
        <v>3.5500000000000001E-4</v>
      </c>
      <c r="Q73" s="5">
        <v>0.1578</v>
      </c>
      <c r="R73" s="79">
        <f t="shared" si="15"/>
        <v>5.3741123031962497E-2</v>
      </c>
      <c r="S73" s="79">
        <f t="shared" si="16"/>
        <v>2.6606662180349789E-3</v>
      </c>
      <c r="T73" s="79">
        <f t="shared" si="17"/>
        <v>2.5210084033613446E-2</v>
      </c>
      <c r="U73" s="80">
        <f t="shared" si="18"/>
        <v>-2.9E-5</v>
      </c>
      <c r="V73" s="82">
        <f t="shared" si="19"/>
        <v>2.9999999999999472E-4</v>
      </c>
    </row>
    <row r="74" spans="1:22">
      <c r="A74" s="74">
        <v>63</v>
      </c>
      <c r="B74" s="134" t="s">
        <v>107</v>
      </c>
      <c r="C74" s="135" t="s">
        <v>108</v>
      </c>
      <c r="D74" s="2">
        <v>1505255485.8900001</v>
      </c>
      <c r="E74" s="3">
        <f t="shared" si="20"/>
        <v>6.3161419879533423E-3</v>
      </c>
      <c r="F74" s="7">
        <v>1000</v>
      </c>
      <c r="G74" s="7">
        <v>1000</v>
      </c>
      <c r="H74" s="59">
        <v>328</v>
      </c>
      <c r="I74" s="5">
        <v>5.5999999999999999E-3</v>
      </c>
      <c r="J74" s="5">
        <v>0.15040000000000001</v>
      </c>
      <c r="K74" s="2">
        <v>1497735513.6600001</v>
      </c>
      <c r="L74" s="3">
        <f t="shared" si="14"/>
        <v>6.3738242709137491E-3</v>
      </c>
      <c r="M74" s="7">
        <v>1000</v>
      </c>
      <c r="N74" s="7">
        <v>1000</v>
      </c>
      <c r="O74" s="59">
        <v>327</v>
      </c>
      <c r="P74" s="5">
        <v>5.0000000000000001E-3</v>
      </c>
      <c r="Q74" s="5">
        <v>0.15060000000000001</v>
      </c>
      <c r="R74" s="79">
        <f t="shared" si="15"/>
        <v>-4.9958112097852588E-3</v>
      </c>
      <c r="S74" s="79">
        <f t="shared" si="16"/>
        <v>0</v>
      </c>
      <c r="T74" s="79">
        <f t="shared" si="17"/>
        <v>-3.0487804878048782E-3</v>
      </c>
      <c r="U74" s="80">
        <f t="shared" si="18"/>
        <v>-5.9999999999999984E-4</v>
      </c>
      <c r="V74" s="82">
        <f t="shared" si="19"/>
        <v>2.0000000000000573E-4</v>
      </c>
    </row>
    <row r="75" spans="1:22">
      <c r="A75" s="74">
        <v>64</v>
      </c>
      <c r="B75" s="134" t="s">
        <v>109</v>
      </c>
      <c r="C75" s="135" t="s">
        <v>64</v>
      </c>
      <c r="D75" s="2">
        <v>219959310.28999999</v>
      </c>
      <c r="E75" s="3">
        <f t="shared" si="20"/>
        <v>9.2296241295044342E-4</v>
      </c>
      <c r="F75" s="7">
        <v>1075.3499999999999</v>
      </c>
      <c r="G75" s="7">
        <v>1086.1300000000001</v>
      </c>
      <c r="H75" s="59">
        <v>77</v>
      </c>
      <c r="I75" s="5">
        <v>2.8999999999999998E-3</v>
      </c>
      <c r="J75" s="5">
        <v>2.1000000000000001E-2</v>
      </c>
      <c r="K75" s="2">
        <v>220322295.19999999</v>
      </c>
      <c r="L75" s="3">
        <f t="shared" si="14"/>
        <v>9.3761253556545624E-4</v>
      </c>
      <c r="M75" s="7">
        <v>1077.46</v>
      </c>
      <c r="N75" s="7">
        <v>1088.74</v>
      </c>
      <c r="O75" s="59">
        <v>77</v>
      </c>
      <c r="P75" s="5">
        <v>2.2000000000000001E-3</v>
      </c>
      <c r="Q75" s="5">
        <v>2.3199999999999998E-2</v>
      </c>
      <c r="R75" s="79">
        <f t="shared" si="15"/>
        <v>1.6502366256805762E-3</v>
      </c>
      <c r="S75" s="79">
        <f t="shared" si="16"/>
        <v>2.4030272619298791E-3</v>
      </c>
      <c r="T75" s="79">
        <f t="shared" si="17"/>
        <v>0</v>
      </c>
      <c r="U75" s="80">
        <f t="shared" si="18"/>
        <v>-6.9999999999999967E-4</v>
      </c>
      <c r="V75" s="82">
        <f t="shared" si="19"/>
        <v>2.1999999999999971E-3</v>
      </c>
    </row>
    <row r="76" spans="1:22">
      <c r="A76" s="74">
        <v>65</v>
      </c>
      <c r="B76" s="134" t="s">
        <v>110</v>
      </c>
      <c r="C76" s="135" t="s">
        <v>67</v>
      </c>
      <c r="D76" s="2">
        <v>899018239.23000002</v>
      </c>
      <c r="E76" s="3">
        <f t="shared" si="20"/>
        <v>3.7723342661522392E-3</v>
      </c>
      <c r="F76" s="15">
        <v>1.165</v>
      </c>
      <c r="G76" s="15">
        <v>1.165</v>
      </c>
      <c r="H76" s="59">
        <v>39</v>
      </c>
      <c r="I76" s="5">
        <v>2.4954823164961061E-3</v>
      </c>
      <c r="J76" s="5">
        <v>0.21808935742683944</v>
      </c>
      <c r="K76" s="2">
        <v>900762495.44000006</v>
      </c>
      <c r="L76" s="3">
        <f t="shared" si="14"/>
        <v>3.8333215734027365E-3</v>
      </c>
      <c r="M76" s="15">
        <v>1.1679999999999999</v>
      </c>
      <c r="N76" s="15">
        <v>1.1679999999999999</v>
      </c>
      <c r="O76" s="59">
        <v>39</v>
      </c>
      <c r="P76" s="5">
        <v>2.5751072961372459E-3</v>
      </c>
      <c r="Q76" s="5">
        <v>0.23024224751434685</v>
      </c>
      <c r="R76" s="79">
        <f t="shared" si="15"/>
        <v>1.9401788905795457E-3</v>
      </c>
      <c r="S76" s="79">
        <f t="shared" si="16"/>
        <v>2.5751072961372459E-3</v>
      </c>
      <c r="T76" s="79">
        <f t="shared" si="17"/>
        <v>0</v>
      </c>
      <c r="U76" s="80">
        <f t="shared" si="18"/>
        <v>7.9624979641139838E-5</v>
      </c>
      <c r="V76" s="82">
        <f t="shared" si="19"/>
        <v>1.2152890087507418E-2</v>
      </c>
    </row>
    <row r="77" spans="1:22">
      <c r="A77" s="74">
        <v>66</v>
      </c>
      <c r="B77" s="134" t="s">
        <v>111</v>
      </c>
      <c r="C77" s="135" t="s">
        <v>27</v>
      </c>
      <c r="D77" s="2">
        <v>44434297480.18</v>
      </c>
      <c r="E77" s="3">
        <f t="shared" si="20"/>
        <v>0.18644896806593247</v>
      </c>
      <c r="F77" s="15">
        <v>1632.63</v>
      </c>
      <c r="G77" s="15">
        <v>1632.63</v>
      </c>
      <c r="H77" s="59">
        <v>2374</v>
      </c>
      <c r="I77" s="5">
        <v>2.5000000000000001E-3</v>
      </c>
      <c r="J77" s="5">
        <v>5.5100000000000003E-2</v>
      </c>
      <c r="K77" s="2">
        <v>42811080228.620003</v>
      </c>
      <c r="L77" s="3">
        <f t="shared" si="14"/>
        <v>0.18218857717969422</v>
      </c>
      <c r="M77" s="15">
        <v>1636.28</v>
      </c>
      <c r="N77" s="15">
        <v>1636.28</v>
      </c>
      <c r="O77" s="59">
        <v>2367</v>
      </c>
      <c r="P77" s="5">
        <v>2.2000000000000001E-3</v>
      </c>
      <c r="Q77" s="5">
        <v>5.74E-2</v>
      </c>
      <c r="R77" s="79">
        <f t="shared" si="15"/>
        <v>-3.6530728369994749E-2</v>
      </c>
      <c r="S77" s="79">
        <f t="shared" si="16"/>
        <v>2.2356565786490895E-3</v>
      </c>
      <c r="T77" s="79">
        <f t="shared" si="17"/>
        <v>-2.9486099410278013E-3</v>
      </c>
      <c r="U77" s="80">
        <f t="shared" si="18"/>
        <v>-2.9999999999999992E-4</v>
      </c>
      <c r="V77" s="82">
        <f t="shared" si="19"/>
        <v>2.2999999999999965E-3</v>
      </c>
    </row>
    <row r="78" spans="1:22">
      <c r="A78" s="74">
        <v>67</v>
      </c>
      <c r="B78" s="134" t="s">
        <v>112</v>
      </c>
      <c r="C78" s="135" t="s">
        <v>72</v>
      </c>
      <c r="D78" s="2">
        <v>24029400.030000001</v>
      </c>
      <c r="E78" s="3">
        <f t="shared" si="20"/>
        <v>1.0082879876373456E-4</v>
      </c>
      <c r="F78" s="14">
        <v>0.73280000000000001</v>
      </c>
      <c r="G78" s="14">
        <v>0.73280000000000001</v>
      </c>
      <c r="H78" s="59">
        <v>746</v>
      </c>
      <c r="I78" s="5">
        <v>8.0000000000000004E-4</v>
      </c>
      <c r="J78" s="5">
        <v>-4.1300000000000003E-2</v>
      </c>
      <c r="K78" s="2">
        <v>24106499.199999999</v>
      </c>
      <c r="L78" s="3">
        <f t="shared" si="14"/>
        <v>1.0258860011421414E-4</v>
      </c>
      <c r="M78" s="14">
        <v>0.73519999999999996</v>
      </c>
      <c r="N78" s="14">
        <v>0.73519999999999996</v>
      </c>
      <c r="O78" s="59">
        <v>746</v>
      </c>
      <c r="P78" s="5">
        <v>1.8E-3</v>
      </c>
      <c r="Q78" s="5">
        <v>-3.8199999999999998E-2</v>
      </c>
      <c r="R78" s="79">
        <f t="shared" si="15"/>
        <v>3.2085349573331839E-3</v>
      </c>
      <c r="S78" s="79">
        <f t="shared" si="16"/>
        <v>3.275109170305619E-3</v>
      </c>
      <c r="T78" s="79">
        <f t="shared" si="17"/>
        <v>0</v>
      </c>
      <c r="U78" s="80">
        <f t="shared" si="18"/>
        <v>1E-3</v>
      </c>
      <c r="V78" s="82">
        <f t="shared" si="19"/>
        <v>3.1000000000000055E-3</v>
      </c>
    </row>
    <row r="79" spans="1:22">
      <c r="A79" s="74">
        <v>68</v>
      </c>
      <c r="B79" s="134" t="s">
        <v>251</v>
      </c>
      <c r="C79" s="135" t="s">
        <v>32</v>
      </c>
      <c r="D79" s="2">
        <v>10331943527.08</v>
      </c>
      <c r="E79" s="3">
        <f t="shared" si="20"/>
        <v>4.3353452580156625E-2</v>
      </c>
      <c r="F79" s="14">
        <v>1</v>
      </c>
      <c r="G79" s="14">
        <v>1</v>
      </c>
      <c r="H79" s="59">
        <v>5246</v>
      </c>
      <c r="I79" s="5">
        <v>0.06</v>
      </c>
      <c r="J79" s="5">
        <v>0.06</v>
      </c>
      <c r="K79" s="2">
        <v>10354178232.889999</v>
      </c>
      <c r="L79" s="3">
        <f t="shared" si="14"/>
        <v>4.4063662725662492E-2</v>
      </c>
      <c r="M79" s="14">
        <v>1</v>
      </c>
      <c r="N79" s="14">
        <v>1</v>
      </c>
      <c r="O79" s="59">
        <v>5250</v>
      </c>
      <c r="P79" s="5">
        <v>0.06</v>
      </c>
      <c r="Q79" s="5">
        <v>0.06</v>
      </c>
      <c r="R79" s="79">
        <f>((K79-D79)/D79)</f>
        <v>2.1520351666385277E-3</v>
      </c>
      <c r="S79" s="79">
        <f>((N79-G79)/G79)</f>
        <v>0</v>
      </c>
      <c r="T79" s="79">
        <f>((O79-H79)/H79)</f>
        <v>7.6248570339306138E-4</v>
      </c>
      <c r="U79" s="80">
        <f>P79-I79</f>
        <v>0</v>
      </c>
      <c r="V79" s="82">
        <f>Q79-J79</f>
        <v>0</v>
      </c>
    </row>
    <row r="80" spans="1:22">
      <c r="A80" s="74">
        <v>69</v>
      </c>
      <c r="B80" s="134" t="s">
        <v>113</v>
      </c>
      <c r="C80" s="135" t="s">
        <v>114</v>
      </c>
      <c r="D80" s="2">
        <v>1183287640.1900001</v>
      </c>
      <c r="E80" s="3">
        <f t="shared" si="20"/>
        <v>4.9651456633697678E-3</v>
      </c>
      <c r="F80" s="2">
        <v>224.430879</v>
      </c>
      <c r="G80" s="2">
        <v>225.92820800000001</v>
      </c>
      <c r="H80" s="59">
        <v>488</v>
      </c>
      <c r="I80" s="5">
        <v>1.6000000000000001E-3</v>
      </c>
      <c r="J80" s="5">
        <v>8.6699999999999999E-2</v>
      </c>
      <c r="K80" s="2">
        <v>1186880520.25</v>
      </c>
      <c r="L80" s="3">
        <f t="shared" si="14"/>
        <v>5.0509370964688929E-3</v>
      </c>
      <c r="M80" s="2">
        <v>224.995124</v>
      </c>
      <c r="N80" s="2">
        <v>226.57408599999999</v>
      </c>
      <c r="O80" s="59">
        <v>488</v>
      </c>
      <c r="P80" s="5">
        <v>1.6999999999999999E-3</v>
      </c>
      <c r="Q80" s="5">
        <v>8.6900000000000005E-2</v>
      </c>
      <c r="R80" s="79">
        <f t="shared" si="15"/>
        <v>3.0363539159616636E-3</v>
      </c>
      <c r="S80" s="79">
        <f t="shared" si="16"/>
        <v>2.8587753858516948E-3</v>
      </c>
      <c r="T80" s="79">
        <f t="shared" si="17"/>
        <v>0</v>
      </c>
      <c r="U80" s="80">
        <f t="shared" si="18"/>
        <v>9.9999999999999829E-5</v>
      </c>
      <c r="V80" s="82">
        <f t="shared" si="19"/>
        <v>2.0000000000000573E-4</v>
      </c>
    </row>
    <row r="81" spans="1:22">
      <c r="A81" s="74">
        <v>70</v>
      </c>
      <c r="B81" s="134" t="s">
        <v>115</v>
      </c>
      <c r="C81" s="135" t="s">
        <v>34</v>
      </c>
      <c r="D81" s="2">
        <v>1112794344.8900001</v>
      </c>
      <c r="E81" s="3">
        <f t="shared" si="20"/>
        <v>4.6693515829049044E-3</v>
      </c>
      <c r="F81" s="14">
        <v>3.45</v>
      </c>
      <c r="G81" s="14">
        <v>3.45</v>
      </c>
      <c r="H81" s="60">
        <v>772</v>
      </c>
      <c r="I81" s="12">
        <v>1.2999999999999999E-3</v>
      </c>
      <c r="J81" s="12">
        <v>-8.0500000000000002E-2</v>
      </c>
      <c r="K81" s="2">
        <v>1114546459.23</v>
      </c>
      <c r="L81" s="3">
        <f t="shared" si="14"/>
        <v>4.7431093194427731E-3</v>
      </c>
      <c r="M81" s="14">
        <v>3.46</v>
      </c>
      <c r="N81" s="14">
        <v>3.46</v>
      </c>
      <c r="O81" s="60">
        <v>772</v>
      </c>
      <c r="P81" s="12">
        <v>1.6000000000000001E-3</v>
      </c>
      <c r="Q81" s="12">
        <v>-7.3999999999999996E-2</v>
      </c>
      <c r="R81" s="79">
        <f t="shared" si="15"/>
        <v>1.5745176528310907E-3</v>
      </c>
      <c r="S81" s="79">
        <f t="shared" si="16"/>
        <v>2.8985507246376192E-3</v>
      </c>
      <c r="T81" s="79">
        <f t="shared" si="17"/>
        <v>0</v>
      </c>
      <c r="U81" s="80">
        <f t="shared" si="18"/>
        <v>3.0000000000000014E-4</v>
      </c>
      <c r="V81" s="82">
        <f t="shared" si="19"/>
        <v>6.5000000000000058E-3</v>
      </c>
    </row>
    <row r="82" spans="1:22">
      <c r="A82" s="74">
        <v>71</v>
      </c>
      <c r="B82" s="134" t="s">
        <v>258</v>
      </c>
      <c r="C82" s="135" t="s">
        <v>36</v>
      </c>
      <c r="D82" s="2">
        <v>537226789.92999995</v>
      </c>
      <c r="E82" s="3">
        <f t="shared" si="20"/>
        <v>2.2542357206052585E-3</v>
      </c>
      <c r="F82" s="14">
        <v>103.08</v>
      </c>
      <c r="G82" s="14">
        <v>103.08</v>
      </c>
      <c r="H82" s="60">
        <v>64</v>
      </c>
      <c r="I82" s="12">
        <v>0.14019999999999999</v>
      </c>
      <c r="J82" s="12">
        <v>-0.13830000000000001</v>
      </c>
      <c r="K82" s="2">
        <v>550830406.66040003</v>
      </c>
      <c r="L82" s="3">
        <f t="shared" si="14"/>
        <v>2.3441363198698608E-3</v>
      </c>
      <c r="M82" s="14">
        <v>10.288</v>
      </c>
      <c r="N82" s="14">
        <v>10.288</v>
      </c>
      <c r="O82" s="60">
        <v>64</v>
      </c>
      <c r="P82" s="12">
        <v>0.14019999999999999</v>
      </c>
      <c r="Q82" s="12">
        <v>0.16020000000000001</v>
      </c>
      <c r="R82" s="79">
        <f>((K82-D82)/D82)</f>
        <v>2.5321925461261195E-2</v>
      </c>
      <c r="S82" s="79">
        <f>((N82-G82)/G82)</f>
        <v>-0.9001940240589833</v>
      </c>
      <c r="T82" s="79">
        <f>((O82-H82)/H82)</f>
        <v>0</v>
      </c>
      <c r="U82" s="80">
        <f>P82-I82</f>
        <v>0</v>
      </c>
      <c r="V82" s="82">
        <f>Q82-J82</f>
        <v>0.29849999999999999</v>
      </c>
    </row>
    <row r="83" spans="1:22">
      <c r="A83" s="74">
        <v>72</v>
      </c>
      <c r="B83" s="135" t="s">
        <v>116</v>
      </c>
      <c r="C83" s="153" t="s">
        <v>40</v>
      </c>
      <c r="D83" s="2">
        <v>2578335779.2600002</v>
      </c>
      <c r="E83" s="3">
        <f t="shared" si="20"/>
        <v>1.0818851036970452E-2</v>
      </c>
      <c r="F83" s="14">
        <v>103.84</v>
      </c>
      <c r="G83" s="14">
        <v>103.84</v>
      </c>
      <c r="H83" s="59">
        <v>139</v>
      </c>
      <c r="I83" s="5">
        <v>2.5999999999999999E-3</v>
      </c>
      <c r="J83" s="5">
        <v>0.1139</v>
      </c>
      <c r="K83" s="2">
        <v>1710393702.3900001</v>
      </c>
      <c r="L83" s="3">
        <f t="shared" si="14"/>
        <v>7.2788211227434434E-3</v>
      </c>
      <c r="M83" s="14">
        <v>103.9</v>
      </c>
      <c r="N83" s="14">
        <v>103.9</v>
      </c>
      <c r="O83" s="59">
        <v>139</v>
      </c>
      <c r="P83" s="5">
        <v>4.0000000000000002E-4</v>
      </c>
      <c r="Q83" s="5">
        <v>0.1105</v>
      </c>
      <c r="R83" s="79">
        <f t="shared" si="15"/>
        <v>-0.33662879903063103</v>
      </c>
      <c r="S83" s="79">
        <f t="shared" si="16"/>
        <v>5.7781201849000643E-4</v>
      </c>
      <c r="T83" s="79">
        <f t="shared" si="17"/>
        <v>0</v>
      </c>
      <c r="U83" s="80">
        <f t="shared" si="18"/>
        <v>-2.1999999999999997E-3</v>
      </c>
      <c r="V83" s="82">
        <f t="shared" si="19"/>
        <v>-3.4000000000000002E-3</v>
      </c>
    </row>
    <row r="84" spans="1:22">
      <c r="A84" s="74">
        <v>73</v>
      </c>
      <c r="B84" s="134" t="s">
        <v>117</v>
      </c>
      <c r="C84" s="135" t="s">
        <v>17</v>
      </c>
      <c r="D84" s="2">
        <v>1258375663.5799999</v>
      </c>
      <c r="E84" s="3">
        <f t="shared" si="20"/>
        <v>5.2802194975272859E-3</v>
      </c>
      <c r="F84" s="14">
        <v>342.25810000000001</v>
      </c>
      <c r="G84" s="14">
        <v>342.25810000000001</v>
      </c>
      <c r="H84" s="59">
        <v>105</v>
      </c>
      <c r="I84" s="5">
        <v>2.3999999999999998E-3</v>
      </c>
      <c r="J84" s="5">
        <v>4.5999999999999999E-2</v>
      </c>
      <c r="K84" s="2">
        <v>1260817822.72</v>
      </c>
      <c r="L84" s="3">
        <f t="shared" si="14"/>
        <v>5.3655876931270148E-3</v>
      </c>
      <c r="M84" s="14">
        <v>343.06529999999998</v>
      </c>
      <c r="N84" s="14">
        <v>343.06529999999998</v>
      </c>
      <c r="O84" s="59">
        <v>105</v>
      </c>
      <c r="P84" s="5">
        <v>2.3999999999999998E-3</v>
      </c>
      <c r="Q84" s="5">
        <v>4.8399999999999999E-2</v>
      </c>
      <c r="R84" s="79">
        <f t="shared" si="15"/>
        <v>1.9407234347272064E-3</v>
      </c>
      <c r="S84" s="79">
        <f t="shared" si="16"/>
        <v>2.3584540438925071E-3</v>
      </c>
      <c r="T84" s="79">
        <f t="shared" si="17"/>
        <v>0</v>
      </c>
      <c r="U84" s="80">
        <f t="shared" si="18"/>
        <v>0</v>
      </c>
      <c r="V84" s="82">
        <f t="shared" si="19"/>
        <v>2.3999999999999994E-3</v>
      </c>
    </row>
    <row r="85" spans="1:22">
      <c r="A85" s="74">
        <v>74</v>
      </c>
      <c r="B85" s="134" t="s">
        <v>252</v>
      </c>
      <c r="C85" s="135" t="s">
        <v>78</v>
      </c>
      <c r="D85" s="9">
        <v>1716010286.1600001</v>
      </c>
      <c r="E85" s="3">
        <f>(D85/$K$60)</f>
        <v>1.644759058305694E-3</v>
      </c>
      <c r="F85" s="14">
        <v>103.91</v>
      </c>
      <c r="G85" s="14">
        <v>103.91</v>
      </c>
      <c r="H85" s="59">
        <v>372</v>
      </c>
      <c r="I85" s="5">
        <v>2.5999999999999999E-3</v>
      </c>
      <c r="J85" s="5">
        <v>6.1499999999999999E-2</v>
      </c>
      <c r="K85" s="9">
        <v>1716254557.6900001</v>
      </c>
      <c r="L85" s="3">
        <f>(K85/$K$60)</f>
        <v>1.6449931873286339E-3</v>
      </c>
      <c r="M85" s="14">
        <v>104</v>
      </c>
      <c r="N85" s="14">
        <v>104</v>
      </c>
      <c r="O85" s="59">
        <v>372</v>
      </c>
      <c r="P85" s="5">
        <v>8.9999999999999998E-4</v>
      </c>
      <c r="Q85" s="5">
        <v>6.25E-2</v>
      </c>
      <c r="R85" s="79">
        <f t="shared" si="15"/>
        <v>1.4234852318198494E-4</v>
      </c>
      <c r="S85" s="79">
        <f t="shared" si="16"/>
        <v>8.6613415455686087E-4</v>
      </c>
      <c r="T85" s="79">
        <f t="shared" si="17"/>
        <v>0</v>
      </c>
      <c r="U85" s="80">
        <f t="shared" si="18"/>
        <v>-1.6999999999999999E-3</v>
      </c>
      <c r="V85" s="82">
        <f t="shared" si="19"/>
        <v>1.0000000000000009E-3</v>
      </c>
    </row>
    <row r="86" spans="1:22">
      <c r="A86" s="74">
        <v>75</v>
      </c>
      <c r="B86" s="134" t="s">
        <v>118</v>
      </c>
      <c r="C86" s="135" t="s">
        <v>38</v>
      </c>
      <c r="D86" s="2">
        <v>57217016.090000004</v>
      </c>
      <c r="E86" s="3">
        <f t="shared" ref="E86:E97" si="21">(D86/$D$98)</f>
        <v>2.4008601937615555E-4</v>
      </c>
      <c r="F86" s="2">
        <v>12.493995999999999</v>
      </c>
      <c r="G86" s="2">
        <v>12.642075999999999</v>
      </c>
      <c r="H86" s="59">
        <v>56</v>
      </c>
      <c r="I86" s="5">
        <v>-8.9999999999999998E-4</v>
      </c>
      <c r="J86" s="5">
        <v>9.2700000000000005E-2</v>
      </c>
      <c r="K86" s="2">
        <v>57170006.030000001</v>
      </c>
      <c r="L86" s="3">
        <f t="shared" ref="L86:L97" si="22">(K86/$K$98)</f>
        <v>2.4329500681454741E-4</v>
      </c>
      <c r="M86" s="2">
        <v>12.483731000000001</v>
      </c>
      <c r="N86" s="2">
        <v>12.639594000000001</v>
      </c>
      <c r="O86" s="59">
        <v>56</v>
      </c>
      <c r="P86" s="5">
        <v>-3.5000000000000001E-3</v>
      </c>
      <c r="Q86" s="5">
        <v>8.7099999999999997E-2</v>
      </c>
      <c r="R86" s="79">
        <f t="shared" si="15"/>
        <v>-8.2160977996576228E-4</v>
      </c>
      <c r="S86" s="79">
        <f t="shared" si="16"/>
        <v>-1.9632851439896129E-4</v>
      </c>
      <c r="T86" s="79">
        <f t="shared" si="17"/>
        <v>0</v>
      </c>
      <c r="U86" s="80">
        <f t="shared" si="18"/>
        <v>-2.5999999999999999E-3</v>
      </c>
      <c r="V86" s="82">
        <f t="shared" si="19"/>
        <v>-5.6000000000000077E-3</v>
      </c>
    </row>
    <row r="87" spans="1:22">
      <c r="A87" s="74">
        <v>76</v>
      </c>
      <c r="B87" s="134" t="s">
        <v>236</v>
      </c>
      <c r="C87" s="135" t="s">
        <v>237</v>
      </c>
      <c r="D87" s="2">
        <v>288801442.61000001</v>
      </c>
      <c r="E87" s="3">
        <f t="shared" si="21"/>
        <v>1.2118281148611736E-3</v>
      </c>
      <c r="F87" s="2">
        <v>120.52</v>
      </c>
      <c r="G87" s="2">
        <v>120.52</v>
      </c>
      <c r="H87" s="59">
        <v>82</v>
      </c>
      <c r="I87" s="5">
        <v>0.17760000000000001</v>
      </c>
      <c r="J87" s="5">
        <v>0.17899999999999999</v>
      </c>
      <c r="K87" s="2">
        <v>288801442.61000001</v>
      </c>
      <c r="L87" s="3">
        <f t="shared" si="22"/>
        <v>1.2290351851804951E-3</v>
      </c>
      <c r="M87" s="2">
        <v>120.52</v>
      </c>
      <c r="N87" s="2">
        <v>120.52</v>
      </c>
      <c r="O87" s="59">
        <v>82</v>
      </c>
      <c r="P87" s="5">
        <v>0.17760000000000001</v>
      </c>
      <c r="Q87" s="5">
        <v>0.17899999999999999</v>
      </c>
      <c r="R87" s="79">
        <f>((K87-D87)/D87)</f>
        <v>0</v>
      </c>
      <c r="S87" s="79">
        <f>((N87-G87)/G87)</f>
        <v>0</v>
      </c>
      <c r="T87" s="79">
        <f>((O87-H87)/H87)</f>
        <v>0</v>
      </c>
      <c r="U87" s="80">
        <f t="shared" si="18"/>
        <v>0</v>
      </c>
      <c r="V87" s="82">
        <f t="shared" si="19"/>
        <v>0</v>
      </c>
    </row>
    <row r="88" spans="1:22">
      <c r="A88" s="74">
        <v>77</v>
      </c>
      <c r="B88" s="134" t="s">
        <v>119</v>
      </c>
      <c r="C88" s="135" t="s">
        <v>120</v>
      </c>
      <c r="D88" s="2">
        <v>7829371258.6427269</v>
      </c>
      <c r="E88" s="3">
        <f t="shared" si="21"/>
        <v>3.2852509762985316E-2</v>
      </c>
      <c r="F88" s="14">
        <v>1.06</v>
      </c>
      <c r="G88" s="14">
        <v>1.06</v>
      </c>
      <c r="H88" s="59">
        <v>4391</v>
      </c>
      <c r="I88" s="5">
        <v>0.15010000000000001</v>
      </c>
      <c r="J88" s="5">
        <v>0.15010000000000001</v>
      </c>
      <c r="K88" s="2">
        <v>7473364320.9953947</v>
      </c>
      <c r="L88" s="3">
        <f t="shared" si="22"/>
        <v>3.1803953675464916E-2</v>
      </c>
      <c r="M88" s="14">
        <v>1.06</v>
      </c>
      <c r="N88" s="14">
        <v>1.06</v>
      </c>
      <c r="O88" s="59">
        <v>4404</v>
      </c>
      <c r="P88" s="5">
        <v>0.15040000000000001</v>
      </c>
      <c r="Q88" s="5">
        <v>0.15040000000000001</v>
      </c>
      <c r="R88" s="79">
        <f t="shared" si="15"/>
        <v>-4.5470693097398006E-2</v>
      </c>
      <c r="S88" s="79">
        <f t="shared" si="16"/>
        <v>0</v>
      </c>
      <c r="T88" s="79">
        <f t="shared" si="17"/>
        <v>2.960601229788203E-3</v>
      </c>
      <c r="U88" s="80">
        <f t="shared" si="18"/>
        <v>2.9999999999999472E-4</v>
      </c>
      <c r="V88" s="82">
        <f t="shared" si="19"/>
        <v>2.9999999999999472E-4</v>
      </c>
    </row>
    <row r="89" spans="1:22" ht="14.25" customHeight="1">
      <c r="A89" s="74">
        <v>78</v>
      </c>
      <c r="B89" s="134" t="s">
        <v>121</v>
      </c>
      <c r="C89" s="135" t="s">
        <v>42</v>
      </c>
      <c r="D89" s="2">
        <v>13897001531.34</v>
      </c>
      <c r="E89" s="3">
        <f t="shared" si="21"/>
        <v>5.831264904963971E-2</v>
      </c>
      <c r="F89" s="2">
        <v>5160.97</v>
      </c>
      <c r="G89" s="2">
        <v>5160.97</v>
      </c>
      <c r="H89" s="59">
        <v>369</v>
      </c>
      <c r="I89" s="5">
        <v>1E-4</v>
      </c>
      <c r="J89" s="5">
        <v>2.98E-2</v>
      </c>
      <c r="K89" s="2">
        <v>13618073116.120001</v>
      </c>
      <c r="L89" s="3">
        <f t="shared" si="22"/>
        <v>5.7953626764510248E-2</v>
      </c>
      <c r="M89" s="2">
        <v>5161.41</v>
      </c>
      <c r="N89" s="2">
        <v>5161.41</v>
      </c>
      <c r="O89" s="59">
        <v>367</v>
      </c>
      <c r="P89" s="5">
        <v>1E-4</v>
      </c>
      <c r="Q89" s="5">
        <v>2.9899999999999999E-2</v>
      </c>
      <c r="R89" s="79">
        <f t="shared" si="15"/>
        <v>-2.0071122147534513E-2</v>
      </c>
      <c r="S89" s="79">
        <f t="shared" si="16"/>
        <v>8.5255291156429854E-5</v>
      </c>
      <c r="T89" s="79">
        <f t="shared" si="17"/>
        <v>-5.4200542005420054E-3</v>
      </c>
      <c r="U89" s="80">
        <f t="shared" si="18"/>
        <v>0</v>
      </c>
      <c r="V89" s="82">
        <f t="shared" si="19"/>
        <v>9.9999999999999395E-5</v>
      </c>
    </row>
    <row r="90" spans="1:22">
      <c r="A90" s="74">
        <v>79</v>
      </c>
      <c r="B90" s="134" t="s">
        <v>122</v>
      </c>
      <c r="C90" s="135" t="s">
        <v>42</v>
      </c>
      <c r="D90" s="2">
        <v>27895209396.849998</v>
      </c>
      <c r="E90" s="3">
        <f t="shared" si="21"/>
        <v>0.11704996592656192</v>
      </c>
      <c r="F90" s="14">
        <v>258.33999999999997</v>
      </c>
      <c r="G90" s="14">
        <v>258.33999999999997</v>
      </c>
      <c r="H90" s="59">
        <v>6582</v>
      </c>
      <c r="I90" s="5">
        <v>0</v>
      </c>
      <c r="J90" s="5">
        <v>9.9000000000000008E-3</v>
      </c>
      <c r="K90" s="2">
        <v>27858131580.240002</v>
      </c>
      <c r="L90" s="3">
        <f t="shared" si="22"/>
        <v>0.11855419971616626</v>
      </c>
      <c r="M90" s="14">
        <v>258.35000000000002</v>
      </c>
      <c r="N90" s="14">
        <v>258.35000000000002</v>
      </c>
      <c r="O90" s="59">
        <v>6575</v>
      </c>
      <c r="P90" s="5">
        <v>0</v>
      </c>
      <c r="Q90" s="5">
        <v>9.9000000000000008E-3</v>
      </c>
      <c r="R90" s="79">
        <f t="shared" si="15"/>
        <v>-1.32918222919609E-3</v>
      </c>
      <c r="S90" s="79">
        <f t="shared" si="16"/>
        <v>3.8708678485901328E-5</v>
      </c>
      <c r="T90" s="79">
        <f t="shared" si="17"/>
        <v>-1.0635065329687025E-3</v>
      </c>
      <c r="U90" s="80">
        <f t="shared" si="18"/>
        <v>0</v>
      </c>
      <c r="V90" s="82">
        <f t="shared" si="19"/>
        <v>0</v>
      </c>
    </row>
    <row r="91" spans="1:22" ht="12.75" customHeight="1">
      <c r="A91" s="74">
        <v>80</v>
      </c>
      <c r="B91" s="134" t="s">
        <v>123</v>
      </c>
      <c r="C91" s="135" t="s">
        <v>42</v>
      </c>
      <c r="D91" s="2">
        <v>338728790.63999999</v>
      </c>
      <c r="E91" s="3">
        <f t="shared" si="21"/>
        <v>1.4213262513539226E-3</v>
      </c>
      <c r="F91" s="2">
        <v>5873.98</v>
      </c>
      <c r="G91" s="7">
        <v>5900.9</v>
      </c>
      <c r="H91" s="59">
        <v>15</v>
      </c>
      <c r="I91" s="5">
        <v>1.8499999999999999E-2</v>
      </c>
      <c r="J91" s="5">
        <v>0.1115</v>
      </c>
      <c r="K91" s="2">
        <v>341387183.63</v>
      </c>
      <c r="L91" s="3">
        <f t="shared" si="22"/>
        <v>1.4528212070517425E-3</v>
      </c>
      <c r="M91" s="2">
        <v>5919.92</v>
      </c>
      <c r="N91" s="7">
        <v>5947.32</v>
      </c>
      <c r="O91" s="59">
        <v>15</v>
      </c>
      <c r="P91" s="5">
        <v>7.9000000000000008E-3</v>
      </c>
      <c r="Q91" s="5">
        <v>0.1202</v>
      </c>
      <c r="R91" s="79">
        <f t="shared" si="15"/>
        <v>7.8481459605993231E-3</v>
      </c>
      <c r="S91" s="79">
        <f t="shared" si="16"/>
        <v>7.8665966208544581E-3</v>
      </c>
      <c r="T91" s="79">
        <f t="shared" si="17"/>
        <v>0</v>
      </c>
      <c r="U91" s="80">
        <f t="shared" si="18"/>
        <v>-1.0599999999999998E-2</v>
      </c>
      <c r="V91" s="82">
        <f t="shared" si="19"/>
        <v>8.6999999999999994E-3</v>
      </c>
    </row>
    <row r="92" spans="1:22" ht="12.75" customHeight="1">
      <c r="A92" s="74">
        <v>81</v>
      </c>
      <c r="B92" s="134" t="s">
        <v>124</v>
      </c>
      <c r="C92" s="135" t="s">
        <v>42</v>
      </c>
      <c r="D92" s="2">
        <v>12783589989.950001</v>
      </c>
      <c r="E92" s="3">
        <f t="shared" si="21"/>
        <v>5.3640707673330956E-2</v>
      </c>
      <c r="F92" s="14">
        <v>130.85</v>
      </c>
      <c r="G92" s="14">
        <v>130.85</v>
      </c>
      <c r="H92" s="59">
        <v>4410</v>
      </c>
      <c r="I92" s="5">
        <v>1E-3</v>
      </c>
      <c r="J92" s="5">
        <v>3.9199999999999999E-2</v>
      </c>
      <c r="K92" s="2">
        <v>12591629623.68</v>
      </c>
      <c r="L92" s="3">
        <f t="shared" si="22"/>
        <v>5.3585452019926656E-2</v>
      </c>
      <c r="M92" s="14">
        <v>130.96</v>
      </c>
      <c r="N92" s="14">
        <v>130.96</v>
      </c>
      <c r="O92" s="59">
        <v>4410</v>
      </c>
      <c r="P92" s="5">
        <v>8.0000000000000004E-4</v>
      </c>
      <c r="Q92" s="5">
        <v>0.04</v>
      </c>
      <c r="R92" s="79">
        <f t="shared" si="15"/>
        <v>-1.5016154806350391E-2</v>
      </c>
      <c r="S92" s="79">
        <f t="shared" si="16"/>
        <v>8.4065724111588569E-4</v>
      </c>
      <c r="T92" s="79">
        <f t="shared" si="17"/>
        <v>0</v>
      </c>
      <c r="U92" s="80">
        <f t="shared" si="18"/>
        <v>-1.9999999999999998E-4</v>
      </c>
      <c r="V92" s="82">
        <f t="shared" si="19"/>
        <v>8.000000000000021E-4</v>
      </c>
    </row>
    <row r="93" spans="1:22" ht="12.75" customHeight="1">
      <c r="A93" s="74">
        <v>82</v>
      </c>
      <c r="B93" s="134" t="s">
        <v>125</v>
      </c>
      <c r="C93" s="135" t="s">
        <v>42</v>
      </c>
      <c r="D93" s="2">
        <v>10504519071.59</v>
      </c>
      <c r="E93" s="3">
        <f t="shared" si="21"/>
        <v>4.4077589879765296E-2</v>
      </c>
      <c r="F93" s="14">
        <v>358.31</v>
      </c>
      <c r="G93" s="14">
        <v>358.75</v>
      </c>
      <c r="H93" s="59">
        <v>10213</v>
      </c>
      <c r="I93" s="5">
        <v>5.4000000000000003E-3</v>
      </c>
      <c r="J93" s="5">
        <v>1.5299999999999999E-2</v>
      </c>
      <c r="K93" s="2">
        <v>10468635248.530001</v>
      </c>
      <c r="L93" s="3">
        <f t="shared" si="22"/>
        <v>4.455075066449346E-2</v>
      </c>
      <c r="M93" s="14">
        <v>358.45</v>
      </c>
      <c r="N93" s="14">
        <v>358.89</v>
      </c>
      <c r="O93" s="59">
        <v>10220</v>
      </c>
      <c r="P93" s="5">
        <v>1E-4</v>
      </c>
      <c r="Q93" s="5">
        <v>1.54E-2</v>
      </c>
      <c r="R93" s="79">
        <f t="shared" si="15"/>
        <v>-3.4160367376598012E-3</v>
      </c>
      <c r="S93" s="79">
        <f t="shared" si="16"/>
        <v>3.9024390243898636E-4</v>
      </c>
      <c r="T93" s="79">
        <f t="shared" si="17"/>
        <v>6.8540095956134343E-4</v>
      </c>
      <c r="U93" s="80">
        <f t="shared" si="18"/>
        <v>-5.3E-3</v>
      </c>
      <c r="V93" s="82">
        <f t="shared" si="19"/>
        <v>1.0000000000000113E-4</v>
      </c>
    </row>
    <row r="94" spans="1:22">
      <c r="A94" s="74">
        <v>83</v>
      </c>
      <c r="B94" s="134" t="s">
        <v>126</v>
      </c>
      <c r="C94" s="135" t="s">
        <v>45</v>
      </c>
      <c r="D94" s="2">
        <v>87337287160.610001</v>
      </c>
      <c r="E94" s="3">
        <f t="shared" si="21"/>
        <v>0.36647247707780761</v>
      </c>
      <c r="F94" s="2">
        <v>1.9963</v>
      </c>
      <c r="G94" s="2">
        <v>1.9963</v>
      </c>
      <c r="H94" s="59">
        <v>6119</v>
      </c>
      <c r="I94" s="5">
        <v>3.1899999999999998E-2</v>
      </c>
      <c r="J94" s="5">
        <v>5.2200000000000003E-2</v>
      </c>
      <c r="K94" s="2">
        <v>87256911621.880005</v>
      </c>
      <c r="L94" s="3">
        <f t="shared" si="22"/>
        <v>0.37133406801674351</v>
      </c>
      <c r="M94" s="2">
        <v>1.9973000000000001</v>
      </c>
      <c r="N94" s="2">
        <v>1.9973000000000001</v>
      </c>
      <c r="O94" s="59">
        <v>6222</v>
      </c>
      <c r="P94" s="5">
        <v>3.09E-2</v>
      </c>
      <c r="Q94" s="5">
        <v>5.1499999999999997E-2</v>
      </c>
      <c r="R94" s="79">
        <f t="shared" si="15"/>
        <v>-9.2028893205931754E-4</v>
      </c>
      <c r="S94" s="79">
        <f t="shared" si="16"/>
        <v>5.0092671442173613E-4</v>
      </c>
      <c r="T94" s="79">
        <f t="shared" si="17"/>
        <v>1.6832815819578361E-2</v>
      </c>
      <c r="U94" s="80">
        <f t="shared" si="18"/>
        <v>-9.9999999999999742E-4</v>
      </c>
      <c r="V94" s="82">
        <f t="shared" si="19"/>
        <v>-7.0000000000000617E-4</v>
      </c>
    </row>
    <row r="95" spans="1:22">
      <c r="A95" s="74">
        <v>84</v>
      </c>
      <c r="B95" s="134" t="s">
        <v>241</v>
      </c>
      <c r="C95" s="134" t="s">
        <v>242</v>
      </c>
      <c r="D95" s="2">
        <v>86218216.760000005</v>
      </c>
      <c r="E95" s="3">
        <f t="shared" si="21"/>
        <v>3.6177679078998158E-4</v>
      </c>
      <c r="F95" s="2">
        <v>106.06251292901956</v>
      </c>
      <c r="G95" s="2">
        <v>106.06251292901956</v>
      </c>
      <c r="H95" s="59">
        <v>59</v>
      </c>
      <c r="I95" s="5">
        <v>1.5350016869157353E-3</v>
      </c>
      <c r="J95" s="5">
        <v>4.3932646276238607E-2</v>
      </c>
      <c r="K95" s="2">
        <v>86349248.489999995</v>
      </c>
      <c r="L95" s="3">
        <f t="shared" si="22"/>
        <v>3.6747137981376905E-4</v>
      </c>
      <c r="M95" s="2">
        <v>106.22239668597999</v>
      </c>
      <c r="N95" s="2">
        <v>106.22239668597999</v>
      </c>
      <c r="O95" s="59">
        <v>59</v>
      </c>
      <c r="P95" s="5">
        <v>3.0447639429187958E-3</v>
      </c>
      <c r="Q95" s="5">
        <v>4.5506320790361876E-2</v>
      </c>
      <c r="R95" s="79">
        <f>((K95-D95)/D95)</f>
        <v>1.5197685004867789E-3</v>
      </c>
      <c r="S95" s="79">
        <f>((N95-G95)/G95)</f>
        <v>1.5074483202884795E-3</v>
      </c>
      <c r="T95" s="79">
        <f>((O95-H95)/H95)</f>
        <v>0</v>
      </c>
      <c r="U95" s="80">
        <f>P95-I95</f>
        <v>1.5097622560030605E-3</v>
      </c>
      <c r="V95" s="82">
        <f>Q95-J95</f>
        <v>1.5736745141232689E-3</v>
      </c>
    </row>
    <row r="96" spans="1:22">
      <c r="A96" s="74">
        <v>85</v>
      </c>
      <c r="B96" s="134" t="s">
        <v>262</v>
      </c>
      <c r="C96" s="135" t="s">
        <v>261</v>
      </c>
      <c r="D96" s="2">
        <v>240169245.33000001</v>
      </c>
      <c r="E96" s="3">
        <f t="shared" si="21"/>
        <v>1.007764508326618E-3</v>
      </c>
      <c r="F96" s="2">
        <v>1.01</v>
      </c>
      <c r="G96" s="2">
        <v>1.01</v>
      </c>
      <c r="H96" s="59">
        <v>270</v>
      </c>
      <c r="I96" s="5">
        <v>2.3E-3</v>
      </c>
      <c r="J96" s="5">
        <v>-2.8400000000000002E-2</v>
      </c>
      <c r="K96" s="2">
        <v>240424192.24000001</v>
      </c>
      <c r="L96" s="3">
        <f t="shared" si="22"/>
        <v>1.023158987576774E-3</v>
      </c>
      <c r="M96" s="2">
        <v>1.0125</v>
      </c>
      <c r="N96" s="2">
        <v>1.0125</v>
      </c>
      <c r="O96" s="59">
        <v>272</v>
      </c>
      <c r="P96" s="5">
        <v>-1.2310000000000001E-3</v>
      </c>
      <c r="Q96" s="5">
        <v>-2.7307000000000001E-2</v>
      </c>
      <c r="R96" s="79">
        <f>((K96-D96)/D96)</f>
        <v>1.0615302123704116E-3</v>
      </c>
      <c r="S96" s="79">
        <f>((N96-G96)/G96)</f>
        <v>2.4752475247524224E-3</v>
      </c>
      <c r="T96" s="79">
        <f>((O96-H96)/H96)</f>
        <v>7.4074074074074077E-3</v>
      </c>
      <c r="U96" s="80">
        <f>P96-I96</f>
        <v>-3.5310000000000003E-3</v>
      </c>
      <c r="V96" s="82">
        <f>Q96-J96</f>
        <v>1.0930000000000002E-3</v>
      </c>
    </row>
    <row r="97" spans="1:28">
      <c r="A97" s="74">
        <v>86</v>
      </c>
      <c r="B97" s="134" t="s">
        <v>127</v>
      </c>
      <c r="C97" s="135" t="s">
        <v>91</v>
      </c>
      <c r="D97" s="2">
        <v>2589420427.3899999</v>
      </c>
      <c r="E97" s="3">
        <f t="shared" si="21"/>
        <v>1.0865362883053632E-2</v>
      </c>
      <c r="F97" s="14">
        <v>26.375</v>
      </c>
      <c r="G97" s="14">
        <v>26.375</v>
      </c>
      <c r="H97" s="59">
        <v>1317</v>
      </c>
      <c r="I97" s="5">
        <v>0</v>
      </c>
      <c r="J97" s="5">
        <v>0.1208</v>
      </c>
      <c r="K97" s="2">
        <v>2682900639.8699999</v>
      </c>
      <c r="L97" s="3">
        <f t="shared" si="22"/>
        <v>1.1417461266619447E-2</v>
      </c>
      <c r="M97" s="14">
        <v>26.6968</v>
      </c>
      <c r="N97" s="14">
        <v>26.6968</v>
      </c>
      <c r="O97" s="59">
        <v>118</v>
      </c>
      <c r="P97" s="5">
        <v>0</v>
      </c>
      <c r="Q97" s="5">
        <v>0.1197</v>
      </c>
      <c r="R97" s="79">
        <f t="shared" si="15"/>
        <v>3.6100824528608196E-2</v>
      </c>
      <c r="S97" s="79">
        <f t="shared" si="16"/>
        <v>1.2200947867298565E-2</v>
      </c>
      <c r="T97" s="79">
        <f t="shared" si="17"/>
        <v>-0.91040242976461661</v>
      </c>
      <c r="U97" s="80">
        <f t="shared" si="18"/>
        <v>0</v>
      </c>
      <c r="V97" s="82">
        <f t="shared" si="19"/>
        <v>-1.1000000000000038E-3</v>
      </c>
    </row>
    <row r="98" spans="1:28">
      <c r="A98" s="74"/>
      <c r="B98" s="19"/>
      <c r="C98" s="70" t="s">
        <v>46</v>
      </c>
      <c r="D98" s="58">
        <f>SUM(D63:D97)</f>
        <v>238318816891.85349</v>
      </c>
      <c r="E98" s="99">
        <f>(D98/$D$196)</f>
        <v>8.1387208610425296E-2</v>
      </c>
      <c r="F98" s="30"/>
      <c r="G98" s="11"/>
      <c r="H98" s="64">
        <f>SUM(H63:H97)</f>
        <v>49908</v>
      </c>
      <c r="I98" s="12"/>
      <c r="J98" s="12"/>
      <c r="K98" s="58">
        <f>SUM(K63:K97)</f>
        <v>234982241429.96106</v>
      </c>
      <c r="L98" s="99">
        <f>(K98/$K$196)</f>
        <v>8.0039101435289431E-2</v>
      </c>
      <c r="M98" s="30"/>
      <c r="N98" s="11"/>
      <c r="O98" s="64">
        <f>SUM(O63:O97)</f>
        <v>48836</v>
      </c>
      <c r="P98" s="12"/>
      <c r="Q98" s="12"/>
      <c r="R98" s="79">
        <f t="shared" si="15"/>
        <v>-1.4000470065301338E-2</v>
      </c>
      <c r="S98" s="79" t="e">
        <f t="shared" si="16"/>
        <v>#DIV/0!</v>
      </c>
      <c r="T98" s="79">
        <f t="shared" si="17"/>
        <v>-2.1479522321070772E-2</v>
      </c>
      <c r="U98" s="80">
        <f t="shared" si="18"/>
        <v>0</v>
      </c>
      <c r="V98" s="82">
        <f t="shared" si="19"/>
        <v>0</v>
      </c>
    </row>
    <row r="99" spans="1:28" ht="8.2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</row>
    <row r="100" spans="1:28" ht="15" customHeight="1">
      <c r="A100" s="165" t="s">
        <v>128</v>
      </c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</row>
    <row r="101" spans="1:28">
      <c r="A101" s="169" t="s">
        <v>230</v>
      </c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Z101" s="113"/>
      <c r="AB101" s="102"/>
    </row>
    <row r="102" spans="1:28" ht="16.5" customHeight="1">
      <c r="A102" s="74">
        <v>87</v>
      </c>
      <c r="B102" s="134" t="s">
        <v>129</v>
      </c>
      <c r="C102" s="135" t="s">
        <v>17</v>
      </c>
      <c r="D102" s="2">
        <v>2601402007.96</v>
      </c>
      <c r="E102" s="3">
        <f>(D102/$D$131)</f>
        <v>1.8290613400855711E-3</v>
      </c>
      <c r="F102" s="2">
        <f>110.4921*1448.465</f>
        <v>160043.93962649998</v>
      </c>
      <c r="G102" s="2">
        <f>110.4921*1448.465</f>
        <v>160043.93962649998</v>
      </c>
      <c r="H102" s="59">
        <v>241</v>
      </c>
      <c r="I102" s="5">
        <v>1.1000000000000001E-3</v>
      </c>
      <c r="J102" s="5">
        <v>2.6200000000000001E-2</v>
      </c>
      <c r="K102" s="2">
        <v>2614772724.0999999</v>
      </c>
      <c r="L102" s="3">
        <f t="shared" ref="L102:L116" si="23">(K102/$K$131)</f>
        <v>1.8356095663063477E-3</v>
      </c>
      <c r="M102" s="2">
        <f>110.7397*1480.518</f>
        <v>163952.11916460001</v>
      </c>
      <c r="N102" s="2">
        <f>110.7397*1480.518</f>
        <v>163952.11916460001</v>
      </c>
      <c r="O102" s="59">
        <v>241</v>
      </c>
      <c r="P102" s="5">
        <v>1.1000000000000001E-3</v>
      </c>
      <c r="Q102" s="5">
        <v>2.7300000000000001E-2</v>
      </c>
      <c r="R102" s="80">
        <f>((K102-D102)/D102)</f>
        <v>5.1398115704865939E-3</v>
      </c>
      <c r="S102" s="80">
        <f>((N102-G102)/G102)</f>
        <v>2.4419415988013535E-2</v>
      </c>
      <c r="T102" s="80">
        <f>((O102-H102)/H102)</f>
        <v>0</v>
      </c>
      <c r="U102" s="80">
        <f>P102-I102</f>
        <v>0</v>
      </c>
      <c r="V102" s="82">
        <f>Q102-J102</f>
        <v>1.1000000000000003E-3</v>
      </c>
      <c r="X102" s="113"/>
      <c r="Y102" s="115"/>
      <c r="Z102" s="113"/>
      <c r="AA102" s="103"/>
    </row>
    <row r="103" spans="1:28" ht="16.5" customHeight="1">
      <c r="A103" s="74">
        <v>88</v>
      </c>
      <c r="B103" s="134" t="s">
        <v>268</v>
      </c>
      <c r="C103" s="135" t="s">
        <v>50</v>
      </c>
      <c r="D103" s="2">
        <f>1398884.52*1474.59</f>
        <v>2062781124.3467999</v>
      </c>
      <c r="E103" s="3">
        <f>(D103/$D$131)</f>
        <v>1.4503537692583317E-3</v>
      </c>
      <c r="F103" s="2">
        <f>100*1474.59</f>
        <v>147459</v>
      </c>
      <c r="G103" s="2">
        <f>100*1474.59</f>
        <v>147459</v>
      </c>
      <c r="H103" s="59">
        <v>14</v>
      </c>
      <c r="I103" s="5">
        <v>1.181E-3</v>
      </c>
      <c r="J103" s="5">
        <v>6.3875000000000001E-2</v>
      </c>
      <c r="K103" s="2">
        <f>1400433.2*1480.518</f>
        <v>2073366560.3975999</v>
      </c>
      <c r="L103" s="3">
        <f t="shared" si="23"/>
        <v>1.4555343405746682E-3</v>
      </c>
      <c r="M103" s="2">
        <f>100*1480.518</f>
        <v>148051.79999999999</v>
      </c>
      <c r="N103" s="2">
        <f>100*1480.518</f>
        <v>148051.79999999999</v>
      </c>
      <c r="O103" s="59">
        <v>14</v>
      </c>
      <c r="P103" s="5">
        <v>-2.1635999999999999E-2</v>
      </c>
      <c r="Q103" s="5">
        <v>4.2238999999999999E-2</v>
      </c>
      <c r="R103" s="80">
        <f>((K103-D103)/D103)</f>
        <v>5.1316331751639762E-3</v>
      </c>
      <c r="S103" s="80">
        <f>((N103-G103)/G103)</f>
        <v>4.0201005025124843E-3</v>
      </c>
      <c r="T103" s="80">
        <f>((O103-H103)/H103)</f>
        <v>0</v>
      </c>
      <c r="U103" s="80">
        <f>P103-I103</f>
        <v>-2.2817E-2</v>
      </c>
      <c r="V103" s="82">
        <f>Q103-J103</f>
        <v>-2.1636000000000002E-2</v>
      </c>
      <c r="X103" s="113"/>
      <c r="Y103" s="115"/>
      <c r="Z103" s="113"/>
      <c r="AA103" s="103"/>
    </row>
    <row r="104" spans="1:28">
      <c r="A104" s="74">
        <v>89</v>
      </c>
      <c r="B104" s="134" t="s">
        <v>130</v>
      </c>
      <c r="C104" s="135" t="s">
        <v>21</v>
      </c>
      <c r="D104" s="2">
        <f>10952198.55*1474.09</f>
        <v>16144526360.5695</v>
      </c>
      <c r="E104" s="3">
        <f>(D104/$D$131)</f>
        <v>1.1351313226388549E-2</v>
      </c>
      <c r="F104" s="2">
        <f>1.1278*1474.09</f>
        <v>1662.4787019999999</v>
      </c>
      <c r="G104" s="2">
        <f>1.1278*1474.09</f>
        <v>1662.4787019999999</v>
      </c>
      <c r="H104" s="59">
        <v>302</v>
      </c>
      <c r="I104" s="5">
        <v>5.0999999999999997E-2</v>
      </c>
      <c r="J104" s="5">
        <v>-9.0200000000000002E-2</v>
      </c>
      <c r="K104" s="2">
        <f>10891987.68*1480.018</f>
        <v>16120337822.17824</v>
      </c>
      <c r="L104" s="3">
        <f t="shared" si="23"/>
        <v>1.1316718292854864E-2</v>
      </c>
      <c r="M104" s="2">
        <f>1.129*1480.018</f>
        <v>1670.9403220000002</v>
      </c>
      <c r="N104" s="2">
        <f>1.129*1480.018</f>
        <v>1670.9403220000002</v>
      </c>
      <c r="O104" s="59">
        <v>302</v>
      </c>
      <c r="P104" s="5">
        <v>0.21840000000000001</v>
      </c>
      <c r="Q104" s="5">
        <v>-1.1900000000000001E-2</v>
      </c>
      <c r="R104" s="80">
        <f t="shared" ref="R104:R116" si="24">((K104-D104)/D104)</f>
        <v>-1.4982501097298771E-3</v>
      </c>
      <c r="S104" s="80">
        <f t="shared" ref="S104:S116" si="25">((N104-G104)/G104)</f>
        <v>5.0897614446553472E-3</v>
      </c>
      <c r="T104" s="80">
        <f t="shared" ref="T104:T116" si="26">((O104-H104)/H104)</f>
        <v>0</v>
      </c>
      <c r="U104" s="80">
        <f t="shared" ref="U104:U116" si="27">P104-I104</f>
        <v>0.16740000000000002</v>
      </c>
      <c r="V104" s="82">
        <f t="shared" ref="V104:V116" si="28">Q104-J104</f>
        <v>7.8300000000000008E-2</v>
      </c>
    </row>
    <row r="105" spans="1:28">
      <c r="A105" s="74">
        <v>90</v>
      </c>
      <c r="B105" s="134" t="s">
        <v>267</v>
      </c>
      <c r="C105" s="135" t="s">
        <v>99</v>
      </c>
      <c r="D105" s="2">
        <f>1669752.84*1448.465</f>
        <v>2418578547.3906002</v>
      </c>
      <c r="E105" s="3">
        <f>(D105/$D$131)</f>
        <v>1.7005170694326941E-3</v>
      </c>
      <c r="F105" s="2">
        <f>1.0231*1448.465</f>
        <v>1481.9245414999998</v>
      </c>
      <c r="G105" s="2">
        <f>1.0231*1448.465</f>
        <v>1481.9245414999998</v>
      </c>
      <c r="H105" s="59">
        <v>214</v>
      </c>
      <c r="I105" s="5">
        <v>1.2999999999999999E-3</v>
      </c>
      <c r="J105" s="5">
        <v>2.3300000000000001E-2</v>
      </c>
      <c r="K105" s="2">
        <f>1712090.95*1480.518</f>
        <v>2534781469.1121001</v>
      </c>
      <c r="L105" s="3">
        <f t="shared" si="23"/>
        <v>1.7794545087278046E-3</v>
      </c>
      <c r="M105" s="2">
        <f>1.0247*1480.518</f>
        <v>1517.0867945999998</v>
      </c>
      <c r="N105" s="2">
        <f>1.0247*1480.518</f>
        <v>1517.0867945999998</v>
      </c>
      <c r="O105" s="59">
        <v>213</v>
      </c>
      <c r="P105" s="5">
        <v>1.6000000000000001E-3</v>
      </c>
      <c r="Q105" s="5">
        <v>2.47E-2</v>
      </c>
      <c r="R105" s="80">
        <f>((K105-D105)/D105)</f>
        <v>4.8045957344189226E-2</v>
      </c>
      <c r="S105" s="80">
        <f t="shared" ref="S105:T108" si="29">((N105-G105)/G105)</f>
        <v>2.372742478804549E-2</v>
      </c>
      <c r="T105" s="80">
        <f t="shared" si="29"/>
        <v>-4.6728971962616819E-3</v>
      </c>
      <c r="U105" s="80">
        <f>P105-I105</f>
        <v>3.0000000000000014E-4</v>
      </c>
      <c r="V105" s="82">
        <f>Q105-J105</f>
        <v>1.3999999999999985E-3</v>
      </c>
    </row>
    <row r="106" spans="1:28">
      <c r="A106" s="74">
        <v>91</v>
      </c>
      <c r="B106" s="134" t="s">
        <v>272</v>
      </c>
      <c r="C106" s="135" t="s">
        <v>269</v>
      </c>
      <c r="D106" s="2">
        <f>363788.73*1474.59</f>
        <v>536439223.37069994</v>
      </c>
      <c r="E106" s="3">
        <f>(D106/$D$131)</f>
        <v>3.7717363243765218E-4</v>
      </c>
      <c r="F106" s="2">
        <f>1.0641*1474.59</f>
        <v>1569.1112189999999</v>
      </c>
      <c r="G106" s="2">
        <f>1.0711*1474.59</f>
        <v>1579.4333489999999</v>
      </c>
      <c r="H106" s="59">
        <v>13</v>
      </c>
      <c r="I106" s="5">
        <v>6.0199999999999997E-2</v>
      </c>
      <c r="J106" s="5">
        <v>7.3200000000000001E-2</v>
      </c>
      <c r="K106" s="2">
        <f>363425.32*1480.518</f>
        <v>538057727.91576004</v>
      </c>
      <c r="L106" s="3">
        <f t="shared" si="23"/>
        <v>3.777245737207157E-4</v>
      </c>
      <c r="M106" s="2">
        <f>1.0641*1480.518</f>
        <v>1575.4192038000001</v>
      </c>
      <c r="N106" s="2">
        <f>1.0711*1480.518</f>
        <v>1585.7828297999999</v>
      </c>
      <c r="O106" s="59">
        <v>13</v>
      </c>
      <c r="P106" s="5">
        <v>6.0199999999999997E-2</v>
      </c>
      <c r="Q106" s="5">
        <v>6.5799999999999997E-2</v>
      </c>
      <c r="R106" s="80">
        <f>((K106-D106)/D106)</f>
        <v>3.0171256585047471E-3</v>
      </c>
      <c r="S106" s="80">
        <f t="shared" si="29"/>
        <v>4.0201005025125866E-3</v>
      </c>
      <c r="T106" s="80">
        <f t="shared" si="29"/>
        <v>0</v>
      </c>
      <c r="U106" s="80">
        <f>P106-I106</f>
        <v>0</v>
      </c>
      <c r="V106" s="82">
        <f>Q106-J106</f>
        <v>-7.4000000000000038E-3</v>
      </c>
    </row>
    <row r="107" spans="1:28">
      <c r="A107" s="74">
        <v>92</v>
      </c>
      <c r="B107" s="134" t="s">
        <v>243</v>
      </c>
      <c r="C107" s="135" t="s">
        <v>25</v>
      </c>
      <c r="D107" s="2">
        <f>473136.54*1474.59</f>
        <v>697682410.51859999</v>
      </c>
      <c r="E107" s="3">
        <v>0</v>
      </c>
      <c r="F107" s="2">
        <f>1.146*1474.59</f>
        <v>1689.8801399999998</v>
      </c>
      <c r="G107" s="2">
        <f>1.146*1474.59</f>
        <v>1689.8801399999998</v>
      </c>
      <c r="H107" s="59">
        <v>33</v>
      </c>
      <c r="I107" s="5">
        <v>1.75E-4</v>
      </c>
      <c r="J107" s="5">
        <v>0.1152</v>
      </c>
      <c r="K107" s="2">
        <f>473196.21*1480.518</f>
        <v>700575506.4367801</v>
      </c>
      <c r="L107" s="3">
        <f t="shared" si="23"/>
        <v>4.9181448532124373E-4</v>
      </c>
      <c r="M107" s="2">
        <f>1.147*1480.518</f>
        <v>1698.1541460000001</v>
      </c>
      <c r="N107" s="2">
        <f>1.147*1480.518</f>
        <v>1698.1541460000001</v>
      </c>
      <c r="O107" s="59">
        <v>33</v>
      </c>
      <c r="P107" s="5">
        <v>1.74E-4</v>
      </c>
      <c r="Q107" s="5">
        <v>0.1154</v>
      </c>
      <c r="R107" s="80">
        <f>((K107-D107)/D107)</f>
        <v>4.1467233150246936E-3</v>
      </c>
      <c r="S107" s="80">
        <f t="shared" si="29"/>
        <v>4.8962087926545652E-3</v>
      </c>
      <c r="T107" s="80">
        <f t="shared" si="29"/>
        <v>0</v>
      </c>
      <c r="U107" s="80">
        <f>P107-I107</f>
        <v>-9.999999999999972E-7</v>
      </c>
      <c r="V107" s="82">
        <f t="shared" si="28"/>
        <v>2.0000000000000573E-4</v>
      </c>
    </row>
    <row r="108" spans="1:28">
      <c r="A108" s="74">
        <v>93</v>
      </c>
      <c r="B108" s="134" t="s">
        <v>139</v>
      </c>
      <c r="C108" s="135" t="s">
        <v>64</v>
      </c>
      <c r="D108" s="2">
        <f>416645.48*1474.59</f>
        <v>614381258.35319996</v>
      </c>
      <c r="E108" s="3">
        <f t="shared" ref="E108:E116" si="30">(D108/$D$131)</f>
        <v>4.31975144283137E-4</v>
      </c>
      <c r="F108" s="2">
        <f>105.59*1474.59</f>
        <v>155701.95809999999</v>
      </c>
      <c r="G108" s="2">
        <f>107.52*1474.59</f>
        <v>158547.91679999998</v>
      </c>
      <c r="H108" s="59">
        <v>43</v>
      </c>
      <c r="I108" s="5">
        <v>1.2999999999999999E-3</v>
      </c>
      <c r="J108" s="5">
        <v>3.4700000000000002E-2</v>
      </c>
      <c r="K108" s="2">
        <f>416919.7*1480.518</f>
        <v>617257120.40460002</v>
      </c>
      <c r="L108" s="3">
        <f t="shared" si="23"/>
        <v>4.3332373197956783E-4</v>
      </c>
      <c r="M108" s="2">
        <f>105.66*1480.518</f>
        <v>156431.53187999999</v>
      </c>
      <c r="N108" s="2">
        <f>107.65*1480.518</f>
        <v>159377.76270000002</v>
      </c>
      <c r="O108" s="59">
        <v>43</v>
      </c>
      <c r="P108" s="5">
        <v>1E-3</v>
      </c>
      <c r="Q108" s="5">
        <v>3.56E-2</v>
      </c>
      <c r="R108" s="80">
        <f>((K108-D108)/D108)</f>
        <v>4.6809078439478844E-3</v>
      </c>
      <c r="S108" s="80">
        <f t="shared" si="29"/>
        <v>5.234038496051965E-3</v>
      </c>
      <c r="T108" s="80">
        <f t="shared" si="29"/>
        <v>0</v>
      </c>
      <c r="U108" s="80">
        <f>P108-I108</f>
        <v>-2.9999999999999992E-4</v>
      </c>
      <c r="V108" s="82">
        <f>Q108-J108</f>
        <v>8.9999999999999802E-4</v>
      </c>
    </row>
    <row r="109" spans="1:28">
      <c r="A109" s="74">
        <v>94</v>
      </c>
      <c r="B109" s="134" t="s">
        <v>131</v>
      </c>
      <c r="C109" s="135" t="s">
        <v>67</v>
      </c>
      <c r="D109" s="2">
        <v>4226871285.6356997</v>
      </c>
      <c r="E109" s="3">
        <f t="shared" si="30"/>
        <v>2.9719385294611992E-3</v>
      </c>
      <c r="F109" s="2">
        <v>157879.33769399999</v>
      </c>
      <c r="G109" s="2">
        <v>157602.70460999999</v>
      </c>
      <c r="H109" s="59">
        <v>55</v>
      </c>
      <c r="I109" s="5">
        <v>3.2444165832389807E-2</v>
      </c>
      <c r="J109" s="5">
        <v>0.10431897442503058</v>
      </c>
      <c r="K109" s="2">
        <v>4274961806.3326197</v>
      </c>
      <c r="L109" s="3">
        <f t="shared" si="23"/>
        <v>3.0010871365500416E-3</v>
      </c>
      <c r="M109" s="2">
        <v>158624.3270898</v>
      </c>
      <c r="N109" s="2">
        <v>158624.3270898</v>
      </c>
      <c r="O109" s="59">
        <v>55</v>
      </c>
      <c r="P109" s="5">
        <v>3.1330965959505595E-2</v>
      </c>
      <c r="Q109" s="5">
        <v>0.10712456316841212</v>
      </c>
      <c r="R109" s="80">
        <f t="shared" si="24"/>
        <v>1.1377332652722911E-2</v>
      </c>
      <c r="S109" s="80">
        <f t="shared" si="25"/>
        <v>6.482264897217988E-3</v>
      </c>
      <c r="T109" s="80">
        <f t="shared" si="26"/>
        <v>0</v>
      </c>
      <c r="U109" s="80">
        <f t="shared" si="27"/>
        <v>-1.1131998728842116E-3</v>
      </c>
      <c r="V109" s="82">
        <f t="shared" si="28"/>
        <v>2.8055887433815485E-3</v>
      </c>
      <c r="X109" s="107"/>
    </row>
    <row r="110" spans="1:28">
      <c r="A110" s="74">
        <v>95</v>
      </c>
      <c r="B110" s="134" t="s">
        <v>132</v>
      </c>
      <c r="C110" s="135" t="s">
        <v>27</v>
      </c>
      <c r="D110" s="2">
        <v>42292555960.629997</v>
      </c>
      <c r="E110" s="3">
        <f t="shared" si="30"/>
        <v>2.9736149524100527E-2</v>
      </c>
      <c r="F110" s="2">
        <v>190099.53</v>
      </c>
      <c r="G110" s="2">
        <v>190099.53</v>
      </c>
      <c r="H110" s="59">
        <v>2118</v>
      </c>
      <c r="I110" s="5">
        <v>1.5E-3</v>
      </c>
      <c r="J110" s="5">
        <v>3.4599999999999999E-2</v>
      </c>
      <c r="K110" s="2">
        <v>42372707359.580002</v>
      </c>
      <c r="L110" s="3">
        <f t="shared" si="23"/>
        <v>2.97462744133206E-2</v>
      </c>
      <c r="M110" s="2">
        <v>190742.05</v>
      </c>
      <c r="N110" s="2">
        <v>190742.05</v>
      </c>
      <c r="O110" s="59">
        <v>2124</v>
      </c>
      <c r="P110" s="5">
        <v>1.5E-3</v>
      </c>
      <c r="Q110" s="5">
        <v>3.6200000000000003E-2</v>
      </c>
      <c r="R110" s="80">
        <f t="shared" si="24"/>
        <v>1.8951656415520796E-3</v>
      </c>
      <c r="S110" s="80">
        <f t="shared" si="25"/>
        <v>3.3799136694340568E-3</v>
      </c>
      <c r="T110" s="80">
        <f t="shared" si="26"/>
        <v>2.8328611898016999E-3</v>
      </c>
      <c r="U110" s="80">
        <f t="shared" si="27"/>
        <v>0</v>
      </c>
      <c r="V110" s="82">
        <f t="shared" si="28"/>
        <v>1.6000000000000042E-3</v>
      </c>
    </row>
    <row r="111" spans="1:28">
      <c r="A111" s="74">
        <v>96</v>
      </c>
      <c r="B111" s="150" t="s">
        <v>133</v>
      </c>
      <c r="C111" s="150" t="s">
        <v>27</v>
      </c>
      <c r="D111" s="2">
        <v>75634084522.899994</v>
      </c>
      <c r="E111" s="3">
        <f t="shared" si="30"/>
        <v>5.3178778047490445E-2</v>
      </c>
      <c r="F111" s="2">
        <v>172974.12</v>
      </c>
      <c r="G111" s="2">
        <v>172974.12</v>
      </c>
      <c r="H111" s="59">
        <v>411</v>
      </c>
      <c r="I111" s="5">
        <v>1.6999999999999999E-3</v>
      </c>
      <c r="J111" s="5">
        <v>4.2700000000000002E-2</v>
      </c>
      <c r="K111" s="2">
        <v>76358737014.399994</v>
      </c>
      <c r="L111" s="3">
        <f t="shared" si="23"/>
        <v>5.3604975622861338E-2</v>
      </c>
      <c r="M111" s="2">
        <v>173613.89</v>
      </c>
      <c r="N111" s="2">
        <v>173613.89</v>
      </c>
      <c r="O111" s="59">
        <v>415</v>
      </c>
      <c r="P111" s="5">
        <v>1.8E-3</v>
      </c>
      <c r="Q111" s="5">
        <v>4.4600000000000001E-2</v>
      </c>
      <c r="R111" s="80">
        <f t="shared" si="24"/>
        <v>9.5810307756233164E-3</v>
      </c>
      <c r="S111" s="80">
        <f t="shared" si="25"/>
        <v>3.6986457858552402E-3</v>
      </c>
      <c r="T111" s="80">
        <f t="shared" si="26"/>
        <v>9.7323600973236012E-3</v>
      </c>
      <c r="U111" s="80">
        <f t="shared" si="27"/>
        <v>1.0000000000000005E-4</v>
      </c>
      <c r="V111" s="82">
        <f t="shared" si="28"/>
        <v>1.8999999999999989E-3</v>
      </c>
    </row>
    <row r="112" spans="1:28">
      <c r="A112" s="74">
        <v>97</v>
      </c>
      <c r="B112" s="134" t="s">
        <v>134</v>
      </c>
      <c r="C112" s="135" t="s">
        <v>31</v>
      </c>
      <c r="D112" s="2">
        <f>96548.29*1474.59</f>
        <v>142369142.95109999</v>
      </c>
      <c r="E112" s="3">
        <f t="shared" si="30"/>
        <v>1.0010059752247919E-4</v>
      </c>
      <c r="F112" s="2">
        <f>111.695*1474.59</f>
        <v>164704.33004999999</v>
      </c>
      <c r="G112" s="2">
        <f>111.695*1474.59</f>
        <v>164704.33004999999</v>
      </c>
      <c r="H112" s="59">
        <v>4</v>
      </c>
      <c r="I112" s="5">
        <v>2.2000000000000001E-3</v>
      </c>
      <c r="J112" s="5">
        <v>-2.53E-2</v>
      </c>
      <c r="K112" s="2">
        <f>96548.29*1480.518</f>
        <v>142941481.21421999</v>
      </c>
      <c r="L112" s="3">
        <f t="shared" si="23"/>
        <v>1.0034705805229541E-4</v>
      </c>
      <c r="M112" s="2">
        <f>111.95*1480.518</f>
        <v>165743.9901</v>
      </c>
      <c r="N112" s="2">
        <f>111.95*1480.518</f>
        <v>165743.9901</v>
      </c>
      <c r="O112" s="59">
        <v>4</v>
      </c>
      <c r="P112" s="5">
        <v>2.2000000000000001E-3</v>
      </c>
      <c r="Q112" s="5">
        <v>-2.53E-2</v>
      </c>
      <c r="R112" s="80">
        <f t="shared" si="24"/>
        <v>4.020100502512532E-3</v>
      </c>
      <c r="S112" s="80">
        <f t="shared" si="25"/>
        <v>6.3122812234771963E-3</v>
      </c>
      <c r="T112" s="80">
        <f t="shared" si="26"/>
        <v>0</v>
      </c>
      <c r="U112" s="80">
        <f t="shared" si="27"/>
        <v>0</v>
      </c>
      <c r="V112" s="82">
        <f t="shared" si="28"/>
        <v>0</v>
      </c>
    </row>
    <row r="113" spans="1:24">
      <c r="A113" s="74">
        <v>98</v>
      </c>
      <c r="B113" s="134" t="s">
        <v>135</v>
      </c>
      <c r="C113" s="135" t="s">
        <v>34</v>
      </c>
      <c r="D113" s="2">
        <f>10816145.82*1474.59</f>
        <v>15949380464.7138</v>
      </c>
      <c r="E113" s="3">
        <f t="shared" si="30"/>
        <v>1.1214104977646583E-2</v>
      </c>
      <c r="F113" s="2">
        <f>1.35*1474.59</f>
        <v>1990.6965</v>
      </c>
      <c r="G113" s="2">
        <f>1.35*1474.59</f>
        <v>1990.6965</v>
      </c>
      <c r="H113" s="60">
        <v>112</v>
      </c>
      <c r="I113" s="12">
        <v>8.9999999999999998E-4</v>
      </c>
      <c r="J113" s="12">
        <v>4.7500000000000001E-2</v>
      </c>
      <c r="K113" s="2">
        <f>10800689.8*1480.518</f>
        <v>15990615661.316401</v>
      </c>
      <c r="L113" s="3">
        <f t="shared" si="23"/>
        <v>1.1225651395435745E-2</v>
      </c>
      <c r="M113" s="2">
        <f>1.35*1480.518</f>
        <v>1998.6993000000002</v>
      </c>
      <c r="N113" s="2">
        <f>1.35*1480.518</f>
        <v>1998.6993000000002</v>
      </c>
      <c r="O113" s="60">
        <v>112</v>
      </c>
      <c r="P113" s="12">
        <v>8.9999999999999998E-4</v>
      </c>
      <c r="Q113" s="12">
        <v>4.7500000000000001E-2</v>
      </c>
      <c r="R113" s="80">
        <f t="shared" si="24"/>
        <v>2.5853792060342596E-3</v>
      </c>
      <c r="S113" s="80">
        <f t="shared" si="25"/>
        <v>4.0201005025126664E-3</v>
      </c>
      <c r="T113" s="80">
        <f t="shared" si="26"/>
        <v>0</v>
      </c>
      <c r="U113" s="80">
        <f t="shared" si="27"/>
        <v>0</v>
      </c>
      <c r="V113" s="82">
        <f t="shared" si="28"/>
        <v>0</v>
      </c>
    </row>
    <row r="114" spans="1:24">
      <c r="A114" s="74">
        <v>99</v>
      </c>
      <c r="B114" s="134" t="s">
        <v>136</v>
      </c>
      <c r="C114" s="135" t="s">
        <v>78</v>
      </c>
      <c r="D114" s="2">
        <f>11307146.35*1474.59</f>
        <v>16673404936.246498</v>
      </c>
      <c r="E114" s="3">
        <f t="shared" si="30"/>
        <v>1.1723170922127359E-2</v>
      </c>
      <c r="F114" s="2">
        <f>104.91*1474.59</f>
        <v>154699.23689999999</v>
      </c>
      <c r="G114" s="2">
        <f>104.91*1474.59</f>
        <v>154699.23689999999</v>
      </c>
      <c r="H114" s="59">
        <v>341</v>
      </c>
      <c r="I114" s="5">
        <v>1.8E-3</v>
      </c>
      <c r="J114" s="5">
        <v>4.7300000000000002E-2</v>
      </c>
      <c r="K114" s="2">
        <f>11421390.12*1480.518</f>
        <v>16909573657.682159</v>
      </c>
      <c r="L114" s="3">
        <f t="shared" si="23"/>
        <v>1.1870773655437639E-2</v>
      </c>
      <c r="M114" s="2">
        <f>105.1*1480.518</f>
        <v>155602.4418</v>
      </c>
      <c r="N114" s="2">
        <f>105.1*1480.518</f>
        <v>155602.4418</v>
      </c>
      <c r="O114" s="59">
        <v>343</v>
      </c>
      <c r="P114" s="5">
        <v>1.8E-3</v>
      </c>
      <c r="Q114" s="5">
        <v>4.9200000000000001E-2</v>
      </c>
      <c r="R114" s="80">
        <f t="shared" si="24"/>
        <v>1.4164396674745873E-2</v>
      </c>
      <c r="S114" s="80">
        <f t="shared" si="25"/>
        <v>5.8384573712141671E-3</v>
      </c>
      <c r="T114" s="80">
        <f t="shared" si="26"/>
        <v>5.8651026392961877E-3</v>
      </c>
      <c r="U114" s="80">
        <f t="shared" si="27"/>
        <v>0</v>
      </c>
      <c r="V114" s="82">
        <f t="shared" si="28"/>
        <v>1.8999999999999989E-3</v>
      </c>
    </row>
    <row r="115" spans="1:24">
      <c r="A115" s="74">
        <v>100</v>
      </c>
      <c r="B115" s="134" t="s">
        <v>137</v>
      </c>
      <c r="C115" s="135" t="s">
        <v>38</v>
      </c>
      <c r="D115" s="2">
        <f>1913950.85*1474.59</f>
        <v>2822292783.9014997</v>
      </c>
      <c r="E115" s="3">
        <f t="shared" si="30"/>
        <v>1.984370968285994E-3</v>
      </c>
      <c r="F115" s="2">
        <f>135.1*1474.59</f>
        <v>199217.10899999997</v>
      </c>
      <c r="G115" s="2">
        <f>138.6*1474.59</f>
        <v>204378.17399999997</v>
      </c>
      <c r="H115" s="59">
        <v>49</v>
      </c>
      <c r="I115" s="5">
        <v>5.9999999999999995E-4</v>
      </c>
      <c r="J115" s="5">
        <v>2.4899999999999999E-2</v>
      </c>
      <c r="K115" s="2">
        <f>1925422.6*1480.518</f>
        <v>2850622816.9068003</v>
      </c>
      <c r="L115" s="3">
        <f t="shared" si="23"/>
        <v>2.001179859502448E-3</v>
      </c>
      <c r="M115" s="2">
        <f>135.9*1480.518</f>
        <v>201202.39620000002</v>
      </c>
      <c r="N115" s="2">
        <f>139.45*1480.518</f>
        <v>206458.23509999999</v>
      </c>
      <c r="O115" s="59">
        <v>49</v>
      </c>
      <c r="P115" s="5">
        <v>5.5599999999999997E-2</v>
      </c>
      <c r="Q115" s="5">
        <v>3.1099999999999999E-2</v>
      </c>
      <c r="R115" s="80">
        <f t="shared" si="24"/>
        <v>1.0037949700646389E-2</v>
      </c>
      <c r="S115" s="80">
        <f t="shared" si="25"/>
        <v>1.0177510931279879E-2</v>
      </c>
      <c r="T115" s="80">
        <f t="shared" si="26"/>
        <v>0</v>
      </c>
      <c r="U115" s="80">
        <f t="shared" si="27"/>
        <v>5.4999999999999993E-2</v>
      </c>
      <c r="V115" s="82">
        <f t="shared" si="28"/>
        <v>6.2000000000000006E-3</v>
      </c>
    </row>
    <row r="116" spans="1:24" ht="16.5" customHeight="1">
      <c r="A116" s="74">
        <v>101</v>
      </c>
      <c r="B116" s="134" t="s">
        <v>138</v>
      </c>
      <c r="C116" s="135" t="s">
        <v>45</v>
      </c>
      <c r="D116" s="4">
        <v>220568231742.17001</v>
      </c>
      <c r="E116" s="3">
        <f t="shared" si="30"/>
        <v>0.15508284544110398</v>
      </c>
      <c r="F116" s="2">
        <v>188771.46</v>
      </c>
      <c r="G116" s="2">
        <v>188771.46</v>
      </c>
      <c r="H116" s="59">
        <v>3179</v>
      </c>
      <c r="I116" s="5">
        <v>5.2999999999999999E-2</v>
      </c>
      <c r="J116" s="5">
        <v>5.3600000000000002E-2</v>
      </c>
      <c r="K116" s="4">
        <v>220649098903.60001</v>
      </c>
      <c r="L116" s="3">
        <f t="shared" si="23"/>
        <v>0.15489896808669393</v>
      </c>
      <c r="M116" s="2">
        <v>189267.99</v>
      </c>
      <c r="N116" s="2">
        <v>189267.99</v>
      </c>
      <c r="O116" s="59">
        <v>3196</v>
      </c>
      <c r="P116" s="5">
        <v>5.2900000000000003E-2</v>
      </c>
      <c r="Q116" s="5">
        <v>5.3600000000000002E-2</v>
      </c>
      <c r="R116" s="80">
        <f t="shared" si="24"/>
        <v>3.6663104560098731E-4</v>
      </c>
      <c r="S116" s="80">
        <f t="shared" si="25"/>
        <v>2.6303234609723254E-3</v>
      </c>
      <c r="T116" s="80">
        <f t="shared" si="26"/>
        <v>5.3475935828877002E-3</v>
      </c>
      <c r="U116" s="80">
        <f t="shared" si="27"/>
        <v>-9.9999999999995925E-5</v>
      </c>
      <c r="V116" s="82">
        <f t="shared" si="28"/>
        <v>0</v>
      </c>
    </row>
    <row r="117" spans="1:24" ht="6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</row>
    <row r="118" spans="1:24">
      <c r="A118" s="169" t="s">
        <v>231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</row>
    <row r="119" spans="1:24">
      <c r="A119" s="74">
        <v>102</v>
      </c>
      <c r="B119" s="134" t="s">
        <v>140</v>
      </c>
      <c r="C119" s="135" t="s">
        <v>97</v>
      </c>
      <c r="D119" s="4">
        <v>1603724431.2</v>
      </c>
      <c r="E119" s="3">
        <f>(D119/$D$131)</f>
        <v>1.1275882575176922E-3</v>
      </c>
      <c r="F119" s="2">
        <v>169304.61</v>
      </c>
      <c r="G119" s="2">
        <v>169304.61</v>
      </c>
      <c r="H119" s="59">
        <v>22</v>
      </c>
      <c r="I119" s="5">
        <v>-2.0010000000000002E-3</v>
      </c>
      <c r="J119" s="5">
        <v>5.0999999999999997E-2</v>
      </c>
      <c r="K119" s="4">
        <v>1603724431.2</v>
      </c>
      <c r="L119" s="3">
        <f t="shared" ref="L119:L130" si="31">(K119/$K$131)</f>
        <v>1.1258385405726538E-3</v>
      </c>
      <c r="M119" s="2">
        <v>167477.35</v>
      </c>
      <c r="N119" s="2">
        <v>167477.35</v>
      </c>
      <c r="O119" s="59">
        <v>22</v>
      </c>
      <c r="P119" s="5">
        <v>-1.06E-2</v>
      </c>
      <c r="Q119" s="5">
        <v>4.0099999999999997E-2</v>
      </c>
      <c r="R119" s="80">
        <f>((K119-D119)/D119)</f>
        <v>0</v>
      </c>
      <c r="S119" s="80">
        <f>((N119-G119)/G119)</f>
        <v>-1.0792736240318443E-2</v>
      </c>
      <c r="T119" s="80">
        <f>((O119-H119)/H119)</f>
        <v>0</v>
      </c>
      <c r="U119" s="80">
        <f>P119-I119</f>
        <v>-8.598999999999999E-3</v>
      </c>
      <c r="V119" s="82">
        <f>Q119-J119</f>
        <v>-1.09E-2</v>
      </c>
    </row>
    <row r="120" spans="1:24">
      <c r="A120" s="74">
        <v>103</v>
      </c>
      <c r="B120" s="135" t="s">
        <v>141</v>
      </c>
      <c r="C120" s="135" t="s">
        <v>23</v>
      </c>
      <c r="D120" s="2">
        <f>8567646.21*1474.59</f>
        <v>12633765424.8039</v>
      </c>
      <c r="E120" s="3">
        <f>(D120/$D$131)</f>
        <v>8.8828761750436424E-3</v>
      </c>
      <c r="F120" s="4">
        <f>129.48*1474.59</f>
        <v>190929.91319999998</v>
      </c>
      <c r="G120" s="4">
        <f>129.48*1474.59</f>
        <v>190929.91319999998</v>
      </c>
      <c r="H120" s="59">
        <v>436</v>
      </c>
      <c r="I120" s="5">
        <v>5.0000000000000001E-4</v>
      </c>
      <c r="J120" s="5">
        <v>2.5600000000000001E-2</v>
      </c>
      <c r="K120" s="2">
        <f>8288620.27*1480.518</f>
        <v>12271451504.89986</v>
      </c>
      <c r="L120" s="3">
        <f t="shared" si="31"/>
        <v>8.6147425232194434E-3</v>
      </c>
      <c r="M120" s="4">
        <f>129.63*1480.518</f>
        <v>191919.54834000001</v>
      </c>
      <c r="N120" s="4">
        <f>129.63*1480.518</f>
        <v>191919.54834000001</v>
      </c>
      <c r="O120" s="59">
        <v>437</v>
      </c>
      <c r="P120" s="5">
        <v>5.0000000000000001E-4</v>
      </c>
      <c r="Q120" s="5">
        <v>2.6700000000000002E-2</v>
      </c>
      <c r="R120" s="80">
        <f t="shared" ref="R120:R131" si="32">((K120-D120)/D120)</f>
        <v>-2.8678221236616255E-2</v>
      </c>
      <c r="S120" s="80">
        <f t="shared" ref="S120:S131" si="33">((N120-G120)/G120)</f>
        <v>5.1832377829836443E-3</v>
      </c>
      <c r="T120" s="80">
        <f t="shared" ref="T120:T131" si="34">((O120-H120)/H120)</f>
        <v>2.2935779816513763E-3</v>
      </c>
      <c r="U120" s="80">
        <f t="shared" ref="U120:U131" si="35">P120-I120</f>
        <v>0</v>
      </c>
      <c r="V120" s="82">
        <f t="shared" ref="V120:V131" si="36">Q120-J120</f>
        <v>1.1000000000000003E-3</v>
      </c>
    </row>
    <row r="121" spans="1:24">
      <c r="A121" s="74">
        <v>104</v>
      </c>
      <c r="B121" s="134" t="s">
        <v>142</v>
      </c>
      <c r="C121" s="135" t="s">
        <v>58</v>
      </c>
      <c r="D121" s="4">
        <v>15124039453.57</v>
      </c>
      <c r="E121" s="3">
        <f t="shared" ref="E121:E130" si="37">(D121/$D$131)</f>
        <v>1.0633802767049737E-2</v>
      </c>
      <c r="F121" s="4">
        <v>165328.75</v>
      </c>
      <c r="G121" s="4">
        <v>165328.75</v>
      </c>
      <c r="H121" s="59">
        <v>611</v>
      </c>
      <c r="I121" s="5">
        <v>1.1999999999999999E-3</v>
      </c>
      <c r="J121" s="5">
        <v>6.4000000000000001E-2</v>
      </c>
      <c r="K121" s="4">
        <v>15555582230.620001</v>
      </c>
      <c r="L121" s="3">
        <f t="shared" si="31"/>
        <v>1.0920251419487839E-2</v>
      </c>
      <c r="M121" s="4">
        <v>166939.88</v>
      </c>
      <c r="N121" s="4">
        <v>166939.88</v>
      </c>
      <c r="O121" s="59">
        <v>611</v>
      </c>
      <c r="P121" s="5">
        <v>1.1999999999999999E-3</v>
      </c>
      <c r="Q121" s="5">
        <v>6.2399999999999997E-2</v>
      </c>
      <c r="R121" s="80">
        <f t="shared" si="32"/>
        <v>2.8533565941481084E-2</v>
      </c>
      <c r="S121" s="80">
        <f t="shared" si="33"/>
        <v>9.7450080521385707E-3</v>
      </c>
      <c r="T121" s="80">
        <f t="shared" si="34"/>
        <v>0</v>
      </c>
      <c r="U121" s="80">
        <f t="shared" si="35"/>
        <v>0</v>
      </c>
      <c r="V121" s="82">
        <f t="shared" si="36"/>
        <v>-1.6000000000000042E-3</v>
      </c>
    </row>
    <row r="122" spans="1:24">
      <c r="A122" s="74">
        <v>105</v>
      </c>
      <c r="B122" s="134" t="s">
        <v>143</v>
      </c>
      <c r="C122" s="135" t="s">
        <v>56</v>
      </c>
      <c r="D122" s="4">
        <v>6345462642.8975468</v>
      </c>
      <c r="E122" s="3">
        <f t="shared" si="37"/>
        <v>4.4615328079117781E-3</v>
      </c>
      <c r="F122" s="4">
        <v>1811.9159908915965</v>
      </c>
      <c r="G122" s="4">
        <v>1811.9159908915965</v>
      </c>
      <c r="H122" s="59">
        <v>188</v>
      </c>
      <c r="I122" s="5">
        <v>5.7038645860507206E-2</v>
      </c>
      <c r="J122" s="5">
        <v>5.1609229530847518E-2</v>
      </c>
      <c r="K122" s="4">
        <v>6388160795.3919296</v>
      </c>
      <c r="L122" s="3">
        <f t="shared" si="31"/>
        <v>4.4845844378924825E-3</v>
      </c>
      <c r="M122" s="4">
        <v>1820.7606933827067</v>
      </c>
      <c r="N122" s="4">
        <v>1820.7606933827067</v>
      </c>
      <c r="O122" s="59">
        <v>187</v>
      </c>
      <c r="P122" s="5">
        <v>5.5027503959072736E-2</v>
      </c>
      <c r="Q122" s="5">
        <v>5.1799659019378205E-2</v>
      </c>
      <c r="R122" s="80">
        <f t="shared" si="32"/>
        <v>6.7289266200589405E-3</v>
      </c>
      <c r="S122" s="80">
        <f t="shared" si="33"/>
        <v>4.8814087052446269E-3</v>
      </c>
      <c r="T122" s="80">
        <f t="shared" si="34"/>
        <v>-5.3191489361702126E-3</v>
      </c>
      <c r="U122" s="80">
        <f t="shared" si="35"/>
        <v>-2.0111419014344697E-3</v>
      </c>
      <c r="V122" s="82">
        <f t="shared" si="36"/>
        <v>1.9042948853068703E-4</v>
      </c>
    </row>
    <row r="123" spans="1:24" ht="15.75">
      <c r="A123" s="74">
        <v>106</v>
      </c>
      <c r="B123" s="134" t="s">
        <v>253</v>
      </c>
      <c r="C123" s="135" t="s">
        <v>114</v>
      </c>
      <c r="D123" s="4">
        <v>1370193598.8499999</v>
      </c>
      <c r="E123" s="3">
        <f t="shared" si="37"/>
        <v>9.6339132991389153E-4</v>
      </c>
      <c r="F123" s="4">
        <f>1.061127*1474.59</f>
        <v>1564.7272629299998</v>
      </c>
      <c r="G123" s="4">
        <f>1.078237*1474.59</f>
        <v>1589.9574978299997</v>
      </c>
      <c r="H123" s="59">
        <v>36</v>
      </c>
      <c r="I123" s="5">
        <v>5.7999999999999996E-3</v>
      </c>
      <c r="J123" s="5">
        <v>8.1900000000000001E-2</v>
      </c>
      <c r="K123" s="4">
        <v>1371588382.1900001</v>
      </c>
      <c r="L123" s="3">
        <f t="shared" si="31"/>
        <v>9.6287556167972462E-4</v>
      </c>
      <c r="M123" s="4">
        <f>1.062207*1480.518</f>
        <v>1572.6165832259999</v>
      </c>
      <c r="N123" s="4">
        <f>1.07987*1480.518</f>
        <v>1598.7669726600002</v>
      </c>
      <c r="O123" s="59">
        <v>36</v>
      </c>
      <c r="P123" s="5">
        <v>8.9999999999999998E-4</v>
      </c>
      <c r="Q123" s="5">
        <v>8.2100000000000006E-2</v>
      </c>
      <c r="R123" s="80">
        <f t="shared" si="32"/>
        <v>1.0179461801389166E-3</v>
      </c>
      <c r="S123" s="80">
        <f t="shared" si="33"/>
        <v>5.540698315535963E-3</v>
      </c>
      <c r="T123" s="80">
        <f t="shared" si="34"/>
        <v>0</v>
      </c>
      <c r="U123" s="80">
        <f t="shared" si="35"/>
        <v>-4.8999999999999998E-3</v>
      </c>
      <c r="V123" s="82">
        <f t="shared" si="36"/>
        <v>2.0000000000000573E-4</v>
      </c>
      <c r="X123" s="116"/>
    </row>
    <row r="124" spans="1:24" ht="15.75">
      <c r="A124" s="74">
        <v>107</v>
      </c>
      <c r="B124" s="134" t="s">
        <v>259</v>
      </c>
      <c r="C124" s="135" t="s">
        <v>36</v>
      </c>
      <c r="D124" s="2">
        <f>1291593.1*1448.465</f>
        <v>1870827399.5915</v>
      </c>
      <c r="E124" s="3">
        <f t="shared" si="37"/>
        <v>1.3153899551453904E-3</v>
      </c>
      <c r="F124" s="4">
        <f>10.3*1474.59</f>
        <v>15188.277</v>
      </c>
      <c r="G124" s="4">
        <f>10.3*1474.59</f>
        <v>15188.277</v>
      </c>
      <c r="H124" s="59">
        <v>34</v>
      </c>
      <c r="I124" s="5">
        <v>7.6399999999999996E-2</v>
      </c>
      <c r="J124" s="5">
        <v>9.6799999999999997E-2</v>
      </c>
      <c r="K124" s="2">
        <f>1292838.9197*1480.518</f>
        <v>1914071291.7164047</v>
      </c>
      <c r="L124" s="3">
        <f t="shared" si="31"/>
        <v>1.3437066790867327E-3</v>
      </c>
      <c r="M124" s="4">
        <f>10.3*1480.518</f>
        <v>15249.335400000002</v>
      </c>
      <c r="N124" s="4">
        <f>10.3*1480.518</f>
        <v>15249.335400000002</v>
      </c>
      <c r="O124" s="59">
        <v>34</v>
      </c>
      <c r="P124" s="5">
        <v>7.6399999999999996E-2</v>
      </c>
      <c r="Q124" s="5">
        <v>9.69E-2</v>
      </c>
      <c r="R124" s="80">
        <f>((K124-D124)/D124)</f>
        <v>2.3114848614226545E-2</v>
      </c>
      <c r="S124" s="80">
        <f>((N124-G124)/G124)</f>
        <v>4.0201005025126751E-3</v>
      </c>
      <c r="T124" s="80">
        <f>((O124-H124)/H124)</f>
        <v>0</v>
      </c>
      <c r="U124" s="80">
        <f>P124-I124</f>
        <v>0</v>
      </c>
      <c r="V124" s="82">
        <f>Q124-J124</f>
        <v>1.0000000000000286E-4</v>
      </c>
      <c r="X124" s="116"/>
    </row>
    <row r="125" spans="1:24" ht="15.75">
      <c r="A125" s="74">
        <v>108</v>
      </c>
      <c r="B125" s="135" t="s">
        <v>144</v>
      </c>
      <c r="C125" s="153" t="s">
        <v>40</v>
      </c>
      <c r="D125" s="4">
        <v>18466790237</v>
      </c>
      <c r="E125" s="3">
        <f t="shared" si="37"/>
        <v>1.2984110873526213E-2</v>
      </c>
      <c r="F125" s="4">
        <f>1.0574*1474.59</f>
        <v>1559.2314659999997</v>
      </c>
      <c r="G125" s="4">
        <f>1.0574*1474.59</f>
        <v>1559.2314659999997</v>
      </c>
      <c r="H125" s="59">
        <v>371</v>
      </c>
      <c r="I125" s="5">
        <v>1.6999999999999999E-3</v>
      </c>
      <c r="J125" s="5">
        <v>8.9800000000000005E-2</v>
      </c>
      <c r="K125" s="4">
        <v>18599529561</v>
      </c>
      <c r="L125" s="3">
        <f t="shared" si="31"/>
        <v>1.3057147979360514E-2</v>
      </c>
      <c r="M125" s="4">
        <f>1.0571*1480.518</f>
        <v>1565.0555778</v>
      </c>
      <c r="N125" s="4">
        <f>1.0571*1480.518</f>
        <v>1565.0555778</v>
      </c>
      <c r="O125" s="59">
        <v>371</v>
      </c>
      <c r="P125" s="5">
        <v>-2.9999999999999997E-4</v>
      </c>
      <c r="Q125" s="5">
        <v>8.5500000000000007E-2</v>
      </c>
      <c r="R125" s="80">
        <f t="shared" si="32"/>
        <v>7.1880019373395995E-3</v>
      </c>
      <c r="S125" s="80">
        <f t="shared" si="33"/>
        <v>3.7352451685324769E-3</v>
      </c>
      <c r="T125" s="80">
        <f t="shared" si="34"/>
        <v>0</v>
      </c>
      <c r="U125" s="80">
        <f t="shared" si="35"/>
        <v>-2E-3</v>
      </c>
      <c r="V125" s="82">
        <f t="shared" si="36"/>
        <v>-4.2999999999999983E-3</v>
      </c>
      <c r="X125" s="116"/>
    </row>
    <row r="126" spans="1:24">
      <c r="A126" s="74">
        <v>109</v>
      </c>
      <c r="B126" s="134" t="s">
        <v>145</v>
      </c>
      <c r="C126" s="135" t="s">
        <v>80</v>
      </c>
      <c r="D126" s="4">
        <v>441815494.62400001</v>
      </c>
      <c r="E126" s="3">
        <f t="shared" si="37"/>
        <v>3.1064312174543712E-4</v>
      </c>
      <c r="F126" s="4">
        <f>1.05*1479.76</f>
        <v>1553.748</v>
      </c>
      <c r="G126" s="4">
        <f>1.05*1479.76</f>
        <v>1553.748</v>
      </c>
      <c r="H126" s="59">
        <v>3</v>
      </c>
      <c r="I126" s="5">
        <v>-2.3869999999999998E-3</v>
      </c>
      <c r="J126" s="5">
        <v>1.321E-2</v>
      </c>
      <c r="K126" s="4">
        <v>423019393.01999998</v>
      </c>
      <c r="L126" s="3">
        <f t="shared" si="31"/>
        <v>2.9696594178290812E-4</v>
      </c>
      <c r="M126" s="4">
        <f>1.04*1485.42</f>
        <v>1544.8368</v>
      </c>
      <c r="N126" s="4">
        <f>1.04*1485.42</f>
        <v>1544.8368</v>
      </c>
      <c r="O126" s="59">
        <v>3</v>
      </c>
      <c r="P126" s="5">
        <v>-9.8259999999999997E-3</v>
      </c>
      <c r="Q126" s="5">
        <v>3.2550000000000001E-3</v>
      </c>
      <c r="R126" s="80">
        <f t="shared" si="32"/>
        <v>-4.2542875550338387E-2</v>
      </c>
      <c r="S126" s="80">
        <f t="shared" si="33"/>
        <v>-5.7352929818735134E-3</v>
      </c>
      <c r="T126" s="80">
        <f t="shared" si="34"/>
        <v>0</v>
      </c>
      <c r="U126" s="80">
        <f t="shared" si="35"/>
        <v>-7.4389999999999994E-3</v>
      </c>
      <c r="V126" s="82">
        <f t="shared" si="36"/>
        <v>-9.9549999999999986E-3</v>
      </c>
    </row>
    <row r="127" spans="1:24">
      <c r="A127" s="74">
        <v>110</v>
      </c>
      <c r="B127" s="134" t="s">
        <v>146</v>
      </c>
      <c r="C127" s="135" t="s">
        <v>42</v>
      </c>
      <c r="D127" s="2">
        <v>847891142226.85999</v>
      </c>
      <c r="E127" s="3">
        <f t="shared" si="37"/>
        <v>0.59615734288769429</v>
      </c>
      <c r="F127" s="4">
        <v>2239.91</v>
      </c>
      <c r="G127" s="4">
        <v>2239.91</v>
      </c>
      <c r="H127" s="59">
        <v>7572</v>
      </c>
      <c r="I127" s="5">
        <v>1.4E-3</v>
      </c>
      <c r="J127" s="5">
        <v>3.3500000000000002E-2</v>
      </c>
      <c r="K127" s="2">
        <v>847009891991.06995</v>
      </c>
      <c r="L127" s="3">
        <f t="shared" si="31"/>
        <v>0.59461361447009375</v>
      </c>
      <c r="M127" s="4">
        <v>2251.6</v>
      </c>
      <c r="N127" s="4">
        <v>2251.6</v>
      </c>
      <c r="O127" s="59">
        <v>7603</v>
      </c>
      <c r="P127" s="5">
        <v>1.4E-3</v>
      </c>
      <c r="Q127" s="5">
        <v>3.49E-2</v>
      </c>
      <c r="R127" s="80">
        <f t="shared" si="32"/>
        <v>-1.0393436042692536E-3</v>
      </c>
      <c r="S127" s="80">
        <f t="shared" si="33"/>
        <v>5.2189596903447263E-3</v>
      </c>
      <c r="T127" s="80">
        <f t="shared" si="34"/>
        <v>4.0940306391970419E-3</v>
      </c>
      <c r="U127" s="80">
        <f t="shared" si="35"/>
        <v>0</v>
      </c>
      <c r="V127" s="82">
        <f t="shared" si="36"/>
        <v>1.3999999999999985E-3</v>
      </c>
    </row>
    <row r="128" spans="1:24" ht="16.5" customHeight="1">
      <c r="A128" s="74">
        <v>111</v>
      </c>
      <c r="B128" s="134" t="s">
        <v>147</v>
      </c>
      <c r="C128" s="135" t="s">
        <v>45</v>
      </c>
      <c r="D128" s="2">
        <v>56281837039.400002</v>
      </c>
      <c r="E128" s="3">
        <f t="shared" si="37"/>
        <v>3.9572096878056066E-2</v>
      </c>
      <c r="F128" s="4">
        <v>1667.47</v>
      </c>
      <c r="G128" s="4">
        <v>1667.47</v>
      </c>
      <c r="H128" s="59">
        <v>291</v>
      </c>
      <c r="I128" s="5">
        <v>7.7100000000000002E-2</v>
      </c>
      <c r="J128" s="5">
        <v>8.09E-2</v>
      </c>
      <c r="K128" s="2">
        <v>57613218672.059998</v>
      </c>
      <c r="L128" s="3">
        <f t="shared" si="31"/>
        <v>4.0445341335176133E-2</v>
      </c>
      <c r="M128" s="4">
        <v>1673.11</v>
      </c>
      <c r="N128" s="4">
        <v>1673.11</v>
      </c>
      <c r="O128" s="59">
        <v>289</v>
      </c>
      <c r="P128" s="5">
        <v>0.1022</v>
      </c>
      <c r="Q128" s="5">
        <v>8.1699999999999995E-2</v>
      </c>
      <c r="R128" s="80">
        <f t="shared" si="32"/>
        <v>2.3655617916806173E-2</v>
      </c>
      <c r="S128" s="80">
        <f t="shared" si="33"/>
        <v>3.3823696978055812E-3</v>
      </c>
      <c r="T128" s="80">
        <f t="shared" si="34"/>
        <v>-6.8728522336769758E-3</v>
      </c>
      <c r="U128" s="80">
        <f t="shared" si="35"/>
        <v>2.5099999999999997E-2</v>
      </c>
      <c r="V128" s="82">
        <f t="shared" si="36"/>
        <v>7.9999999999999516E-4</v>
      </c>
    </row>
    <row r="129" spans="1:22" ht="16.5" customHeight="1">
      <c r="A129" s="74">
        <v>112</v>
      </c>
      <c r="B129" s="134" t="s">
        <v>148</v>
      </c>
      <c r="C129" s="135" t="s">
        <v>32</v>
      </c>
      <c r="D129" s="4">
        <v>55655442328.246201</v>
      </c>
      <c r="E129" s="3">
        <f>(D129/$D$131)</f>
        <v>3.9131675003121036E-2</v>
      </c>
      <c r="F129" s="4">
        <f>100*1485.99</f>
        <v>148599</v>
      </c>
      <c r="G129" s="4">
        <f>100*1485.99</f>
        <v>148599</v>
      </c>
      <c r="H129" s="59">
        <v>1466</v>
      </c>
      <c r="I129" s="5">
        <v>5.9900000000000002E-2</v>
      </c>
      <c r="J129" s="5">
        <v>6.0100000000000001E-2</v>
      </c>
      <c r="K129" s="4">
        <v>55762934163.977699</v>
      </c>
      <c r="L129" s="3">
        <f>(K129/$K$131)</f>
        <v>3.9146413932377354E-2</v>
      </c>
      <c r="M129" s="4">
        <f>100*1485.99</f>
        <v>148599</v>
      </c>
      <c r="N129" s="4">
        <f>100*1485.99</f>
        <v>148599</v>
      </c>
      <c r="O129" s="59">
        <v>1489</v>
      </c>
      <c r="P129" s="5">
        <v>6.0199999999999997E-2</v>
      </c>
      <c r="Q129" s="5">
        <v>6.01159E-2</v>
      </c>
      <c r="R129" s="80">
        <f>((K129-D129)/D129)</f>
        <v>1.9313804946069857E-3</v>
      </c>
      <c r="S129" s="80">
        <f>((N129-G129)/G129)</f>
        <v>0</v>
      </c>
      <c r="T129" s="80">
        <f>((O129-H129)/H129)</f>
        <v>1.5688949522510234E-2</v>
      </c>
      <c r="U129" s="80">
        <f>P129-I129</f>
        <v>2.9999999999999472E-4</v>
      </c>
      <c r="V129" s="82">
        <f>Q129-J129</f>
        <v>1.5899999999999248E-5</v>
      </c>
    </row>
    <row r="130" spans="1:22">
      <c r="A130" s="74">
        <v>113</v>
      </c>
      <c r="B130" s="134" t="s">
        <v>263</v>
      </c>
      <c r="C130" s="135" t="s">
        <v>261</v>
      </c>
      <c r="D130" s="4">
        <f>807443.74*1474.59</f>
        <v>1190648464.5665998</v>
      </c>
      <c r="E130" s="3">
        <f t="shared" si="37"/>
        <v>8.3715207011729909E-4</v>
      </c>
      <c r="F130" s="4">
        <f>1.18*1474.59</f>
        <v>1740.0161999999998</v>
      </c>
      <c r="G130" s="4">
        <f>1.18*1474.59</f>
        <v>1740.0161999999998</v>
      </c>
      <c r="H130" s="59">
        <v>35</v>
      </c>
      <c r="I130" s="5">
        <v>-6.4000000000000003E-3</v>
      </c>
      <c r="J130" s="5">
        <v>6.6799999999999998E-2</v>
      </c>
      <c r="K130" s="4">
        <f>816937.41*1480.518</f>
        <v>1209490540.3783801</v>
      </c>
      <c r="L130" s="3">
        <f t="shared" si="31"/>
        <v>8.4908045193096498E-4</v>
      </c>
      <c r="M130" s="4">
        <f>1.18*1480.518</f>
        <v>1747.01124</v>
      </c>
      <c r="N130" s="4">
        <f>1.18*1480.518</f>
        <v>1747.01124</v>
      </c>
      <c r="O130" s="59">
        <v>35</v>
      </c>
      <c r="P130" s="5">
        <v>-5.9049999999999997E-3</v>
      </c>
      <c r="Q130" s="5">
        <v>6.7251000000000005E-2</v>
      </c>
      <c r="R130" s="80">
        <f t="shared" si="32"/>
        <v>1.5825053634650085E-2</v>
      </c>
      <c r="S130" s="80">
        <f t="shared" si="33"/>
        <v>4.0201005025127037E-3</v>
      </c>
      <c r="T130" s="80">
        <f t="shared" si="34"/>
        <v>0</v>
      </c>
      <c r="U130" s="80">
        <f t="shared" si="35"/>
        <v>4.9500000000000065E-4</v>
      </c>
      <c r="V130" s="82">
        <f t="shared" si="36"/>
        <v>4.5100000000000695E-4</v>
      </c>
    </row>
    <row r="131" spans="1:22">
      <c r="A131" s="74"/>
      <c r="B131" s="19"/>
      <c r="C131" s="65" t="s">
        <v>46</v>
      </c>
      <c r="D131" s="58">
        <f>SUM(D102:D130)</f>
        <v>1422260670513.2676</v>
      </c>
      <c r="E131" s="99">
        <f>(D131/$D$196)</f>
        <v>0.48570997204133698</v>
      </c>
      <c r="F131" s="30"/>
      <c r="G131" s="11"/>
      <c r="H131" s="64">
        <f>SUM(H102:H130)</f>
        <v>18194</v>
      </c>
      <c r="I131" s="33"/>
      <c r="J131" s="33"/>
      <c r="K131" s="58">
        <f>SUM(K102:K130)</f>
        <v>1424471070589.1018</v>
      </c>
      <c r="L131" s="99">
        <f>(K131/$K$196)</f>
        <v>0.48520000412243641</v>
      </c>
      <c r="M131" s="30"/>
      <c r="N131" s="11"/>
      <c r="O131" s="64">
        <f>SUM(O102:O130)</f>
        <v>18274</v>
      </c>
      <c r="P131" s="33"/>
      <c r="Q131" s="33"/>
      <c r="R131" s="80">
        <f t="shared" si="32"/>
        <v>1.554145538620945E-3</v>
      </c>
      <c r="S131" s="80" t="e">
        <f t="shared" si="33"/>
        <v>#DIV/0!</v>
      </c>
      <c r="T131" s="80">
        <f t="shared" si="34"/>
        <v>4.3970539738375286E-3</v>
      </c>
      <c r="U131" s="80">
        <f t="shared" si="35"/>
        <v>0</v>
      </c>
      <c r="V131" s="82">
        <f t="shared" si="36"/>
        <v>0</v>
      </c>
    </row>
    <row r="132" spans="1:22" ht="8.2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</row>
    <row r="133" spans="1:22" ht="15.75">
      <c r="A133" s="165" t="s">
        <v>149</v>
      </c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</row>
    <row r="134" spans="1:22">
      <c r="A134" s="74">
        <v>114</v>
      </c>
      <c r="B134" s="134" t="s">
        <v>245</v>
      </c>
      <c r="C134" s="135" t="s">
        <v>246</v>
      </c>
      <c r="D134" s="2">
        <v>2286695241.8802738</v>
      </c>
      <c r="E134" s="3">
        <f>(D134/$D$139)</f>
        <v>2.3168829701625013E-2</v>
      </c>
      <c r="F134" s="14">
        <v>108.58</v>
      </c>
      <c r="G134" s="14">
        <v>108.58</v>
      </c>
      <c r="H134" s="59">
        <v>7</v>
      </c>
      <c r="I134" s="5">
        <v>9.4473785152027201E-3</v>
      </c>
      <c r="J134" s="5">
        <v>6.25E-2</v>
      </c>
      <c r="K134" s="2">
        <v>2309996916.449327</v>
      </c>
      <c r="L134" s="3">
        <f>(K134/$K$139)</f>
        <v>2.3405058453073727E-2</v>
      </c>
      <c r="M134" s="14">
        <v>108.85942113333303</v>
      </c>
      <c r="N134" s="14">
        <v>108.85942113333303</v>
      </c>
      <c r="O134" s="59">
        <v>7</v>
      </c>
      <c r="P134" s="5">
        <v>2.573412537603792E-3</v>
      </c>
      <c r="Q134" s="5">
        <v>6.5299999999999997E-2</v>
      </c>
      <c r="R134" s="80">
        <f t="shared" ref="R134:R139" si="38">((K134-D134)/D134)</f>
        <v>1.0190109351822929E-2</v>
      </c>
      <c r="S134" s="80">
        <f t="shared" ref="S134:T139" si="39">((N134-G134)/G134)</f>
        <v>2.5734125376038956E-3</v>
      </c>
      <c r="T134" s="80">
        <f t="shared" si="39"/>
        <v>0</v>
      </c>
      <c r="U134" s="80">
        <f t="shared" ref="U134:V139" si="40">P134-I134</f>
        <v>-6.8739659775989281E-3</v>
      </c>
      <c r="V134" s="82">
        <f t="shared" si="40"/>
        <v>2.7999999999999969E-3</v>
      </c>
    </row>
    <row r="135" spans="1:22">
      <c r="A135" s="74">
        <v>115</v>
      </c>
      <c r="B135" s="134" t="s">
        <v>150</v>
      </c>
      <c r="C135" s="135" t="s">
        <v>40</v>
      </c>
      <c r="D135" s="2">
        <v>53749983529</v>
      </c>
      <c r="E135" s="3">
        <f>(D135/$D$139)</f>
        <v>0.54459562080715296</v>
      </c>
      <c r="F135" s="14">
        <v>102.5</v>
      </c>
      <c r="G135" s="14">
        <v>102.5</v>
      </c>
      <c r="H135" s="59">
        <v>666</v>
      </c>
      <c r="I135" s="5">
        <v>0</v>
      </c>
      <c r="J135" s="5">
        <v>7.6999999999999999E-2</v>
      </c>
      <c r="K135" s="2">
        <v>53749983529</v>
      </c>
      <c r="L135" s="3">
        <f>(K135/$K$139)</f>
        <v>0.54459878166490683</v>
      </c>
      <c r="M135" s="14">
        <v>102.5</v>
      </c>
      <c r="N135" s="14">
        <v>102.5</v>
      </c>
      <c r="O135" s="59">
        <v>666</v>
      </c>
      <c r="P135" s="5">
        <v>0</v>
      </c>
      <c r="Q135" s="5">
        <v>7.6999999999999999E-2</v>
      </c>
      <c r="R135" s="80">
        <f t="shared" si="38"/>
        <v>0</v>
      </c>
      <c r="S135" s="80">
        <f t="shared" si="39"/>
        <v>0</v>
      </c>
      <c r="T135" s="80">
        <f t="shared" si="39"/>
        <v>0</v>
      </c>
      <c r="U135" s="80">
        <f t="shared" si="40"/>
        <v>0</v>
      </c>
      <c r="V135" s="82">
        <f t="shared" si="40"/>
        <v>0</v>
      </c>
    </row>
    <row r="136" spans="1:22" ht="15.75" customHeight="1">
      <c r="A136" s="74">
        <v>116</v>
      </c>
      <c r="B136" s="134" t="s">
        <v>151</v>
      </c>
      <c r="C136" s="135" t="s">
        <v>120</v>
      </c>
      <c r="D136" s="2">
        <v>2422630970.7842684</v>
      </c>
      <c r="E136" s="3">
        <f>(D136/$D$139)</f>
        <v>2.4546132498981257E-2</v>
      </c>
      <c r="F136" s="14">
        <v>101.4</v>
      </c>
      <c r="G136" s="14">
        <v>101.4</v>
      </c>
      <c r="H136" s="59">
        <v>2760</v>
      </c>
      <c r="I136" s="5">
        <v>7.1599999999999997E-2</v>
      </c>
      <c r="J136" s="5">
        <v>9.6600000000000005E-2</v>
      </c>
      <c r="K136" s="2">
        <v>2425047458.2279649</v>
      </c>
      <c r="L136" s="3">
        <f>(K136/$K$139)</f>
        <v>2.4570758994148838E-2</v>
      </c>
      <c r="M136" s="14">
        <v>101.4</v>
      </c>
      <c r="N136" s="14">
        <v>101.4</v>
      </c>
      <c r="O136" s="59">
        <v>2760</v>
      </c>
      <c r="P136" s="5">
        <v>6.520860477658981E-2</v>
      </c>
      <c r="Q136" s="5">
        <v>9.4608451183079131E-2</v>
      </c>
      <c r="R136" s="80">
        <f t="shared" si="38"/>
        <v>9.9746410940755831E-4</v>
      </c>
      <c r="S136" s="80">
        <f t="shared" si="39"/>
        <v>0</v>
      </c>
      <c r="T136" s="80">
        <f t="shared" si="39"/>
        <v>0</v>
      </c>
      <c r="U136" s="80">
        <f t="shared" si="40"/>
        <v>-6.3913952234101873E-3</v>
      </c>
      <c r="V136" s="82">
        <f t="shared" si="40"/>
        <v>-1.9915488169208739E-3</v>
      </c>
    </row>
    <row r="137" spans="1:22">
      <c r="A137" s="74">
        <v>117</v>
      </c>
      <c r="B137" s="134" t="s">
        <v>152</v>
      </c>
      <c r="C137" s="135" t="s">
        <v>120</v>
      </c>
      <c r="D137" s="2">
        <v>10563934558.280001</v>
      </c>
      <c r="E137" s="3">
        <f>(D137/$D$139)</f>
        <v>0.10703393975606801</v>
      </c>
      <c r="F137" s="14">
        <v>36.6</v>
      </c>
      <c r="G137" s="14">
        <v>36.6</v>
      </c>
      <c r="H137" s="59">
        <v>5264</v>
      </c>
      <c r="I137" s="5">
        <v>0.13069094804499251</v>
      </c>
      <c r="J137" s="5">
        <v>0.19378986534372819</v>
      </c>
      <c r="K137" s="2">
        <v>10563934558.280001</v>
      </c>
      <c r="L137" s="3">
        <f>(K137/$K$139)</f>
        <v>0.10703456098592276</v>
      </c>
      <c r="M137" s="14">
        <v>36.6</v>
      </c>
      <c r="N137" s="14">
        <v>36.6</v>
      </c>
      <c r="O137" s="59">
        <v>5264</v>
      </c>
      <c r="P137" s="5">
        <v>0</v>
      </c>
      <c r="Q137" s="5">
        <v>0.18590000000000001</v>
      </c>
      <c r="R137" s="80">
        <f t="shared" si="38"/>
        <v>0</v>
      </c>
      <c r="S137" s="80">
        <f t="shared" si="39"/>
        <v>0</v>
      </c>
      <c r="T137" s="80">
        <f t="shared" si="39"/>
        <v>0</v>
      </c>
      <c r="U137" s="80">
        <f t="shared" si="40"/>
        <v>-0.13069094804499251</v>
      </c>
      <c r="V137" s="82">
        <f t="shared" si="40"/>
        <v>-7.8898653437281807E-3</v>
      </c>
    </row>
    <row r="138" spans="1:22">
      <c r="A138" s="74">
        <v>118</v>
      </c>
      <c r="B138" s="134" t="s">
        <v>153</v>
      </c>
      <c r="C138" s="135" t="s">
        <v>42</v>
      </c>
      <c r="D138" s="2">
        <v>29673809946.169998</v>
      </c>
      <c r="E138" s="3">
        <f>(D138/$D$139)</f>
        <v>0.30065547723617275</v>
      </c>
      <c r="F138" s="14">
        <v>4.75</v>
      </c>
      <c r="G138" s="14">
        <v>4.75</v>
      </c>
      <c r="H138" s="59">
        <v>208327</v>
      </c>
      <c r="I138" s="5">
        <v>0.17280000000000001</v>
      </c>
      <c r="J138" s="5">
        <v>-0.3594</v>
      </c>
      <c r="K138" s="2">
        <v>29647518945.290001</v>
      </c>
      <c r="L138" s="3">
        <f>(K138/$K$139)</f>
        <v>0.30039083990194793</v>
      </c>
      <c r="M138" s="14">
        <v>5</v>
      </c>
      <c r="N138" s="14">
        <v>5</v>
      </c>
      <c r="O138" s="59">
        <v>208327</v>
      </c>
      <c r="P138" s="5">
        <v>5.2600000000000001E-2</v>
      </c>
      <c r="Q138" s="5">
        <v>-0.21879999999999999</v>
      </c>
      <c r="R138" s="80">
        <f t="shared" si="38"/>
        <v>-8.8600017751986162E-4</v>
      </c>
      <c r="S138" s="80">
        <f t="shared" si="39"/>
        <v>5.2631578947368418E-2</v>
      </c>
      <c r="T138" s="80">
        <f t="shared" si="39"/>
        <v>0</v>
      </c>
      <c r="U138" s="80">
        <f t="shared" si="40"/>
        <v>-0.1202</v>
      </c>
      <c r="V138" s="82">
        <f t="shared" si="40"/>
        <v>0.1406</v>
      </c>
    </row>
    <row r="139" spans="1:22">
      <c r="A139" s="118"/>
      <c r="B139" s="119"/>
      <c r="C139" s="70" t="s">
        <v>46</v>
      </c>
      <c r="D139" s="57">
        <f>SUM(D134:D138)</f>
        <v>98697054246.114548</v>
      </c>
      <c r="E139" s="99">
        <f>(D139/$D$196)</f>
        <v>3.3705595923666107E-2</v>
      </c>
      <c r="F139" s="30"/>
      <c r="G139" s="34"/>
      <c r="H139" s="64">
        <f>SUM(H134:H138)</f>
        <v>217024</v>
      </c>
      <c r="I139" s="35"/>
      <c r="J139" s="35"/>
      <c r="K139" s="57">
        <f>SUM(K134:K138)</f>
        <v>98696481407.247284</v>
      </c>
      <c r="L139" s="99">
        <f>(K139/$K$196)</f>
        <v>3.3617764638675371E-2</v>
      </c>
      <c r="M139" s="30"/>
      <c r="N139" s="34"/>
      <c r="O139" s="64">
        <f>SUM(O134:O138)</f>
        <v>217024</v>
      </c>
      <c r="P139" s="35"/>
      <c r="Q139" s="35"/>
      <c r="R139" s="154">
        <f t="shared" si="38"/>
        <v>-5.8040117979138691E-6</v>
      </c>
      <c r="S139" s="80" t="e">
        <f t="shared" si="39"/>
        <v>#DIV/0!</v>
      </c>
      <c r="T139" s="80">
        <f t="shared" si="39"/>
        <v>0</v>
      </c>
      <c r="U139" s="80">
        <f t="shared" si="40"/>
        <v>0</v>
      </c>
      <c r="V139" s="82">
        <f t="shared" si="40"/>
        <v>0</v>
      </c>
    </row>
    <row r="140" spans="1:22" ht="7.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</row>
    <row r="141" spans="1:22" ht="15" customHeight="1">
      <c r="A141" s="165" t="s">
        <v>154</v>
      </c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</row>
    <row r="142" spans="1:22">
      <c r="A142" s="74">
        <v>119</v>
      </c>
      <c r="B142" s="134" t="s">
        <v>155</v>
      </c>
      <c r="C142" s="135" t="s">
        <v>50</v>
      </c>
      <c r="D142" s="4">
        <v>240225190.71000001</v>
      </c>
      <c r="E142" s="3">
        <f t="shared" ref="E142:E169" si="41">(D142/$D$170)</f>
        <v>4.8411438332873662E-3</v>
      </c>
      <c r="F142" s="4">
        <v>5.37</v>
      </c>
      <c r="G142" s="4">
        <v>5.44</v>
      </c>
      <c r="H142" s="61">
        <v>11833</v>
      </c>
      <c r="I142" s="6">
        <v>9.2259999999999998E-3</v>
      </c>
      <c r="J142" s="6">
        <v>6.8051E-2</v>
      </c>
      <c r="K142" s="4">
        <v>240225190.71000001</v>
      </c>
      <c r="L142" s="16">
        <f t="shared" ref="L142:L169" si="42">(K142/$K$170)</f>
        <v>4.8021267313124276E-3</v>
      </c>
      <c r="M142" s="4">
        <v>5.37</v>
      </c>
      <c r="N142" s="4">
        <v>5.44</v>
      </c>
      <c r="O142" s="61">
        <v>11833</v>
      </c>
      <c r="P142" s="6">
        <v>9.2259999999999998E-3</v>
      </c>
      <c r="Q142" s="6">
        <v>6.8051E-2</v>
      </c>
      <c r="R142" s="80">
        <f>((K142-D142)/D142)</f>
        <v>0</v>
      </c>
      <c r="S142" s="80">
        <f>((N142-G142)/G142)</f>
        <v>0</v>
      </c>
      <c r="T142" s="80">
        <f>((O142-H142)/H142)</f>
        <v>0</v>
      </c>
      <c r="U142" s="80">
        <f>P142-I142</f>
        <v>0</v>
      </c>
      <c r="V142" s="82">
        <f>Q142-J142</f>
        <v>0</v>
      </c>
    </row>
    <row r="143" spans="1:22">
      <c r="A143" s="74">
        <v>120</v>
      </c>
      <c r="B143" s="134" t="s">
        <v>255</v>
      </c>
      <c r="C143" s="134" t="s">
        <v>254</v>
      </c>
      <c r="D143" s="4">
        <v>607886310.61079717</v>
      </c>
      <c r="E143" s="3">
        <f t="shared" si="41"/>
        <v>1.2250443241424658E-2</v>
      </c>
      <c r="F143" s="4">
        <v>1160.7285071198237</v>
      </c>
      <c r="G143" s="4">
        <v>1171.6390187703291</v>
      </c>
      <c r="H143" s="61">
        <v>175</v>
      </c>
      <c r="I143" s="6">
        <v>1.9529333861135381E-2</v>
      </c>
      <c r="J143" s="6">
        <v>3.6069798178307376E-2</v>
      </c>
      <c r="K143" s="4">
        <v>593722183.82265663</v>
      </c>
      <c r="L143" s="16">
        <f t="shared" si="42"/>
        <v>1.1868568660436011E-2</v>
      </c>
      <c r="M143" s="4">
        <v>1133.4904324198717</v>
      </c>
      <c r="N143" s="4">
        <v>1144.4646988457584</v>
      </c>
      <c r="O143" s="61">
        <v>175</v>
      </c>
      <c r="P143" s="6">
        <v>-2.3300618126946525E-2</v>
      </c>
      <c r="Q143" s="6">
        <v>1.1928731458092076E-2</v>
      </c>
      <c r="R143" s="80">
        <f>((K143-D143)/D143)</f>
        <v>-2.3300618126946442E-2</v>
      </c>
      <c r="S143" s="80">
        <f>((N143-G143)/G143)</f>
        <v>-2.3193423477045821E-2</v>
      </c>
      <c r="T143" s="80">
        <f>((O143-H143)/H143)</f>
        <v>0</v>
      </c>
      <c r="U143" s="80">
        <f>P143-I143</f>
        <v>-4.2829951988081906E-2</v>
      </c>
      <c r="V143" s="82">
        <f>Q143-J143</f>
        <v>-2.41410667202153E-2</v>
      </c>
    </row>
    <row r="144" spans="1:22">
      <c r="A144" s="74">
        <v>121</v>
      </c>
      <c r="B144" s="134" t="s">
        <v>156</v>
      </c>
      <c r="C144" s="135" t="s">
        <v>21</v>
      </c>
      <c r="D144" s="4">
        <v>7368389260.9499998</v>
      </c>
      <c r="E144" s="3">
        <f t="shared" si="41"/>
        <v>0.14849163872647944</v>
      </c>
      <c r="F144" s="4">
        <v>769.96140000000003</v>
      </c>
      <c r="G144" s="4">
        <v>793.17639999999994</v>
      </c>
      <c r="H144" s="61">
        <v>21272</v>
      </c>
      <c r="I144" s="6">
        <v>0.50760000000000005</v>
      </c>
      <c r="J144" s="6">
        <v>0.35780000000000001</v>
      </c>
      <c r="K144" s="4">
        <v>7388148165.5799999</v>
      </c>
      <c r="L144" s="16">
        <f t="shared" si="42"/>
        <v>0.1476898559054893</v>
      </c>
      <c r="M144" s="4">
        <v>772.10730000000001</v>
      </c>
      <c r="N144" s="4">
        <v>795.38689999999997</v>
      </c>
      <c r="O144" s="61">
        <v>21275</v>
      </c>
      <c r="P144" s="6">
        <v>0.1457</v>
      </c>
      <c r="Q144" s="6">
        <v>0.35010000000000002</v>
      </c>
      <c r="R144" s="80">
        <f t="shared" ref="R144:R170" si="43">((K144-D144)/D144)</f>
        <v>2.681577198250872E-3</v>
      </c>
      <c r="S144" s="80">
        <f t="shared" ref="S144:S170" si="44">((N144-G144)/G144)</f>
        <v>2.7868958279646553E-3</v>
      </c>
      <c r="T144" s="80">
        <f t="shared" ref="T144:T170" si="45">((O144-H144)/H144)</f>
        <v>1.4103046257991727E-4</v>
      </c>
      <c r="U144" s="80">
        <f t="shared" ref="U144:U170" si="46">P144-I144</f>
        <v>-0.36190000000000005</v>
      </c>
      <c r="V144" s="82">
        <f t="shared" ref="V144:V170" si="47">Q144-J144</f>
        <v>-7.6999999999999846E-3</v>
      </c>
    </row>
    <row r="145" spans="1:24">
      <c r="A145" s="74">
        <v>122</v>
      </c>
      <c r="B145" s="134" t="s">
        <v>157</v>
      </c>
      <c r="C145" s="135" t="s">
        <v>91</v>
      </c>
      <c r="D145" s="4">
        <v>3609542156.5999999</v>
      </c>
      <c r="E145" s="3">
        <f t="shared" si="41"/>
        <v>7.2741383619130393E-2</v>
      </c>
      <c r="F145" s="4">
        <v>19.984999999999999</v>
      </c>
      <c r="G145" s="4">
        <v>20.218499999999999</v>
      </c>
      <c r="H145" s="59">
        <v>6247</v>
      </c>
      <c r="I145" s="5">
        <v>2.9399999999999999E-2</v>
      </c>
      <c r="J145" s="5">
        <v>8.3500000000000005E-2</v>
      </c>
      <c r="K145" s="4">
        <v>3630337456.3099999</v>
      </c>
      <c r="L145" s="16">
        <f t="shared" si="42"/>
        <v>7.2570826111556935E-2</v>
      </c>
      <c r="M145" s="4">
        <v>20.3444</v>
      </c>
      <c r="N145" s="4">
        <v>20.583300000000001</v>
      </c>
      <c r="O145" s="59">
        <v>6245</v>
      </c>
      <c r="P145" s="5">
        <v>2.9399999999999999E-2</v>
      </c>
      <c r="Q145" s="5">
        <v>1.17E-2</v>
      </c>
      <c r="R145" s="80">
        <f t="shared" si="43"/>
        <v>5.7612015063949621E-3</v>
      </c>
      <c r="S145" s="80">
        <f t="shared" si="44"/>
        <v>1.8042881519400672E-2</v>
      </c>
      <c r="T145" s="80">
        <f t="shared" si="45"/>
        <v>-3.2015367376340644E-4</v>
      </c>
      <c r="U145" s="80">
        <f t="shared" si="46"/>
        <v>0</v>
      </c>
      <c r="V145" s="82">
        <f t="shared" si="47"/>
        <v>-7.1800000000000003E-2</v>
      </c>
    </row>
    <row r="146" spans="1:24">
      <c r="A146" s="74">
        <v>123</v>
      </c>
      <c r="B146" s="134" t="s">
        <v>158</v>
      </c>
      <c r="C146" s="135" t="s">
        <v>101</v>
      </c>
      <c r="D146" s="2">
        <v>1533373470.1521971</v>
      </c>
      <c r="E146" s="3">
        <f t="shared" si="41"/>
        <v>3.0901345097130752E-2</v>
      </c>
      <c r="F146" s="4">
        <v>3.6052</v>
      </c>
      <c r="G146" s="4">
        <v>3.6972</v>
      </c>
      <c r="H146" s="59">
        <v>2752</v>
      </c>
      <c r="I146" s="5">
        <v>1.5193000000000001</v>
      </c>
      <c r="J146" s="5">
        <v>0.35709999999999997</v>
      </c>
      <c r="K146" s="2">
        <v>1540876095.2202899</v>
      </c>
      <c r="L146" s="16">
        <f t="shared" si="42"/>
        <v>3.0802274585059346E-2</v>
      </c>
      <c r="M146" s="4">
        <v>3.625</v>
      </c>
      <c r="N146" s="4">
        <v>3.7157</v>
      </c>
      <c r="O146" s="59">
        <v>2751</v>
      </c>
      <c r="P146" s="5">
        <v>0.2616</v>
      </c>
      <c r="Q146" s="5">
        <v>0.35499999999999998</v>
      </c>
      <c r="R146" s="80">
        <f t="shared" si="43"/>
        <v>4.8928882716016602E-3</v>
      </c>
      <c r="S146" s="80">
        <f t="shared" si="44"/>
        <v>5.0037866493562594E-3</v>
      </c>
      <c r="T146" s="80">
        <f t="shared" si="45"/>
        <v>-3.6337209302325581E-4</v>
      </c>
      <c r="U146" s="80">
        <f t="shared" si="46"/>
        <v>-1.2577</v>
      </c>
      <c r="V146" s="82">
        <f t="shared" si="47"/>
        <v>-2.0999999999999908E-3</v>
      </c>
    </row>
    <row r="147" spans="1:24">
      <c r="A147" s="74">
        <v>124</v>
      </c>
      <c r="B147" s="134" t="s">
        <v>159</v>
      </c>
      <c r="C147" s="135" t="s">
        <v>56</v>
      </c>
      <c r="D147" s="4">
        <v>3381873005.3993101</v>
      </c>
      <c r="E147" s="3">
        <f t="shared" si="41"/>
        <v>6.8153275668804983E-2</v>
      </c>
      <c r="F147" s="4">
        <v>6334.5000667775803</v>
      </c>
      <c r="G147" s="4">
        <v>6380.5381937974198</v>
      </c>
      <c r="H147" s="59">
        <v>869</v>
      </c>
      <c r="I147" s="5">
        <v>1.8647100730484167</v>
      </c>
      <c r="J147" s="5">
        <v>0.20839115761270061</v>
      </c>
      <c r="K147" s="4">
        <v>3404985771.8475299</v>
      </c>
      <c r="L147" s="16">
        <f t="shared" si="42"/>
        <v>6.8066022328468659E-2</v>
      </c>
      <c r="M147" s="4">
        <v>6376.9198144468301</v>
      </c>
      <c r="N147" s="4">
        <v>6423.8444990142098</v>
      </c>
      <c r="O147" s="59">
        <v>872</v>
      </c>
      <c r="P147" s="5">
        <v>0.35013762464679848</v>
      </c>
      <c r="Q147" s="5">
        <v>0.21546561445313994</v>
      </c>
      <c r="R147" s="80">
        <f t="shared" si="43"/>
        <v>6.8343093934394401E-3</v>
      </c>
      <c r="S147" s="80">
        <f t="shared" si="44"/>
        <v>6.7872495863888745E-3</v>
      </c>
      <c r="T147" s="80">
        <f t="shared" si="45"/>
        <v>3.4522439585730723E-3</v>
      </c>
      <c r="U147" s="80">
        <f t="shared" si="46"/>
        <v>-1.5145724484016183</v>
      </c>
      <c r="V147" s="82">
        <f t="shared" si="47"/>
        <v>7.074456840439336E-3</v>
      </c>
    </row>
    <row r="148" spans="1:24">
      <c r="A148" s="74">
        <v>125</v>
      </c>
      <c r="B148" s="134" t="s">
        <v>160</v>
      </c>
      <c r="C148" s="135" t="s">
        <v>58</v>
      </c>
      <c r="D148" s="4">
        <v>670315200.61000001</v>
      </c>
      <c r="E148" s="3">
        <f t="shared" si="41"/>
        <v>1.350854292258368E-2</v>
      </c>
      <c r="F148" s="4">
        <v>166.87</v>
      </c>
      <c r="G148" s="4">
        <v>168.06</v>
      </c>
      <c r="H148" s="59">
        <v>672</v>
      </c>
      <c r="I148" s="5">
        <v>2.9600000000000001E-2</v>
      </c>
      <c r="J148" s="5">
        <v>8.7800000000000003E-2</v>
      </c>
      <c r="K148" s="4">
        <v>675166974.36000001</v>
      </c>
      <c r="L148" s="16">
        <f t="shared" si="42"/>
        <v>1.3496658556460548E-2</v>
      </c>
      <c r="M148" s="4">
        <v>167.97</v>
      </c>
      <c r="N148" s="4">
        <v>169.19</v>
      </c>
      <c r="O148" s="59">
        <v>672</v>
      </c>
      <c r="P148" s="5">
        <v>6.7000000000000002E-3</v>
      </c>
      <c r="Q148" s="5">
        <v>9.4200000000000006E-2</v>
      </c>
      <c r="R148" s="80">
        <f t="shared" si="43"/>
        <v>7.2380482280347972E-3</v>
      </c>
      <c r="S148" s="80">
        <f t="shared" si="44"/>
        <v>6.723789122932259E-3</v>
      </c>
      <c r="T148" s="80">
        <f t="shared" si="45"/>
        <v>0</v>
      </c>
      <c r="U148" s="80">
        <f t="shared" si="46"/>
        <v>-2.29E-2</v>
      </c>
      <c r="V148" s="82">
        <f t="shared" si="47"/>
        <v>6.4000000000000029E-3</v>
      </c>
    </row>
    <row r="149" spans="1:24">
      <c r="A149" s="74">
        <v>126</v>
      </c>
      <c r="B149" s="134" t="s">
        <v>161</v>
      </c>
      <c r="C149" s="135" t="s">
        <v>60</v>
      </c>
      <c r="D149" s="4">
        <v>3734808.11</v>
      </c>
      <c r="E149" s="3">
        <f t="shared" si="41"/>
        <v>7.5265808705570871E-5</v>
      </c>
      <c r="F149" s="4">
        <v>102.747</v>
      </c>
      <c r="G149" s="4">
        <v>102.99</v>
      </c>
      <c r="H149" s="59">
        <v>0</v>
      </c>
      <c r="I149" s="5">
        <v>0</v>
      </c>
      <c r="J149" s="5">
        <v>0</v>
      </c>
      <c r="K149" s="4">
        <v>3734808.11</v>
      </c>
      <c r="L149" s="16">
        <f t="shared" si="42"/>
        <v>7.4659205424482781E-5</v>
      </c>
      <c r="M149" s="4">
        <v>102.747</v>
      </c>
      <c r="N149" s="4">
        <v>102.99</v>
      </c>
      <c r="O149" s="59">
        <v>0</v>
      </c>
      <c r="P149" s="5">
        <v>0</v>
      </c>
      <c r="Q149" s="5">
        <v>0</v>
      </c>
      <c r="R149" s="80">
        <f t="shared" si="43"/>
        <v>0</v>
      </c>
      <c r="S149" s="80">
        <f t="shared" si="44"/>
        <v>0</v>
      </c>
      <c r="T149" s="80" t="e">
        <f t="shared" si="45"/>
        <v>#DIV/0!</v>
      </c>
      <c r="U149" s="80">
        <f t="shared" si="46"/>
        <v>0</v>
      </c>
      <c r="V149" s="82">
        <f t="shared" si="47"/>
        <v>0</v>
      </c>
    </row>
    <row r="150" spans="1:24">
      <c r="A150" s="74">
        <v>127</v>
      </c>
      <c r="B150" s="134" t="s">
        <v>162</v>
      </c>
      <c r="C150" s="135" t="s">
        <v>105</v>
      </c>
      <c r="D150" s="4">
        <v>189962710.91999999</v>
      </c>
      <c r="E150" s="3">
        <f t="shared" si="41"/>
        <v>3.828228021411354E-3</v>
      </c>
      <c r="F150" s="4">
        <v>1.4583999999999999</v>
      </c>
      <c r="G150" s="4">
        <v>1.4706999999999999</v>
      </c>
      <c r="H150" s="59">
        <v>309</v>
      </c>
      <c r="I150" s="5">
        <v>1.376338106492403E-2</v>
      </c>
      <c r="J150" s="5">
        <v>-1.8110819363091779E-2</v>
      </c>
      <c r="K150" s="4">
        <v>190603878.34999999</v>
      </c>
      <c r="L150" s="16">
        <f t="shared" si="42"/>
        <v>3.8101914982817623E-3</v>
      </c>
      <c r="M150" s="4">
        <v>1.4625999999999999</v>
      </c>
      <c r="N150" s="4">
        <v>1.4749000000000001</v>
      </c>
      <c r="O150" s="59">
        <v>309</v>
      </c>
      <c r="P150" s="5">
        <v>2.8798683488755472E-3</v>
      </c>
      <c r="Q150" s="5">
        <v>-1.5283107789672234E-2</v>
      </c>
      <c r="R150" s="80">
        <f t="shared" si="43"/>
        <v>3.3752278375834793E-3</v>
      </c>
      <c r="S150" s="80">
        <f t="shared" si="44"/>
        <v>2.8557829604951412E-3</v>
      </c>
      <c r="T150" s="80">
        <f t="shared" si="45"/>
        <v>0</v>
      </c>
      <c r="U150" s="80">
        <f t="shared" si="46"/>
        <v>-1.0883512716048482E-2</v>
      </c>
      <c r="V150" s="82">
        <f t="shared" si="47"/>
        <v>2.8277115734195446E-3</v>
      </c>
    </row>
    <row r="151" spans="1:24">
      <c r="A151" s="74">
        <v>128</v>
      </c>
      <c r="B151" s="134" t="s">
        <v>163</v>
      </c>
      <c r="C151" s="135" t="s">
        <v>25</v>
      </c>
      <c r="D151" s="9">
        <v>128291785.59</v>
      </c>
      <c r="E151" s="3">
        <f t="shared" si="41"/>
        <v>2.5854032411622495E-3</v>
      </c>
      <c r="F151" s="4">
        <v>146.29640000000001</v>
      </c>
      <c r="G151" s="4">
        <v>146.8202</v>
      </c>
      <c r="H151" s="59">
        <v>108</v>
      </c>
      <c r="I151" s="5">
        <v>1.3100000000000001E-4</v>
      </c>
      <c r="J151" s="5">
        <v>0.28749999999999998</v>
      </c>
      <c r="K151" s="9">
        <v>128261540.61</v>
      </c>
      <c r="L151" s="16">
        <f t="shared" si="42"/>
        <v>2.5639616350899034E-3</v>
      </c>
      <c r="M151" s="4">
        <v>146.4333</v>
      </c>
      <c r="N151" s="4">
        <v>146.9571</v>
      </c>
      <c r="O151" s="59">
        <v>108</v>
      </c>
      <c r="P151" s="5">
        <v>6.7400000000000001E-4</v>
      </c>
      <c r="Q151" s="5">
        <v>0.28820000000000001</v>
      </c>
      <c r="R151" s="80">
        <f t="shared" si="43"/>
        <v>-2.3575149305866147E-4</v>
      </c>
      <c r="S151" s="80">
        <f t="shared" si="44"/>
        <v>9.3243300308811145E-4</v>
      </c>
      <c r="T151" s="80">
        <f t="shared" si="45"/>
        <v>0</v>
      </c>
      <c r="U151" s="80">
        <f t="shared" si="46"/>
        <v>5.4299999999999997E-4</v>
      </c>
      <c r="V151" s="82">
        <f t="shared" si="47"/>
        <v>7.0000000000003393E-4</v>
      </c>
    </row>
    <row r="152" spans="1:24">
      <c r="A152" s="74">
        <v>129</v>
      </c>
      <c r="B152" s="134" t="s">
        <v>164</v>
      </c>
      <c r="C152" s="135" t="s">
        <v>64</v>
      </c>
      <c r="D152" s="9">
        <v>204610317.21000001</v>
      </c>
      <c r="E152" s="3">
        <f t="shared" si="41"/>
        <v>4.1234142533534439E-3</v>
      </c>
      <c r="F152" s="4">
        <v>115.45</v>
      </c>
      <c r="G152" s="4">
        <v>116.63</v>
      </c>
      <c r="H152" s="59">
        <v>27</v>
      </c>
      <c r="I152" s="5">
        <v>1.4500000000000001E-2</v>
      </c>
      <c r="J152" s="5">
        <v>0.1171</v>
      </c>
      <c r="K152" s="9">
        <v>204610317.21000001</v>
      </c>
      <c r="L152" s="16">
        <f t="shared" si="42"/>
        <v>4.0901816785842782E-3</v>
      </c>
      <c r="M152" s="4">
        <v>115.45</v>
      </c>
      <c r="N152" s="4">
        <v>116.63</v>
      </c>
      <c r="O152" s="59">
        <v>27</v>
      </c>
      <c r="P152" s="5">
        <v>0</v>
      </c>
      <c r="Q152" s="5">
        <v>0.1171</v>
      </c>
      <c r="R152" s="80">
        <f t="shared" si="43"/>
        <v>0</v>
      </c>
      <c r="S152" s="80">
        <f t="shared" si="44"/>
        <v>0</v>
      </c>
      <c r="T152" s="80">
        <f t="shared" si="45"/>
        <v>0</v>
      </c>
      <c r="U152" s="80">
        <f t="shared" si="46"/>
        <v>-1.4500000000000001E-2</v>
      </c>
      <c r="V152" s="82">
        <f t="shared" si="47"/>
        <v>0</v>
      </c>
    </row>
    <row r="153" spans="1:24" ht="15.75" customHeight="1">
      <c r="A153" s="74">
        <v>130</v>
      </c>
      <c r="B153" s="134" t="s">
        <v>165</v>
      </c>
      <c r="C153" s="135" t="s">
        <v>67</v>
      </c>
      <c r="D153" s="2">
        <v>331389598.11000001</v>
      </c>
      <c r="E153" s="3">
        <f t="shared" si="41"/>
        <v>6.6783367080037945E-3</v>
      </c>
      <c r="F153" s="4">
        <v>1.2761</v>
      </c>
      <c r="G153" s="4">
        <v>1.2915000000000001</v>
      </c>
      <c r="H153" s="59">
        <v>107</v>
      </c>
      <c r="I153" s="5">
        <v>7.1823204419890364E-3</v>
      </c>
      <c r="J153" s="5">
        <v>0.3333131231670603</v>
      </c>
      <c r="K153" s="2">
        <v>331389598.11000001</v>
      </c>
      <c r="L153" s="16">
        <f t="shared" si="42"/>
        <v>6.6245127867710675E-3</v>
      </c>
      <c r="M153" s="4">
        <v>1.2809999999999999</v>
      </c>
      <c r="N153" s="4">
        <v>1.2965</v>
      </c>
      <c r="O153" s="59">
        <v>107</v>
      </c>
      <c r="P153" s="5">
        <v>3.8398244651672319E-3</v>
      </c>
      <c r="Q153" s="5">
        <v>0.35176768933530367</v>
      </c>
      <c r="R153" s="80">
        <f t="shared" si="43"/>
        <v>0</v>
      </c>
      <c r="S153" s="80">
        <f t="shared" si="44"/>
        <v>3.8714672861013496E-3</v>
      </c>
      <c r="T153" s="80">
        <f t="shared" si="45"/>
        <v>0</v>
      </c>
      <c r="U153" s="80">
        <f t="shared" si="46"/>
        <v>-3.3424959768218044E-3</v>
      </c>
      <c r="V153" s="82">
        <f t="shared" si="47"/>
        <v>1.8454566168243369E-2</v>
      </c>
      <c r="X153" s="104"/>
    </row>
    <row r="154" spans="1:24">
      <c r="A154" s="74">
        <v>131</v>
      </c>
      <c r="B154" s="134" t="s">
        <v>166</v>
      </c>
      <c r="C154" s="135" t="s">
        <v>27</v>
      </c>
      <c r="D154" s="4">
        <v>8402779470.5799999</v>
      </c>
      <c r="E154" s="3">
        <f t="shared" si="41"/>
        <v>0.16933721187292067</v>
      </c>
      <c r="F154" s="4">
        <v>307.23</v>
      </c>
      <c r="G154" s="4">
        <v>309.05</v>
      </c>
      <c r="H154" s="59">
        <v>5495</v>
      </c>
      <c r="I154" s="5">
        <v>1.4800000000000001E-2</v>
      </c>
      <c r="J154" s="5">
        <v>0.13619999999999999</v>
      </c>
      <c r="K154" s="4">
        <v>8538366519.71</v>
      </c>
      <c r="L154" s="16">
        <f t="shared" si="42"/>
        <v>0.17068284131592373</v>
      </c>
      <c r="M154" s="4">
        <v>312.20999999999998</v>
      </c>
      <c r="N154" s="4">
        <v>314.20999999999998</v>
      </c>
      <c r="O154" s="59">
        <v>5495</v>
      </c>
      <c r="P154" s="5">
        <v>1.6500000000000001E-2</v>
      </c>
      <c r="Q154" s="5">
        <v>0.15459999999999999</v>
      </c>
      <c r="R154" s="80">
        <f t="shared" si="43"/>
        <v>1.6135976149882374E-2</v>
      </c>
      <c r="S154" s="80">
        <f t="shared" si="44"/>
        <v>1.669632745510425E-2</v>
      </c>
      <c r="T154" s="80">
        <f t="shared" si="45"/>
        <v>0</v>
      </c>
      <c r="U154" s="80">
        <f t="shared" si="46"/>
        <v>1.7000000000000001E-3</v>
      </c>
      <c r="V154" s="82">
        <f t="shared" si="47"/>
        <v>1.84E-2</v>
      </c>
    </row>
    <row r="155" spans="1:24">
      <c r="A155" s="74">
        <v>132</v>
      </c>
      <c r="B155" s="134" t="s">
        <v>167</v>
      </c>
      <c r="C155" s="135" t="s">
        <v>72</v>
      </c>
      <c r="D155" s="4">
        <v>2693320291.0900002</v>
      </c>
      <c r="E155" s="3">
        <f t="shared" si="41"/>
        <v>5.4277200820368902E-2</v>
      </c>
      <c r="F155" s="4">
        <v>1.8861000000000001</v>
      </c>
      <c r="G155" s="4">
        <v>1.9169</v>
      </c>
      <c r="H155" s="59">
        <v>10310</v>
      </c>
      <c r="I155" s="5">
        <v>9.4999999999999998E-3</v>
      </c>
      <c r="J155" s="5">
        <v>8.0799999999999997E-2</v>
      </c>
      <c r="K155" s="4">
        <v>2752179112.1199999</v>
      </c>
      <c r="L155" s="16">
        <f t="shared" si="42"/>
        <v>5.5016348804259645E-2</v>
      </c>
      <c r="M155" s="4">
        <v>1.9273</v>
      </c>
      <c r="N155" s="4">
        <v>1.9592000000000001</v>
      </c>
      <c r="O155" s="59">
        <v>10310</v>
      </c>
      <c r="P155" s="5">
        <v>1.8800000000000001E-2</v>
      </c>
      <c r="Q155" s="5">
        <v>0.1046</v>
      </c>
      <c r="R155" s="80">
        <f t="shared" si="43"/>
        <v>2.1853628484037178E-2</v>
      </c>
      <c r="S155" s="80">
        <f t="shared" si="44"/>
        <v>2.2066878814752989E-2</v>
      </c>
      <c r="T155" s="80">
        <f t="shared" si="45"/>
        <v>0</v>
      </c>
      <c r="U155" s="80">
        <f t="shared" si="46"/>
        <v>9.300000000000001E-3</v>
      </c>
      <c r="V155" s="82">
        <f t="shared" si="47"/>
        <v>2.3800000000000002E-2</v>
      </c>
    </row>
    <row r="156" spans="1:24">
      <c r="A156" s="74">
        <v>133</v>
      </c>
      <c r="B156" s="134" t="s">
        <v>168</v>
      </c>
      <c r="C156" s="135" t="s">
        <v>74</v>
      </c>
      <c r="D156" s="4">
        <v>189194602.56978652</v>
      </c>
      <c r="E156" s="3">
        <f t="shared" si="41"/>
        <v>3.8127486997301344E-3</v>
      </c>
      <c r="F156" s="4">
        <v>246.17</v>
      </c>
      <c r="G156" s="4">
        <v>253.25971924824063</v>
      </c>
      <c r="H156" s="59">
        <v>183</v>
      </c>
      <c r="I156" s="5">
        <v>2.9915889859475353E-2</v>
      </c>
      <c r="J156" s="5">
        <v>7.9813995438817731E-3</v>
      </c>
      <c r="K156" s="4">
        <v>187248089.8509551</v>
      </c>
      <c r="L156" s="16">
        <f t="shared" si="42"/>
        <v>3.7431089345911447E-3</v>
      </c>
      <c r="M156" s="4">
        <v>243.6365261562712</v>
      </c>
      <c r="N156" s="4">
        <v>250.84806059824194</v>
      </c>
      <c r="O156" s="59">
        <v>183</v>
      </c>
      <c r="P156" s="5">
        <v>-1.0291562106384933E-2</v>
      </c>
      <c r="Q156" s="5">
        <v>-2.3891321092818218E-3</v>
      </c>
      <c r="R156" s="80">
        <f t="shared" si="43"/>
        <v>-1.0288415696813694E-2</v>
      </c>
      <c r="S156" s="80">
        <f t="shared" si="44"/>
        <v>-9.5224722555852653E-3</v>
      </c>
      <c r="T156" s="80">
        <f t="shared" si="45"/>
        <v>0</v>
      </c>
      <c r="U156" s="80">
        <f t="shared" si="46"/>
        <v>-4.0207451965860286E-2</v>
      </c>
      <c r="V156" s="82">
        <f t="shared" si="47"/>
        <v>-1.0370531653163595E-2</v>
      </c>
    </row>
    <row r="157" spans="1:24">
      <c r="A157" s="74">
        <v>134</v>
      </c>
      <c r="B157" s="134" t="s">
        <v>282</v>
      </c>
      <c r="C157" s="134" t="s">
        <v>257</v>
      </c>
      <c r="D157" s="4">
        <v>0</v>
      </c>
      <c r="E157" s="3">
        <f t="shared" si="41"/>
        <v>0</v>
      </c>
      <c r="F157" s="4">
        <v>0</v>
      </c>
      <c r="G157" s="4">
        <v>0</v>
      </c>
      <c r="H157" s="59">
        <v>0</v>
      </c>
      <c r="I157" s="5">
        <v>0</v>
      </c>
      <c r="J157" s="5">
        <v>0</v>
      </c>
      <c r="K157" s="4">
        <v>50348705.200000003</v>
      </c>
      <c r="L157" s="16"/>
      <c r="M157" s="4">
        <v>1.0029999999999999</v>
      </c>
      <c r="N157" s="4">
        <v>1.0029999999999999</v>
      </c>
      <c r="O157" s="59">
        <v>5</v>
      </c>
      <c r="P157" s="5">
        <v>1E-3</v>
      </c>
      <c r="Q157" s="5">
        <v>7.0000000000000001E-3</v>
      </c>
      <c r="R157" s="80" t="e">
        <f t="shared" ref="R157" si="48">((K157-D157)/D157)</f>
        <v>#DIV/0!</v>
      </c>
      <c r="S157" s="80" t="e">
        <f t="shared" ref="S157" si="49">((N157-G157)/G157)</f>
        <v>#DIV/0!</v>
      </c>
      <c r="T157" s="80" t="e">
        <f t="shared" ref="T157" si="50">((O157-H157)/H157)</f>
        <v>#DIV/0!</v>
      </c>
      <c r="U157" s="80">
        <f t="shared" ref="U157" si="51">P157-I157</f>
        <v>1E-3</v>
      </c>
      <c r="V157" s="82">
        <f t="shared" ref="V157" si="52">Q157-J157</f>
        <v>7.0000000000000001E-3</v>
      </c>
    </row>
    <row r="158" spans="1:24" ht="13.5" customHeight="1">
      <c r="A158" s="74">
        <v>135</v>
      </c>
      <c r="B158" s="134" t="s">
        <v>240</v>
      </c>
      <c r="C158" s="135" t="s">
        <v>32</v>
      </c>
      <c r="D158" s="2">
        <v>2704330425.5700002</v>
      </c>
      <c r="E158" s="3">
        <f t="shared" si="41"/>
        <v>5.4499082815691623E-2</v>
      </c>
      <c r="F158" s="4">
        <v>3.8039589999999999</v>
      </c>
      <c r="G158" s="4">
        <v>3.9339080000000002</v>
      </c>
      <c r="H158" s="59">
        <v>2330</v>
      </c>
      <c r="I158" s="5">
        <v>2.3800000000000002E-2</v>
      </c>
      <c r="J158" s="5">
        <v>4.58E-2</v>
      </c>
      <c r="K158" s="2">
        <v>2706129973.3600001</v>
      </c>
      <c r="L158" s="16">
        <f t="shared" si="42"/>
        <v>5.4095821695758925E-2</v>
      </c>
      <c r="M158" s="4">
        <v>3.8070750000000002</v>
      </c>
      <c r="N158" s="4">
        <v>3.9390999999999998</v>
      </c>
      <c r="O158" s="59">
        <v>2332</v>
      </c>
      <c r="P158" s="5">
        <v>8.1914657860404638E-4</v>
      </c>
      <c r="Q158" s="5">
        <v>4.6676105902730081E-2</v>
      </c>
      <c r="R158" s="80">
        <f t="shared" si="43"/>
        <v>6.6543192096086613E-4</v>
      </c>
      <c r="S158" s="80">
        <f t="shared" si="44"/>
        <v>1.3198071739348356E-3</v>
      </c>
      <c r="T158" s="80">
        <f t="shared" si="45"/>
        <v>8.5836909871244631E-4</v>
      </c>
      <c r="U158" s="80">
        <f t="shared" si="46"/>
        <v>-2.2980853421395955E-2</v>
      </c>
      <c r="V158" s="82">
        <f>Q158-J158</f>
        <v>8.7610590273008021E-4</v>
      </c>
    </row>
    <row r="159" spans="1:24">
      <c r="A159" s="74">
        <v>136</v>
      </c>
      <c r="B159" s="134" t="s">
        <v>169</v>
      </c>
      <c r="C159" s="135" t="s">
        <v>114</v>
      </c>
      <c r="D159" s="2">
        <v>223953068.50999999</v>
      </c>
      <c r="E159" s="3">
        <f t="shared" si="41"/>
        <v>4.5132195060750436E-3</v>
      </c>
      <c r="F159" s="4">
        <v>190.099964</v>
      </c>
      <c r="G159" s="4">
        <v>193.720944</v>
      </c>
      <c r="H159" s="59">
        <v>139</v>
      </c>
      <c r="I159" s="5">
        <v>6.7999999999999996E-3</v>
      </c>
      <c r="J159" s="5">
        <v>2.6800000000000001E-2</v>
      </c>
      <c r="K159" s="2">
        <v>225920687.11000001</v>
      </c>
      <c r="L159" s="16">
        <f t="shared" si="42"/>
        <v>4.5161782056282913E-3</v>
      </c>
      <c r="M159" s="4">
        <v>191.77015399999999</v>
      </c>
      <c r="N159" s="4">
        <v>195.467735</v>
      </c>
      <c r="O159" s="59">
        <v>139</v>
      </c>
      <c r="P159" s="5">
        <v>7.1000000000000004E-3</v>
      </c>
      <c r="Q159" s="5">
        <v>2.69E-2</v>
      </c>
      <c r="R159" s="80">
        <f t="shared" si="43"/>
        <v>8.7858523801033137E-3</v>
      </c>
      <c r="S159" s="80">
        <f t="shared" si="44"/>
        <v>9.0170477385243478E-3</v>
      </c>
      <c r="T159" s="80">
        <f t="shared" si="45"/>
        <v>0</v>
      </c>
      <c r="U159" s="80">
        <f t="shared" si="46"/>
        <v>3.0000000000000079E-4</v>
      </c>
      <c r="V159" s="82">
        <f t="shared" si="47"/>
        <v>9.9999999999999395E-5</v>
      </c>
    </row>
    <row r="160" spans="1:24">
      <c r="A160" s="74">
        <v>137</v>
      </c>
      <c r="B160" s="134" t="s">
        <v>170</v>
      </c>
      <c r="C160" s="135" t="s">
        <v>29</v>
      </c>
      <c r="D160" s="2">
        <v>1702958666.45</v>
      </c>
      <c r="E160" s="3">
        <f t="shared" si="41"/>
        <v>3.4318914773514238E-2</v>
      </c>
      <c r="F160" s="4">
        <v>552.22</v>
      </c>
      <c r="G160" s="4">
        <v>552.22</v>
      </c>
      <c r="H160" s="59">
        <v>823</v>
      </c>
      <c r="I160" s="5">
        <v>2.5430000000000001E-2</v>
      </c>
      <c r="J160" s="5">
        <v>8.9340000000000003E-2</v>
      </c>
      <c r="K160" s="2">
        <v>1708376444.6800001</v>
      </c>
      <c r="L160" s="16">
        <f t="shared" si="42"/>
        <v>3.4150624120207258E-2</v>
      </c>
      <c r="M160" s="4">
        <v>552.22</v>
      </c>
      <c r="N160" s="4">
        <v>552.22</v>
      </c>
      <c r="O160" s="59">
        <v>823</v>
      </c>
      <c r="P160" s="5">
        <v>3.1809999999999998E-3</v>
      </c>
      <c r="Q160" s="5">
        <v>9.2799999999999994E-2</v>
      </c>
      <c r="R160" s="80">
        <f t="shared" si="43"/>
        <v>3.1813915021754219E-3</v>
      </c>
      <c r="S160" s="80">
        <f t="shared" si="44"/>
        <v>0</v>
      </c>
      <c r="T160" s="80">
        <f t="shared" si="45"/>
        <v>0</v>
      </c>
      <c r="U160" s="80">
        <f t="shared" si="46"/>
        <v>-2.2249000000000001E-2</v>
      </c>
      <c r="V160" s="82">
        <f t="shared" si="47"/>
        <v>3.4599999999999909E-3</v>
      </c>
    </row>
    <row r="161" spans="1:22">
      <c r="A161" s="74">
        <v>138</v>
      </c>
      <c r="B161" s="134" t="s">
        <v>171</v>
      </c>
      <c r="C161" s="135" t="s">
        <v>80</v>
      </c>
      <c r="D161" s="4">
        <v>26619319.98</v>
      </c>
      <c r="E161" s="3">
        <f t="shared" si="41"/>
        <v>5.364464750203889E-4</v>
      </c>
      <c r="F161" s="4">
        <v>1.68</v>
      </c>
      <c r="G161" s="4">
        <v>1.68</v>
      </c>
      <c r="H161" s="59">
        <v>8</v>
      </c>
      <c r="I161" s="5">
        <v>2.4893999999999999E-2</v>
      </c>
      <c r="J161" s="120">
        <v>3.3446999999999998E-2</v>
      </c>
      <c r="K161" s="4">
        <v>26752788.91</v>
      </c>
      <c r="L161" s="16">
        <f t="shared" si="42"/>
        <v>5.3479105327034187E-4</v>
      </c>
      <c r="M161" s="4">
        <v>1.69</v>
      </c>
      <c r="N161" s="4">
        <v>1.69</v>
      </c>
      <c r="O161" s="59">
        <v>8</v>
      </c>
      <c r="P161" s="5">
        <v>5.0140000000000002E-3</v>
      </c>
      <c r="Q161" s="120">
        <v>3.8628999999999997E-2</v>
      </c>
      <c r="R161" s="80">
        <f t="shared" si="43"/>
        <v>5.0139872130572621E-3</v>
      </c>
      <c r="S161" s="80">
        <f t="shared" si="44"/>
        <v>5.9523809523809581E-3</v>
      </c>
      <c r="T161" s="80">
        <f t="shared" si="45"/>
        <v>0</v>
      </c>
      <c r="U161" s="80">
        <f t="shared" si="46"/>
        <v>-1.9879999999999998E-2</v>
      </c>
      <c r="V161" s="82">
        <f t="shared" si="47"/>
        <v>5.1819999999999991E-3</v>
      </c>
    </row>
    <row r="162" spans="1:22">
      <c r="A162" s="74">
        <v>139</v>
      </c>
      <c r="B162" s="134" t="s">
        <v>172</v>
      </c>
      <c r="C162" s="135" t="s">
        <v>38</v>
      </c>
      <c r="D162" s="4">
        <v>266978128.75</v>
      </c>
      <c r="E162" s="3">
        <f t="shared" si="41"/>
        <v>5.3802830494198463E-3</v>
      </c>
      <c r="F162" s="4">
        <v>2.72</v>
      </c>
      <c r="G162" s="4">
        <v>2.76</v>
      </c>
      <c r="H162" s="59">
        <v>118</v>
      </c>
      <c r="I162" s="5">
        <v>1.5900000000000001E-2</v>
      </c>
      <c r="J162" s="5">
        <v>0.16769999999999999</v>
      </c>
      <c r="K162" s="4">
        <v>269324215.75</v>
      </c>
      <c r="L162" s="16">
        <f t="shared" si="42"/>
        <v>5.3838192906427457E-3</v>
      </c>
      <c r="M162" s="4">
        <v>2.740405</v>
      </c>
      <c r="N162" s="4">
        <v>2.7839939999999999</v>
      </c>
      <c r="O162" s="59">
        <v>118</v>
      </c>
      <c r="P162" s="5">
        <v>1.03E-2</v>
      </c>
      <c r="Q162" s="5">
        <v>0.1784</v>
      </c>
      <c r="R162" s="80">
        <f t="shared" si="43"/>
        <v>8.7875625280035233E-3</v>
      </c>
      <c r="S162" s="80">
        <f t="shared" si="44"/>
        <v>8.6934782608695908E-3</v>
      </c>
      <c r="T162" s="80">
        <f t="shared" si="45"/>
        <v>0</v>
      </c>
      <c r="U162" s="80">
        <f t="shared" si="46"/>
        <v>-5.6000000000000008E-3</v>
      </c>
      <c r="V162" s="82">
        <f t="shared" si="47"/>
        <v>1.0700000000000015E-2</v>
      </c>
    </row>
    <row r="163" spans="1:22">
      <c r="A163" s="74">
        <v>140</v>
      </c>
      <c r="B163" s="134" t="s">
        <v>173</v>
      </c>
      <c r="C163" s="135" t="s">
        <v>42</v>
      </c>
      <c r="D163" s="2">
        <v>2700679215.75</v>
      </c>
      <c r="E163" s="3">
        <f t="shared" si="41"/>
        <v>5.4425501723501045E-2</v>
      </c>
      <c r="F163" s="4">
        <v>5551.7</v>
      </c>
      <c r="G163" s="4">
        <v>5609.28</v>
      </c>
      <c r="H163" s="59">
        <v>2231</v>
      </c>
      <c r="I163" s="5">
        <v>2.6499999999999999E-2</v>
      </c>
      <c r="J163" s="5">
        <v>0.1171</v>
      </c>
      <c r="K163" s="2">
        <v>2708946043.8000002</v>
      </c>
      <c r="L163" s="3">
        <f t="shared" si="42"/>
        <v>5.4152115238901566E-2</v>
      </c>
      <c r="M163" s="4">
        <v>5598.41</v>
      </c>
      <c r="N163" s="4">
        <v>5656.84</v>
      </c>
      <c r="O163" s="59">
        <v>2232</v>
      </c>
      <c r="P163" s="5">
        <v>8.5000000000000006E-3</v>
      </c>
      <c r="Q163" s="5">
        <v>0.12659999999999999</v>
      </c>
      <c r="R163" s="80">
        <f t="shared" si="43"/>
        <v>3.0610181326938628E-3</v>
      </c>
      <c r="S163" s="80">
        <f t="shared" si="44"/>
        <v>8.4788065491472001E-3</v>
      </c>
      <c r="T163" s="80">
        <f t="shared" si="45"/>
        <v>4.4822949350067237E-4</v>
      </c>
      <c r="U163" s="80">
        <f t="shared" si="46"/>
        <v>-1.7999999999999999E-2</v>
      </c>
      <c r="V163" s="82">
        <f t="shared" si="47"/>
        <v>9.4999999999999946E-3</v>
      </c>
    </row>
    <row r="164" spans="1:22">
      <c r="A164" s="74">
        <v>141</v>
      </c>
      <c r="B164" s="134" t="s">
        <v>275</v>
      </c>
      <c r="C164" s="134" t="s">
        <v>273</v>
      </c>
      <c r="D164" s="2">
        <v>78077534.780000001</v>
      </c>
      <c r="E164" s="3">
        <f t="shared" si="41"/>
        <v>1.5734593649455357E-3</v>
      </c>
      <c r="F164" s="4">
        <v>1031</v>
      </c>
      <c r="G164" s="4">
        <v>1045</v>
      </c>
      <c r="H164" s="59">
        <v>2</v>
      </c>
      <c r="I164" s="5">
        <v>5.709388452513009E-3</v>
      </c>
      <c r="J164" s="5">
        <v>4.7100000000000003E-2</v>
      </c>
      <c r="K164" s="2">
        <v>78321327.159999996</v>
      </c>
      <c r="L164" s="3">
        <f t="shared" si="42"/>
        <v>1.5656515358580397E-3</v>
      </c>
      <c r="M164" s="4">
        <v>1033.7</v>
      </c>
      <c r="N164" s="4">
        <v>1047.8</v>
      </c>
      <c r="O164" s="59">
        <v>3</v>
      </c>
      <c r="P164" s="5">
        <v>2.7116705681822229E-3</v>
      </c>
      <c r="Q164" s="5">
        <v>4.9599999999999998E-2</v>
      </c>
      <c r="R164" s="80">
        <f>((K164-D164)/D164)</f>
        <v>3.1224395171662619E-3</v>
      </c>
      <c r="S164" s="80">
        <f>((N164-G164)/G164)</f>
        <v>2.6794258373205307E-3</v>
      </c>
      <c r="T164" s="80">
        <f t="shared" si="45"/>
        <v>0.5</v>
      </c>
      <c r="U164" s="80">
        <f>P164-I164</f>
        <v>-2.9977178843307861E-3</v>
      </c>
      <c r="V164" s="82">
        <f>Q164-J164</f>
        <v>2.4999999999999953E-3</v>
      </c>
    </row>
    <row r="165" spans="1:22">
      <c r="A165" s="74">
        <v>142</v>
      </c>
      <c r="B165" s="134" t="s">
        <v>256</v>
      </c>
      <c r="C165" s="134" t="s">
        <v>257</v>
      </c>
      <c r="D165" s="2">
        <v>649587562.25</v>
      </c>
      <c r="E165" s="3">
        <f t="shared" si="41"/>
        <v>1.3090828700654882E-2</v>
      </c>
      <c r="F165" s="4">
        <v>1.2450000000000001</v>
      </c>
      <c r="G165" s="4">
        <v>1.2450000000000001</v>
      </c>
      <c r="H165" s="59">
        <v>38</v>
      </c>
      <c r="I165" s="5">
        <v>3.2000000000000002E-3</v>
      </c>
      <c r="J165" s="5">
        <v>0.1013</v>
      </c>
      <c r="K165" s="2">
        <v>651510841.35000002</v>
      </c>
      <c r="L165" s="3">
        <f t="shared" si="42"/>
        <v>1.3023769979075917E-2</v>
      </c>
      <c r="M165" s="4">
        <v>1.248</v>
      </c>
      <c r="N165" s="4">
        <v>1.248</v>
      </c>
      <c r="O165" s="59">
        <v>38</v>
      </c>
      <c r="P165" s="5">
        <v>2.3999999999999998E-3</v>
      </c>
      <c r="Q165" s="5">
        <v>0.1045</v>
      </c>
      <c r="R165" s="80">
        <f>((K165-D165)/D165)</f>
        <v>2.960769589458105E-3</v>
      </c>
      <c r="S165" s="80">
        <f>((N165-G165)/G165)</f>
        <v>2.4096385542167801E-3</v>
      </c>
      <c r="T165" s="80">
        <f>((O165-H165)/H165)</f>
        <v>0</v>
      </c>
      <c r="U165" s="80">
        <f>P165-I165</f>
        <v>-8.0000000000000036E-4</v>
      </c>
      <c r="V165" s="82">
        <f>Q165-J165</f>
        <v>3.1999999999999945E-3</v>
      </c>
    </row>
    <row r="166" spans="1:22">
      <c r="A166" s="74">
        <v>143</v>
      </c>
      <c r="B166" s="134" t="s">
        <v>174</v>
      </c>
      <c r="C166" s="135" t="s">
        <v>45</v>
      </c>
      <c r="D166" s="4">
        <v>1716676354.1199999</v>
      </c>
      <c r="E166" s="3">
        <f t="shared" si="41"/>
        <v>3.4595360798488989E-2</v>
      </c>
      <c r="F166" s="4">
        <v>1.9412</v>
      </c>
      <c r="G166" s="4">
        <v>1.952</v>
      </c>
      <c r="H166" s="59">
        <v>2091</v>
      </c>
      <c r="I166" s="5">
        <v>1.34E-2</v>
      </c>
      <c r="J166" s="5">
        <v>4.9500000000000002E-2</v>
      </c>
      <c r="K166" s="4">
        <v>1737147763.3900001</v>
      </c>
      <c r="L166" s="16">
        <f t="shared" si="42"/>
        <v>3.4725765795666233E-2</v>
      </c>
      <c r="M166" s="4">
        <v>1.9648000000000001</v>
      </c>
      <c r="N166" s="4">
        <v>1.9757</v>
      </c>
      <c r="O166" s="59">
        <v>2105</v>
      </c>
      <c r="P166" s="5">
        <v>1.2200000000000001E-2</v>
      </c>
      <c r="Q166" s="5">
        <v>6.2199999999999998E-2</v>
      </c>
      <c r="R166" s="80">
        <f t="shared" si="43"/>
        <v>1.1925025483614961E-2</v>
      </c>
      <c r="S166" s="80">
        <f t="shared" si="44"/>
        <v>1.2141393442622979E-2</v>
      </c>
      <c r="T166" s="80">
        <f t="shared" si="45"/>
        <v>6.6953610712577718E-3</v>
      </c>
      <c r="U166" s="80">
        <f t="shared" si="46"/>
        <v>-1.1999999999999997E-3</v>
      </c>
      <c r="V166" s="82">
        <f t="shared" si="47"/>
        <v>1.2699999999999996E-2</v>
      </c>
    </row>
    <row r="167" spans="1:22">
      <c r="A167" s="74">
        <v>144</v>
      </c>
      <c r="B167" s="134" t="s">
        <v>175</v>
      </c>
      <c r="C167" s="135" t="s">
        <v>45</v>
      </c>
      <c r="D167" s="4">
        <v>1047871903.29</v>
      </c>
      <c r="E167" s="3">
        <f t="shared" si="41"/>
        <v>2.1117263296551961E-2</v>
      </c>
      <c r="F167" s="4">
        <v>1.6285000000000001</v>
      </c>
      <c r="G167" s="4">
        <v>1.6378999999999999</v>
      </c>
      <c r="H167" s="59">
        <v>669</v>
      </c>
      <c r="I167" s="5">
        <v>9.5999999999999992E-3</v>
      </c>
      <c r="J167" s="5">
        <v>0.14430000000000001</v>
      </c>
      <c r="K167" s="4">
        <v>1051499038.9400001</v>
      </c>
      <c r="L167" s="16">
        <f t="shared" si="42"/>
        <v>2.10195759567063E-2</v>
      </c>
      <c r="M167" s="4">
        <v>1.6358999999999999</v>
      </c>
      <c r="N167" s="4">
        <v>1.6454</v>
      </c>
      <c r="O167" s="59">
        <v>691</v>
      </c>
      <c r="P167" s="5">
        <v>4.4999999999999997E-3</v>
      </c>
      <c r="Q167" s="5">
        <v>0.14949999999999999</v>
      </c>
      <c r="R167" s="80">
        <f t="shared" si="43"/>
        <v>3.4614303891649253E-3</v>
      </c>
      <c r="S167" s="80">
        <f t="shared" si="44"/>
        <v>4.579034129067747E-3</v>
      </c>
      <c r="T167" s="80">
        <f t="shared" si="45"/>
        <v>3.2884902840059793E-2</v>
      </c>
      <c r="U167" s="80">
        <f t="shared" si="46"/>
        <v>-5.0999999999999995E-3</v>
      </c>
      <c r="V167" s="82">
        <f t="shared" si="47"/>
        <v>5.1999999999999824E-3</v>
      </c>
    </row>
    <row r="168" spans="1:22">
      <c r="A168" s="74">
        <v>145</v>
      </c>
      <c r="B168" s="134" t="s">
        <v>176</v>
      </c>
      <c r="C168" s="135" t="s">
        <v>87</v>
      </c>
      <c r="D168" s="2">
        <v>8509975736.1999998</v>
      </c>
      <c r="E168" s="3">
        <f t="shared" si="41"/>
        <v>0.17149748714931404</v>
      </c>
      <c r="F168" s="4">
        <v>460.99</v>
      </c>
      <c r="G168" s="4">
        <v>465.83</v>
      </c>
      <c r="H168" s="59">
        <v>32</v>
      </c>
      <c r="I168" s="5">
        <v>3.1899999999999998E-2</v>
      </c>
      <c r="J168" s="5">
        <v>0.32</v>
      </c>
      <c r="K168" s="2">
        <v>8558651433.4499998</v>
      </c>
      <c r="L168" s="16">
        <f t="shared" si="42"/>
        <v>0.17108833886688962</v>
      </c>
      <c r="M168" s="4">
        <v>465.11</v>
      </c>
      <c r="N168" s="4">
        <v>469.99</v>
      </c>
      <c r="O168" s="59">
        <v>32</v>
      </c>
      <c r="P168" s="5">
        <v>8.9499999999999996E-3</v>
      </c>
      <c r="Q168" s="5">
        <v>0.33179999999999998</v>
      </c>
      <c r="R168" s="80">
        <f t="shared" si="43"/>
        <v>5.7198397220971859E-3</v>
      </c>
      <c r="S168" s="80">
        <f t="shared" si="44"/>
        <v>8.9302964600820583E-3</v>
      </c>
      <c r="T168" s="80">
        <f t="shared" si="45"/>
        <v>0</v>
      </c>
      <c r="U168" s="80">
        <f t="shared" si="46"/>
        <v>-2.2949999999999998E-2</v>
      </c>
      <c r="V168" s="82">
        <f t="shared" si="47"/>
        <v>1.1799999999999977E-2</v>
      </c>
    </row>
    <row r="169" spans="1:22">
      <c r="A169" s="74">
        <v>146</v>
      </c>
      <c r="B169" s="134" t="s">
        <v>177</v>
      </c>
      <c r="C169" s="135" t="s">
        <v>40</v>
      </c>
      <c r="D169" s="2">
        <v>438980743.69999999</v>
      </c>
      <c r="E169" s="3">
        <f t="shared" si="41"/>
        <v>8.8465698123252265E-3</v>
      </c>
      <c r="F169" s="4">
        <v>228.3</v>
      </c>
      <c r="G169" s="4">
        <v>231.32</v>
      </c>
      <c r="H169" s="59">
        <v>690</v>
      </c>
      <c r="I169" s="5">
        <v>1.5299999999999999E-2</v>
      </c>
      <c r="J169" s="5">
        <v>0.18360000000000001</v>
      </c>
      <c r="K169" s="2">
        <v>441965348.95999998</v>
      </c>
      <c r="L169" s="16">
        <f t="shared" si="42"/>
        <v>8.8349336315722681E-3</v>
      </c>
      <c r="M169" s="4">
        <v>229.85</v>
      </c>
      <c r="N169" s="4">
        <v>232.9</v>
      </c>
      <c r="O169" s="59">
        <v>690</v>
      </c>
      <c r="P169" s="5">
        <v>7.4000000000000003E-3</v>
      </c>
      <c r="Q169" s="5">
        <v>0.19170000000000001</v>
      </c>
      <c r="R169" s="80">
        <f t="shared" si="43"/>
        <v>6.798943468098167E-3</v>
      </c>
      <c r="S169" s="80">
        <f t="shared" si="44"/>
        <v>6.8303648625281542E-3</v>
      </c>
      <c r="T169" s="80">
        <f t="shared" si="45"/>
        <v>0</v>
      </c>
      <c r="U169" s="80">
        <f t="shared" si="46"/>
        <v>-7.899999999999999E-3</v>
      </c>
      <c r="V169" s="82">
        <f t="shared" si="47"/>
        <v>8.0999999999999961E-3</v>
      </c>
    </row>
    <row r="170" spans="1:22">
      <c r="A170" s="83"/>
      <c r="B170" s="19"/>
      <c r="C170" s="70" t="s">
        <v>46</v>
      </c>
      <c r="D170" s="71">
        <f>SUM(D142:D169)</f>
        <v>49621576838.56208</v>
      </c>
      <c r="E170" s="99">
        <f>(D170/$D$196)</f>
        <v>1.6946045966529599E-2</v>
      </c>
      <c r="F170" s="30"/>
      <c r="G170" s="36"/>
      <c r="H170" s="64">
        <f>SUM(H142:H169)</f>
        <v>69530</v>
      </c>
      <c r="I170" s="37"/>
      <c r="J170" s="37"/>
      <c r="K170" s="71">
        <f>SUM(K142:K169)</f>
        <v>50024750313.981438</v>
      </c>
      <c r="L170" s="99">
        <f>(K170/$K$196)</f>
        <v>1.7039313440412488E-2</v>
      </c>
      <c r="M170" s="30"/>
      <c r="N170" s="36"/>
      <c r="O170" s="64">
        <f>SUM(O142:O169)</f>
        <v>69578</v>
      </c>
      <c r="P170" s="37"/>
      <c r="Q170" s="37"/>
      <c r="R170" s="80">
        <f t="shared" si="43"/>
        <v>8.1249629920273278E-3</v>
      </c>
      <c r="S170" s="80" t="e">
        <f t="shared" si="44"/>
        <v>#DIV/0!</v>
      </c>
      <c r="T170" s="80">
        <f t="shared" si="45"/>
        <v>6.9034948942902339E-4</v>
      </c>
      <c r="U170" s="80">
        <f t="shared" si="46"/>
        <v>0</v>
      </c>
      <c r="V170" s="82">
        <f t="shared" si="47"/>
        <v>0</v>
      </c>
    </row>
    <row r="171" spans="1:22" ht="8.2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</row>
    <row r="172" spans="1:22" ht="15" customHeight="1">
      <c r="A172" s="165" t="s">
        <v>178</v>
      </c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</row>
    <row r="173" spans="1:22">
      <c r="A173" s="74">
        <v>147</v>
      </c>
      <c r="B173" s="134" t="s">
        <v>179</v>
      </c>
      <c r="C173" s="135" t="s">
        <v>21</v>
      </c>
      <c r="D173" s="17">
        <v>935959600.00999999</v>
      </c>
      <c r="E173" s="3">
        <f>(D173/$D$176)</f>
        <v>0.18212227492849695</v>
      </c>
      <c r="F173" s="17">
        <v>64.841800000000006</v>
      </c>
      <c r="G173" s="17">
        <v>66.796800000000005</v>
      </c>
      <c r="H173" s="61">
        <v>1550</v>
      </c>
      <c r="I173" s="6">
        <v>0.1071</v>
      </c>
      <c r="J173" s="6">
        <v>0.41699999999999998</v>
      </c>
      <c r="K173" s="17">
        <v>935323072.71000004</v>
      </c>
      <c r="L173" s="16">
        <f>(K173/$K$176)</f>
        <v>0.18098754112106508</v>
      </c>
      <c r="M173" s="17">
        <v>65.039100000000005</v>
      </c>
      <c r="N173" s="17">
        <v>67</v>
      </c>
      <c r="O173" s="61">
        <v>1553</v>
      </c>
      <c r="P173" s="6">
        <v>0.15909999999999999</v>
      </c>
      <c r="Q173" s="6">
        <v>0.4078</v>
      </c>
      <c r="R173" s="80">
        <f>((K173-D173)/D173)</f>
        <v>-6.8007988805622761E-4</v>
      </c>
      <c r="S173" s="80">
        <f t="shared" ref="S173:T176" si="53">((N173-G173)/G173)</f>
        <v>3.0420618951805382E-3</v>
      </c>
      <c r="T173" s="80">
        <f t="shared" si="53"/>
        <v>1.9354838709677419E-3</v>
      </c>
      <c r="U173" s="80">
        <f t="shared" ref="U173:V176" si="54">P173-I173</f>
        <v>5.1999999999999991E-2</v>
      </c>
      <c r="V173" s="82">
        <f t="shared" si="54"/>
        <v>-9.199999999999986E-3</v>
      </c>
    </row>
    <row r="174" spans="1:22">
      <c r="A174" s="74">
        <v>148</v>
      </c>
      <c r="B174" s="134" t="s">
        <v>180</v>
      </c>
      <c r="C174" s="135" t="s">
        <v>181</v>
      </c>
      <c r="D174" s="97">
        <v>853394441.80999994</v>
      </c>
      <c r="E174" s="3">
        <f>(D174/$D$176)</f>
        <v>0.16605645922335904</v>
      </c>
      <c r="F174" s="17">
        <v>23.4575</v>
      </c>
      <c r="G174" s="17">
        <v>23.665400000000002</v>
      </c>
      <c r="H174" s="59">
        <v>1494</v>
      </c>
      <c r="I174" s="5">
        <v>5.8200000000000002E-2</v>
      </c>
      <c r="J174" s="5">
        <v>4.1099999999999998E-2</v>
      </c>
      <c r="K174" s="97">
        <v>859943781.01999998</v>
      </c>
      <c r="L174" s="16">
        <f>(K174/$K$176)</f>
        <v>0.16640144455991393</v>
      </c>
      <c r="M174" s="17">
        <v>24.3504</v>
      </c>
      <c r="N174" s="17">
        <v>24.570499999999999</v>
      </c>
      <c r="O174" s="59">
        <v>1494</v>
      </c>
      <c r="P174" s="5">
        <v>5.8200000000000002E-2</v>
      </c>
      <c r="Q174" s="5">
        <v>1.2200000000000001E-2</v>
      </c>
      <c r="R174" s="80">
        <f>((K174-D174)/D174)</f>
        <v>7.6744573073493083E-3</v>
      </c>
      <c r="S174" s="80">
        <f t="shared" si="53"/>
        <v>3.8245708925266311E-2</v>
      </c>
      <c r="T174" s="80">
        <f t="shared" si="53"/>
        <v>0</v>
      </c>
      <c r="U174" s="80">
        <f t="shared" si="54"/>
        <v>0</v>
      </c>
      <c r="V174" s="82">
        <f t="shared" si="54"/>
        <v>-2.8899999999999995E-2</v>
      </c>
    </row>
    <row r="175" spans="1:22">
      <c r="A175" s="74">
        <v>149</v>
      </c>
      <c r="B175" s="134" t="s">
        <v>182</v>
      </c>
      <c r="C175" s="135" t="s">
        <v>42</v>
      </c>
      <c r="D175" s="9">
        <v>3349828413.3600001</v>
      </c>
      <c r="E175" s="3">
        <f>(D175/$D$176)</f>
        <v>0.65182126584814393</v>
      </c>
      <c r="F175" s="17">
        <v>2.41</v>
      </c>
      <c r="G175" s="17">
        <v>2.41</v>
      </c>
      <c r="H175" s="59">
        <v>10090</v>
      </c>
      <c r="I175" s="5">
        <v>3.8300000000000001E-2</v>
      </c>
      <c r="J175" s="5">
        <v>0.1731</v>
      </c>
      <c r="K175" s="9">
        <v>3372619658.8800001</v>
      </c>
      <c r="L175" s="16">
        <f>(K175/$K$176)</f>
        <v>0.65261101431902091</v>
      </c>
      <c r="M175" s="17">
        <v>2.4300000000000002</v>
      </c>
      <c r="N175" s="17">
        <v>2.46</v>
      </c>
      <c r="O175" s="59">
        <v>10091</v>
      </c>
      <c r="P175" s="5">
        <v>8.2000000000000007E-3</v>
      </c>
      <c r="Q175" s="5">
        <v>0.1827</v>
      </c>
      <c r="R175" s="80">
        <f>((K175-D175)/D175)</f>
        <v>6.8037053566990108E-3</v>
      </c>
      <c r="S175" s="80">
        <f t="shared" si="53"/>
        <v>2.0746887966804906E-2</v>
      </c>
      <c r="T175" s="80">
        <f t="shared" si="53"/>
        <v>9.9108027750247765E-5</v>
      </c>
      <c r="U175" s="80">
        <f t="shared" si="54"/>
        <v>-3.0100000000000002E-2</v>
      </c>
      <c r="V175" s="82">
        <f t="shared" si="54"/>
        <v>9.5999999999999974E-3</v>
      </c>
    </row>
    <row r="176" spans="1:22">
      <c r="A176" s="74"/>
      <c r="B176" s="19"/>
      <c r="C176" s="65" t="s">
        <v>46</v>
      </c>
      <c r="D176" s="71">
        <f>SUM(D173:D175)</f>
        <v>5139182455.1800003</v>
      </c>
      <c r="E176" s="99">
        <f>(D176/$D$196)</f>
        <v>1.7550595459550973E-3</v>
      </c>
      <c r="F176" s="30"/>
      <c r="G176" s="36"/>
      <c r="H176" s="64">
        <f>SUM(H173:H175)</f>
        <v>13134</v>
      </c>
      <c r="I176" s="37"/>
      <c r="J176" s="37"/>
      <c r="K176" s="71">
        <f>SUM(K173:K175)</f>
        <v>5167886512.6100006</v>
      </c>
      <c r="L176" s="99">
        <f>(K176/$K$196)</f>
        <v>1.7602734158621246E-3</v>
      </c>
      <c r="M176" s="30"/>
      <c r="N176" s="36"/>
      <c r="O176" s="64">
        <f>SUM(O173:O175)</f>
        <v>13138</v>
      </c>
      <c r="P176" s="37"/>
      <c r="Q176" s="37"/>
      <c r="R176" s="80">
        <f>((K176-D176)/D176)</f>
        <v>5.585335348634736E-3</v>
      </c>
      <c r="S176" s="80" t="e">
        <f t="shared" si="53"/>
        <v>#DIV/0!</v>
      </c>
      <c r="T176" s="80">
        <f t="shared" si="53"/>
        <v>3.0455306837216383E-4</v>
      </c>
      <c r="U176" s="80">
        <f t="shared" si="54"/>
        <v>0</v>
      </c>
      <c r="V176" s="82">
        <f t="shared" si="54"/>
        <v>0</v>
      </c>
    </row>
    <row r="177" spans="1:24" ht="6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</row>
    <row r="178" spans="1:24" ht="15" customHeight="1">
      <c r="A178" s="165" t="s">
        <v>183</v>
      </c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</row>
    <row r="179" spans="1:24">
      <c r="A179" s="169" t="s">
        <v>232</v>
      </c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</row>
    <row r="180" spans="1:24">
      <c r="A180" s="74">
        <v>150</v>
      </c>
      <c r="B180" s="134" t="s">
        <v>184</v>
      </c>
      <c r="C180" s="135" t="s">
        <v>185</v>
      </c>
      <c r="D180" s="13">
        <v>4154498755.7800002</v>
      </c>
      <c r="E180" s="3">
        <f>(D180/$D$195)</f>
        <v>8.2453456993064278E-2</v>
      </c>
      <c r="F180" s="18">
        <v>1.97</v>
      </c>
      <c r="G180" s="18">
        <v>1.97</v>
      </c>
      <c r="H180" s="60">
        <v>14994</v>
      </c>
      <c r="I180" s="12">
        <v>1.6999999999999999E-3</v>
      </c>
      <c r="J180" s="12">
        <v>8.77E-2</v>
      </c>
      <c r="K180" s="13">
        <v>4116525940.0100002</v>
      </c>
      <c r="L180" s="3">
        <f>(K180/$K$195)</f>
        <v>8.1708225981157942E-2</v>
      </c>
      <c r="M180" s="18">
        <v>1.95</v>
      </c>
      <c r="N180" s="18">
        <v>1.98</v>
      </c>
      <c r="O180" s="60">
        <v>14994</v>
      </c>
      <c r="P180" s="12">
        <v>3.7000000000000002E-3</v>
      </c>
      <c r="Q180" s="12">
        <v>9.1700000000000004E-2</v>
      </c>
      <c r="R180" s="80">
        <f>((K180-D180)/D180)</f>
        <v>-9.1401678041592403E-3</v>
      </c>
      <c r="S180" s="80">
        <f>((N180-G180)/G180)</f>
        <v>5.0761421319797002E-3</v>
      </c>
      <c r="T180" s="80">
        <f>((O180-H180)/H180)</f>
        <v>0</v>
      </c>
      <c r="U180" s="80">
        <f>P180-I180</f>
        <v>2E-3</v>
      </c>
      <c r="V180" s="82">
        <f>Q180-J180</f>
        <v>4.0000000000000036E-3</v>
      </c>
    </row>
    <row r="181" spans="1:24">
      <c r="A181" s="74">
        <v>151</v>
      </c>
      <c r="B181" s="134" t="s">
        <v>186</v>
      </c>
      <c r="C181" s="135" t="s">
        <v>42</v>
      </c>
      <c r="D181" s="13">
        <v>655064988.25</v>
      </c>
      <c r="E181" s="3">
        <f>(D181/$D$195)</f>
        <v>1.3000936096367368E-2</v>
      </c>
      <c r="F181" s="18">
        <v>432.73</v>
      </c>
      <c r="G181" s="18">
        <v>438.54</v>
      </c>
      <c r="H181" s="60">
        <v>830</v>
      </c>
      <c r="I181" s="12">
        <v>3.5000000000000001E-3</v>
      </c>
      <c r="J181" s="12">
        <v>0.1484</v>
      </c>
      <c r="K181" s="13">
        <v>653614003.19000006</v>
      </c>
      <c r="L181" s="3">
        <f>(K181/$K$195)</f>
        <v>1.2973473617165662E-2</v>
      </c>
      <c r="M181" s="18">
        <v>436.22</v>
      </c>
      <c r="N181" s="18">
        <v>442.08</v>
      </c>
      <c r="O181" s="60">
        <v>830</v>
      </c>
      <c r="P181" s="12">
        <v>8.0999999999999996E-3</v>
      </c>
      <c r="Q181" s="12">
        <v>0.15770000000000001</v>
      </c>
      <c r="R181" s="80">
        <f>((K181-D181)/D181)</f>
        <v>-2.2150245945463149E-3</v>
      </c>
      <c r="S181" s="80">
        <f>((N181-G181)/G181)</f>
        <v>8.0722397044738527E-3</v>
      </c>
      <c r="T181" s="80">
        <f>((O181-H181)/H181)</f>
        <v>0</v>
      </c>
      <c r="U181" s="80">
        <f>P181-I181</f>
        <v>4.5999999999999999E-3</v>
      </c>
      <c r="V181" s="82">
        <f>Q181-J181</f>
        <v>9.3000000000000027E-3</v>
      </c>
    </row>
    <row r="182" spans="1:24" ht="6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</row>
    <row r="183" spans="1:24" ht="15" customHeight="1">
      <c r="A183" s="169" t="s">
        <v>231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</row>
    <row r="184" spans="1:24">
      <c r="A184" s="74">
        <v>152</v>
      </c>
      <c r="B184" s="134" t="s">
        <v>187</v>
      </c>
      <c r="C184" s="135" t="s">
        <v>188</v>
      </c>
      <c r="D184" s="2">
        <v>406598966.95999998</v>
      </c>
      <c r="E184" s="3">
        <f t="shared" ref="E184:E194" si="55">(D184/$D$195)</f>
        <v>8.0696835903532153E-3</v>
      </c>
      <c r="F184" s="2">
        <v>1048.0899999999999</v>
      </c>
      <c r="G184" s="2">
        <v>1048.0899999999999</v>
      </c>
      <c r="H184" s="59">
        <v>21</v>
      </c>
      <c r="I184" s="5">
        <v>2.7000000000000001E-3</v>
      </c>
      <c r="J184" s="5">
        <v>5.5500000000000001E-2</v>
      </c>
      <c r="K184" s="2">
        <v>407557170.80000001</v>
      </c>
      <c r="L184" s="3">
        <f t="shared" ref="L184:L194" si="56">(K184/$K$195)</f>
        <v>8.0895332368261207E-3</v>
      </c>
      <c r="M184" s="2">
        <v>1050.56</v>
      </c>
      <c r="N184" s="2">
        <v>1050.56</v>
      </c>
      <c r="O184" s="59">
        <v>21</v>
      </c>
      <c r="P184" s="5">
        <v>2.7000000000000001E-3</v>
      </c>
      <c r="Q184" s="5">
        <v>5.8200000000000002E-2</v>
      </c>
      <c r="R184" s="80">
        <f>((K184-D184)/D184)</f>
        <v>2.3566312702764411E-3</v>
      </c>
      <c r="S184" s="80">
        <f>((N184-G184)/G184)</f>
        <v>2.3566678434104203E-3</v>
      </c>
      <c r="T184" s="80">
        <f>((O184-H184)/H184)</f>
        <v>0</v>
      </c>
      <c r="U184" s="80">
        <f>P184-I184</f>
        <v>0</v>
      </c>
      <c r="V184" s="82">
        <f>Q184-J184</f>
        <v>2.700000000000001E-3</v>
      </c>
      <c r="X184" s="69"/>
    </row>
    <row r="185" spans="1:24">
      <c r="A185" s="74">
        <v>153</v>
      </c>
      <c r="B185" s="134" t="s">
        <v>189</v>
      </c>
      <c r="C185" s="135" t="s">
        <v>58</v>
      </c>
      <c r="D185" s="2">
        <v>108678524.88</v>
      </c>
      <c r="E185" s="3">
        <f t="shared" si="55"/>
        <v>2.1569196680576086E-3</v>
      </c>
      <c r="F185" s="17">
        <v>111.82</v>
      </c>
      <c r="G185" s="17">
        <v>111.82</v>
      </c>
      <c r="H185" s="59">
        <v>71</v>
      </c>
      <c r="I185" s="5">
        <v>2.8E-3</v>
      </c>
      <c r="J185" s="5">
        <v>0.13589999999999999</v>
      </c>
      <c r="K185" s="2">
        <v>108935350.79000001</v>
      </c>
      <c r="L185" s="3">
        <f t="shared" si="56"/>
        <v>2.1622393225255395E-3</v>
      </c>
      <c r="M185" s="17">
        <v>112.08</v>
      </c>
      <c r="N185" s="17">
        <v>112.08</v>
      </c>
      <c r="O185" s="59">
        <v>71</v>
      </c>
      <c r="P185" s="5">
        <v>2.3E-3</v>
      </c>
      <c r="Q185" s="5">
        <v>0.13769999999999999</v>
      </c>
      <c r="R185" s="80">
        <f t="shared" ref="R185:R196" si="57">((K185-D185)/D185)</f>
        <v>2.3631707394224555E-3</v>
      </c>
      <c r="S185" s="80">
        <f t="shared" ref="S185:S195" si="58">((N185-G185)/G185)</f>
        <v>2.3251654444643634E-3</v>
      </c>
      <c r="T185" s="80">
        <f t="shared" ref="T185:T195" si="59">((O185-H185)/H185)</f>
        <v>0</v>
      </c>
      <c r="U185" s="80">
        <f t="shared" ref="U185:U195" si="60">P185-I185</f>
        <v>-5.0000000000000001E-4</v>
      </c>
      <c r="V185" s="82">
        <f t="shared" ref="V185:V195" si="61">Q185-J185</f>
        <v>1.799999999999996E-3</v>
      </c>
    </row>
    <row r="186" spans="1:24">
      <c r="A186" s="74">
        <v>154</v>
      </c>
      <c r="B186" s="152" t="s">
        <v>190</v>
      </c>
      <c r="C186" s="135" t="s">
        <v>64</v>
      </c>
      <c r="D186" s="9">
        <v>57009253.149999999</v>
      </c>
      <c r="E186" s="3">
        <f t="shared" si="55"/>
        <v>1.1314505742167943E-3</v>
      </c>
      <c r="F186" s="17">
        <v>102.79</v>
      </c>
      <c r="G186" s="17">
        <v>104.76</v>
      </c>
      <c r="H186" s="59">
        <v>12</v>
      </c>
      <c r="I186" s="5">
        <v>2.3E-3</v>
      </c>
      <c r="J186" s="5">
        <v>7.6399999999999996E-2</v>
      </c>
      <c r="K186" s="9">
        <v>57075501.799999997</v>
      </c>
      <c r="L186" s="3">
        <f t="shared" si="56"/>
        <v>1.1328819657701605E-3</v>
      </c>
      <c r="M186" s="17">
        <v>102.9</v>
      </c>
      <c r="N186" s="17">
        <v>104.97</v>
      </c>
      <c r="O186" s="59">
        <v>12</v>
      </c>
      <c r="P186" s="5">
        <v>1.6999999999999999E-3</v>
      </c>
      <c r="Q186" s="5">
        <v>7.8200000000000006E-2</v>
      </c>
      <c r="R186" s="80">
        <f t="shared" si="57"/>
        <v>1.1620683720533621E-3</v>
      </c>
      <c r="S186" s="80">
        <f t="shared" si="58"/>
        <v>2.0045819014890584E-3</v>
      </c>
      <c r="T186" s="80">
        <f t="shared" si="59"/>
        <v>0</v>
      </c>
      <c r="U186" s="80">
        <f t="shared" si="60"/>
        <v>-6.0000000000000006E-4</v>
      </c>
      <c r="V186" s="82">
        <f t="shared" si="61"/>
        <v>1.8000000000000099E-3</v>
      </c>
    </row>
    <row r="187" spans="1:24">
      <c r="A187" s="74">
        <v>155</v>
      </c>
      <c r="B187" s="134" t="s">
        <v>191</v>
      </c>
      <c r="C187" s="135" t="s">
        <v>27</v>
      </c>
      <c r="D187" s="2">
        <v>9473049116.4200001</v>
      </c>
      <c r="E187" s="3">
        <f t="shared" si="55"/>
        <v>0.18800959967245784</v>
      </c>
      <c r="F187" s="17">
        <v>142.18</v>
      </c>
      <c r="G187" s="17">
        <v>142.18</v>
      </c>
      <c r="H187" s="59">
        <v>695</v>
      </c>
      <c r="I187" s="5">
        <v>3.0000000000000001E-3</v>
      </c>
      <c r="J187" s="5">
        <v>6.3E-2</v>
      </c>
      <c r="K187" s="2">
        <v>9460585212.1800003</v>
      </c>
      <c r="L187" s="3">
        <f t="shared" si="56"/>
        <v>0.18778155310954428</v>
      </c>
      <c r="M187" s="17">
        <v>142.6</v>
      </c>
      <c r="N187" s="17">
        <v>142.6</v>
      </c>
      <c r="O187" s="59">
        <v>695</v>
      </c>
      <c r="P187" s="5">
        <v>3.0000000000000001E-3</v>
      </c>
      <c r="Q187" s="5">
        <v>6.6500000000000004E-2</v>
      </c>
      <c r="R187" s="80">
        <f t="shared" si="57"/>
        <v>-1.31572253947207E-3</v>
      </c>
      <c r="S187" s="80">
        <f t="shared" si="58"/>
        <v>2.9540019693345583E-3</v>
      </c>
      <c r="T187" s="80">
        <f t="shared" si="59"/>
        <v>0</v>
      </c>
      <c r="U187" s="80">
        <f t="shared" si="60"/>
        <v>0</v>
      </c>
      <c r="V187" s="82">
        <f t="shared" si="61"/>
        <v>3.5000000000000031E-3</v>
      </c>
    </row>
    <row r="188" spans="1:24">
      <c r="A188" s="74">
        <v>156</v>
      </c>
      <c r="B188" s="134" t="s">
        <v>249</v>
      </c>
      <c r="C188" s="135" t="s">
        <v>56</v>
      </c>
      <c r="D188" s="2">
        <v>290206918.219464</v>
      </c>
      <c r="E188" s="3">
        <f t="shared" si="55"/>
        <v>5.7596752477557904E-3</v>
      </c>
      <c r="F188" s="17">
        <v>1089.0074478665999</v>
      </c>
      <c r="G188" s="17">
        <v>1089.0074478665999</v>
      </c>
      <c r="H188" s="59">
        <v>84</v>
      </c>
      <c r="I188" s="5">
        <v>0.14388572221890075</v>
      </c>
      <c r="J188" s="5">
        <v>0.12789107259997756</v>
      </c>
      <c r="K188" s="2">
        <v>295521248.89384598</v>
      </c>
      <c r="L188" s="3">
        <f t="shared" si="56"/>
        <v>5.8657512034999424E-3</v>
      </c>
      <c r="M188" s="17">
        <v>1091.98255281255</v>
      </c>
      <c r="N188" s="17">
        <v>1091.98255281255</v>
      </c>
      <c r="O188" s="59">
        <v>84</v>
      </c>
      <c r="P188" s="5">
        <v>0.14284152737311337</v>
      </c>
      <c r="Q188" s="5">
        <v>0.12883125805391241</v>
      </c>
      <c r="R188" s="80">
        <f t="shared" si="57"/>
        <v>1.8312212220809636E-2</v>
      </c>
      <c r="S188" s="80">
        <f t="shared" si="58"/>
        <v>2.731941780360092E-3</v>
      </c>
      <c r="T188" s="80">
        <f t="shared" si="59"/>
        <v>0</v>
      </c>
      <c r="U188" s="80">
        <f t="shared" si="60"/>
        <v>-1.0441948457873829E-3</v>
      </c>
      <c r="V188" s="82">
        <f t="shared" si="61"/>
        <v>9.4018545393484421E-4</v>
      </c>
    </row>
    <row r="189" spans="1:24">
      <c r="A189" s="74">
        <v>157</v>
      </c>
      <c r="B189" s="134" t="s">
        <v>192</v>
      </c>
      <c r="C189" s="135" t="s">
        <v>185</v>
      </c>
      <c r="D189" s="2">
        <v>21075544146.799999</v>
      </c>
      <c r="E189" s="3">
        <f t="shared" si="55"/>
        <v>0.41828186143898394</v>
      </c>
      <c r="F189" s="7">
        <v>1228.29</v>
      </c>
      <c r="G189" s="7">
        <v>1228.29</v>
      </c>
      <c r="H189" s="59">
        <v>8546</v>
      </c>
      <c r="I189" s="5">
        <v>2.8E-3</v>
      </c>
      <c r="J189" s="5">
        <v>6.6100000000000006E-2</v>
      </c>
      <c r="K189" s="2">
        <v>21283516579.740002</v>
      </c>
      <c r="L189" s="3">
        <f t="shared" si="56"/>
        <v>0.42245291483985964</v>
      </c>
      <c r="M189" s="7">
        <v>1231.6500000000001</v>
      </c>
      <c r="N189" s="7">
        <v>1231.6500000000001</v>
      </c>
      <c r="O189" s="59">
        <v>8580</v>
      </c>
      <c r="P189" s="5">
        <v>2.7000000000000001E-3</v>
      </c>
      <c r="Q189" s="5">
        <v>6.8900000000000003E-2</v>
      </c>
      <c r="R189" s="80">
        <f t="shared" si="57"/>
        <v>9.8679508102560605E-3</v>
      </c>
      <c r="S189" s="80">
        <f t="shared" si="58"/>
        <v>2.7355103436485905E-3</v>
      </c>
      <c r="T189" s="80">
        <f t="shared" si="59"/>
        <v>3.9784694593962087E-3</v>
      </c>
      <c r="U189" s="80">
        <f t="shared" si="60"/>
        <v>-9.9999999999999829E-5</v>
      </c>
      <c r="V189" s="82">
        <f t="shared" si="61"/>
        <v>2.7999999999999969E-3</v>
      </c>
    </row>
    <row r="190" spans="1:24">
      <c r="A190" s="74">
        <v>158</v>
      </c>
      <c r="B190" s="134" t="s">
        <v>196</v>
      </c>
      <c r="C190" s="135" t="s">
        <v>197</v>
      </c>
      <c r="D190" s="2">
        <v>355070544.20999998</v>
      </c>
      <c r="E190" s="3">
        <f t="shared" si="55"/>
        <v>7.0470098963903742E-3</v>
      </c>
      <c r="F190" s="18">
        <v>118.7978</v>
      </c>
      <c r="G190" s="18">
        <v>119.5204</v>
      </c>
      <c r="H190" s="60">
        <v>166</v>
      </c>
      <c r="I190" s="5">
        <v>1.7835E-2</v>
      </c>
      <c r="J190" s="5">
        <v>0.2006</v>
      </c>
      <c r="K190" s="2">
        <v>355070544.20999998</v>
      </c>
      <c r="L190" s="3">
        <f t="shared" si="56"/>
        <v>7.0477350776739986E-3</v>
      </c>
      <c r="M190" s="18">
        <v>118.7978</v>
      </c>
      <c r="N190" s="18">
        <v>119.5204</v>
      </c>
      <c r="O190" s="60">
        <v>166</v>
      </c>
      <c r="P190" s="5">
        <v>1.7835E-2</v>
      </c>
      <c r="Q190" s="5">
        <v>0.2006</v>
      </c>
      <c r="R190" s="80">
        <f>((K190-D190)/D190)</f>
        <v>0</v>
      </c>
      <c r="S190" s="80">
        <f>((N190-G190)/G190)</f>
        <v>0</v>
      </c>
      <c r="T190" s="80">
        <f>((O190-H190)/H190)</f>
        <v>0</v>
      </c>
      <c r="U190" s="80">
        <f>P190-I190</f>
        <v>0</v>
      </c>
      <c r="V190" s="82">
        <f>Q190-J190</f>
        <v>0</v>
      </c>
    </row>
    <row r="191" spans="1:24">
      <c r="A191" s="74">
        <v>159</v>
      </c>
      <c r="B191" s="134" t="s">
        <v>244</v>
      </c>
      <c r="C191" s="135" t="s">
        <v>197</v>
      </c>
      <c r="D191" s="2">
        <v>161723610.44</v>
      </c>
      <c r="E191" s="3">
        <f t="shared" si="55"/>
        <v>3.2096942476214697E-3</v>
      </c>
      <c r="F191" s="18">
        <v>105.66500000000001</v>
      </c>
      <c r="G191" s="18">
        <v>105.66500000000001</v>
      </c>
      <c r="H191" s="60">
        <v>71</v>
      </c>
      <c r="I191" s="5">
        <v>2.6459999999999999E-3</v>
      </c>
      <c r="J191" s="5">
        <v>5.5155000000000003E-2</v>
      </c>
      <c r="K191" s="2">
        <v>161723610.44</v>
      </c>
      <c r="L191" s="3">
        <f t="shared" si="56"/>
        <v>3.210024545184373E-3</v>
      </c>
      <c r="M191" s="18">
        <v>105.66500000000001</v>
      </c>
      <c r="N191" s="18">
        <v>105.66500000000001</v>
      </c>
      <c r="O191" s="60">
        <v>71</v>
      </c>
      <c r="P191" s="5">
        <v>2.6459999999999999E-3</v>
      </c>
      <c r="Q191" s="5">
        <v>5.5155000000000003E-2</v>
      </c>
      <c r="R191" s="80">
        <f>((K191-D191)/D191)</f>
        <v>0</v>
      </c>
      <c r="S191" s="80">
        <f>((N191-G191)/G191)</f>
        <v>0</v>
      </c>
      <c r="T191" s="80">
        <f>((O191-H191)/H191)</f>
        <v>0</v>
      </c>
      <c r="U191" s="80">
        <f>P191-I191</f>
        <v>0</v>
      </c>
      <c r="V191" s="82">
        <f>Q191-J191</f>
        <v>0</v>
      </c>
    </row>
    <row r="192" spans="1:24" ht="13.5" customHeight="1">
      <c r="A192" s="74">
        <v>160</v>
      </c>
      <c r="B192" s="134" t="s">
        <v>193</v>
      </c>
      <c r="C192" s="135" t="s">
        <v>78</v>
      </c>
      <c r="D192" s="2">
        <v>1082411659.5699999</v>
      </c>
      <c r="E192" s="3">
        <f t="shared" si="55"/>
        <v>2.1482394981338738E-2</v>
      </c>
      <c r="F192" s="14">
        <v>104.96</v>
      </c>
      <c r="G192" s="14">
        <v>104.96</v>
      </c>
      <c r="H192" s="59">
        <v>557</v>
      </c>
      <c r="I192" s="5">
        <v>2.3E-3</v>
      </c>
      <c r="J192" s="5">
        <v>5.1900000000000002E-2</v>
      </c>
      <c r="K192" s="2">
        <v>1083429485.95</v>
      </c>
      <c r="L192" s="3">
        <f t="shared" si="56"/>
        <v>2.1504808317189261E-2</v>
      </c>
      <c r="M192" s="14">
        <v>105.24</v>
      </c>
      <c r="N192" s="14">
        <v>105.24</v>
      </c>
      <c r="O192" s="59">
        <v>561</v>
      </c>
      <c r="P192" s="5">
        <v>2.5999999999999999E-3</v>
      </c>
      <c r="Q192" s="5">
        <v>5.4600000000000003E-2</v>
      </c>
      <c r="R192" s="80">
        <f t="shared" si="57"/>
        <v>9.4033205481587037E-4</v>
      </c>
      <c r="S192" s="80">
        <f t="shared" si="58"/>
        <v>2.6676829268292793E-3</v>
      </c>
      <c r="T192" s="80">
        <f t="shared" si="59"/>
        <v>7.1813285457809697E-3</v>
      </c>
      <c r="U192" s="80">
        <f t="shared" si="60"/>
        <v>2.9999999999999992E-4</v>
      </c>
      <c r="V192" s="82">
        <f t="shared" si="61"/>
        <v>2.700000000000001E-3</v>
      </c>
    </row>
    <row r="193" spans="1:22" ht="15.75" customHeight="1">
      <c r="A193" s="74">
        <v>161</v>
      </c>
      <c r="B193" s="134" t="s">
        <v>194</v>
      </c>
      <c r="C193" s="135" t="s">
        <v>42</v>
      </c>
      <c r="D193" s="2">
        <v>8472146093.8500004</v>
      </c>
      <c r="E193" s="3">
        <f t="shared" si="55"/>
        <v>0.16814488934828564</v>
      </c>
      <c r="F193" s="14">
        <v>131.12</v>
      </c>
      <c r="G193" s="14">
        <v>131.12</v>
      </c>
      <c r="H193" s="59">
        <v>1216</v>
      </c>
      <c r="I193" s="5">
        <v>5.0000000000000001E-4</v>
      </c>
      <c r="J193" s="5">
        <v>2.2100000000000002E-2</v>
      </c>
      <c r="K193" s="2">
        <v>8313671629.2600002</v>
      </c>
      <c r="L193" s="3">
        <f t="shared" si="56"/>
        <v>0.16501665970676901</v>
      </c>
      <c r="M193" s="14">
        <v>131.16</v>
      </c>
      <c r="N193" s="14">
        <v>131.16</v>
      </c>
      <c r="O193" s="59">
        <v>1216</v>
      </c>
      <c r="P193" s="5">
        <v>2.9999999999999997E-4</v>
      </c>
      <c r="Q193" s="5">
        <v>2.24E-2</v>
      </c>
      <c r="R193" s="80">
        <f t="shared" si="57"/>
        <v>-1.8705350785326761E-2</v>
      </c>
      <c r="S193" s="80">
        <f t="shared" si="58"/>
        <v>3.0506406345326447E-4</v>
      </c>
      <c r="T193" s="80">
        <f t="shared" si="59"/>
        <v>0</v>
      </c>
      <c r="U193" s="80">
        <f t="shared" si="60"/>
        <v>-2.0000000000000004E-4</v>
      </c>
      <c r="V193" s="82">
        <f t="shared" si="61"/>
        <v>2.9999999999999818E-4</v>
      </c>
    </row>
    <row r="194" spans="1:22">
      <c r="A194" s="74">
        <v>162</v>
      </c>
      <c r="B194" s="134" t="s">
        <v>195</v>
      </c>
      <c r="C194" s="135" t="s">
        <v>45</v>
      </c>
      <c r="D194" s="2">
        <v>4093983737.7199998</v>
      </c>
      <c r="E194" s="3">
        <f t="shared" si="55"/>
        <v>8.1252428245106936E-2</v>
      </c>
      <c r="F194" s="14">
        <v>1.2323</v>
      </c>
      <c r="G194" s="14">
        <v>1.2323</v>
      </c>
      <c r="H194" s="59">
        <v>698</v>
      </c>
      <c r="I194" s="5">
        <v>9.2999999999999999E-2</v>
      </c>
      <c r="J194" s="5">
        <v>0.1007</v>
      </c>
      <c r="K194" s="2">
        <v>4083575540.1599998</v>
      </c>
      <c r="L194" s="3">
        <f t="shared" si="56"/>
        <v>8.1054199076834144E-2</v>
      </c>
      <c r="M194" s="14">
        <v>1.2341</v>
      </c>
      <c r="N194" s="14">
        <v>1.2341</v>
      </c>
      <c r="O194" s="59">
        <v>708</v>
      </c>
      <c r="P194" s="5">
        <v>9.2899999999999996E-2</v>
      </c>
      <c r="Q194" s="5">
        <v>0.1004</v>
      </c>
      <c r="R194" s="80">
        <f t="shared" si="57"/>
        <v>-2.5423153160340647E-3</v>
      </c>
      <c r="S194" s="80">
        <f t="shared" si="58"/>
        <v>1.4606832751765187E-3</v>
      </c>
      <c r="T194" s="80">
        <f t="shared" si="59"/>
        <v>1.4326647564469915E-2</v>
      </c>
      <c r="U194" s="80">
        <f t="shared" si="60"/>
        <v>-1.0000000000000286E-4</v>
      </c>
      <c r="V194" s="82">
        <f t="shared" si="61"/>
        <v>-2.9999999999999472E-4</v>
      </c>
    </row>
    <row r="195" spans="1:22">
      <c r="A195" s="84"/>
      <c r="B195" s="19"/>
      <c r="C195" s="65" t="s">
        <v>46</v>
      </c>
      <c r="D195" s="58">
        <f>SUM(D180:D194)</f>
        <v>50385986316.249466</v>
      </c>
      <c r="E195" s="99">
        <f>(D195/$D$196)</f>
        <v>1.7207096077619072E-2</v>
      </c>
      <c r="F195" s="30"/>
      <c r="G195" s="34"/>
      <c r="H195" s="67">
        <f>SUM(H180:H194)</f>
        <v>27961</v>
      </c>
      <c r="I195" s="35"/>
      <c r="J195" s="35"/>
      <c r="K195" s="58">
        <f>SUM(K180:K194)</f>
        <v>50380801817.423843</v>
      </c>
      <c r="L195" s="99">
        <f>(K195/$K$196)</f>
        <v>1.7160590870684628E-2</v>
      </c>
      <c r="M195" s="30"/>
      <c r="N195" s="34"/>
      <c r="O195" s="67">
        <f>SUM(O180:O194)</f>
        <v>28009</v>
      </c>
      <c r="P195" s="35"/>
      <c r="Q195" s="35"/>
      <c r="R195" s="80">
        <f t="shared" si="57"/>
        <v>-1.0289565025247029E-4</v>
      </c>
      <c r="S195" s="80" t="e">
        <f t="shared" si="58"/>
        <v>#DIV/0!</v>
      </c>
      <c r="T195" s="80">
        <f t="shared" si="59"/>
        <v>1.7166767998283324E-3</v>
      </c>
      <c r="U195" s="80">
        <f t="shared" si="60"/>
        <v>0</v>
      </c>
      <c r="V195" s="82">
        <f t="shared" si="61"/>
        <v>0</v>
      </c>
    </row>
    <row r="196" spans="1:22">
      <c r="A196" s="85"/>
      <c r="B196" s="38"/>
      <c r="C196" s="66" t="s">
        <v>198</v>
      </c>
      <c r="D196" s="68">
        <f>SUM(D23,D60,D98,D131,D139,D170,D176,D195)</f>
        <v>2928209739107.8975</v>
      </c>
      <c r="E196" s="39"/>
      <c r="F196" s="39"/>
      <c r="G196" s="40"/>
      <c r="H196" s="68">
        <f>SUM(H23,H60,H98,H131,H139,H170,H176,H195)</f>
        <v>739026</v>
      </c>
      <c r="I196" s="41"/>
      <c r="J196" s="41"/>
      <c r="K196" s="68">
        <f>SUM(K23,K60,K98,K131,K139,K170,K176,K195)</f>
        <v>2935843071900.8149</v>
      </c>
      <c r="L196" s="39"/>
      <c r="M196" s="39"/>
      <c r="N196" s="40"/>
      <c r="O196" s="68">
        <f>SUM(O23,O60,O98,O131,O139,O170,O176,O195)</f>
        <v>740643</v>
      </c>
      <c r="P196" s="42"/>
      <c r="Q196" s="68"/>
      <c r="R196" s="25">
        <f t="shared" si="57"/>
        <v>2.6068258331942563E-3</v>
      </c>
      <c r="S196" s="25"/>
      <c r="T196" s="25"/>
      <c r="U196" s="25"/>
      <c r="V196" s="25"/>
    </row>
    <row r="197" spans="1:22" ht="6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9"/>
    </row>
    <row r="198" spans="1:22" ht="15.75">
      <c r="A198" s="165" t="s">
        <v>199</v>
      </c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</row>
    <row r="199" spans="1:22">
      <c r="A199" s="74">
        <v>1</v>
      </c>
      <c r="B199" s="134" t="s">
        <v>200</v>
      </c>
      <c r="C199" s="135" t="s">
        <v>201</v>
      </c>
      <c r="D199" s="2">
        <v>103175705234</v>
      </c>
      <c r="E199" s="3">
        <f>(D199/$D$201)</f>
        <v>0.97895251024850105</v>
      </c>
      <c r="F199" s="14">
        <v>107.39</v>
      </c>
      <c r="G199" s="14">
        <v>107.39</v>
      </c>
      <c r="H199" s="63">
        <v>0</v>
      </c>
      <c r="I199" s="20">
        <v>0</v>
      </c>
      <c r="J199" s="20">
        <v>0.13800000000000001</v>
      </c>
      <c r="K199" s="2">
        <v>103175705234</v>
      </c>
      <c r="L199" s="3">
        <f>(K199/$K$201)</f>
        <v>0.97891224496818086</v>
      </c>
      <c r="M199" s="14">
        <v>107.39</v>
      </c>
      <c r="N199" s="14">
        <v>107.39</v>
      </c>
      <c r="O199" s="63">
        <v>0</v>
      </c>
      <c r="P199" s="20">
        <v>0</v>
      </c>
      <c r="Q199" s="20">
        <v>0.13800000000000001</v>
      </c>
      <c r="R199" s="80">
        <f>((K199-D199)/D199)</f>
        <v>0</v>
      </c>
      <c r="S199" s="80">
        <f>((N199-G199)/G199)</f>
        <v>0</v>
      </c>
      <c r="T199" s="80" t="e">
        <f>((O199-H199)/H199)</f>
        <v>#DIV/0!</v>
      </c>
      <c r="U199" s="80">
        <f>P199-I199</f>
        <v>0</v>
      </c>
      <c r="V199" s="82">
        <f>Q199-J199</f>
        <v>0</v>
      </c>
    </row>
    <row r="200" spans="1:22">
      <c r="A200" s="74">
        <v>2</v>
      </c>
      <c r="B200" s="134" t="s">
        <v>202</v>
      </c>
      <c r="C200" s="135" t="s">
        <v>45</v>
      </c>
      <c r="D200" s="2">
        <v>2218278798.8000002</v>
      </c>
      <c r="E200" s="3">
        <f>(D200/$D$201)</f>
        <v>2.1047489751498932E-2</v>
      </c>
      <c r="F200" s="21">
        <v>1000000</v>
      </c>
      <c r="G200" s="21">
        <v>1000000</v>
      </c>
      <c r="H200" s="63">
        <v>0</v>
      </c>
      <c r="I200" s="20">
        <v>0.16389999999999999</v>
      </c>
      <c r="J200" s="20">
        <v>0.16389999999999999</v>
      </c>
      <c r="K200" s="2">
        <v>2222613935.4099998</v>
      </c>
      <c r="L200" s="3">
        <f>(K200/$K$201)</f>
        <v>2.1087755031819085E-2</v>
      </c>
      <c r="M200" s="21">
        <v>1000000</v>
      </c>
      <c r="N200" s="21">
        <v>1000000</v>
      </c>
      <c r="O200" s="63">
        <v>0</v>
      </c>
      <c r="P200" s="20">
        <v>0.16389999999999999</v>
      </c>
      <c r="Q200" s="20">
        <v>0.16389999999999999</v>
      </c>
      <c r="R200" s="80">
        <f>((K200-D200)/D200)</f>
        <v>1.954279422561669E-3</v>
      </c>
      <c r="S200" s="80">
        <f>((N200-G200)/G200)</f>
        <v>0</v>
      </c>
      <c r="T200" s="80" t="e">
        <f>((O200-H200)/H200)</f>
        <v>#DIV/0!</v>
      </c>
      <c r="U200" s="80">
        <f>P200-I200</f>
        <v>0</v>
      </c>
      <c r="V200" s="82">
        <f>Q200-J200</f>
        <v>0</v>
      </c>
    </row>
    <row r="201" spans="1:22">
      <c r="A201" s="38"/>
      <c r="B201" s="38"/>
      <c r="C201" s="66" t="s">
        <v>203</v>
      </c>
      <c r="D201" s="72">
        <f>SUM(D199:D200)</f>
        <v>105393984032.8</v>
      </c>
      <c r="E201" s="24"/>
      <c r="F201" s="22"/>
      <c r="G201" s="22"/>
      <c r="H201" s="72">
        <f>SUM(H199:H200)</f>
        <v>0</v>
      </c>
      <c r="I201" s="23"/>
      <c r="J201" s="23"/>
      <c r="K201" s="72">
        <f>SUM(K199:K200)</f>
        <v>105398319169.41</v>
      </c>
      <c r="L201" s="24"/>
      <c r="M201" s="22"/>
      <c r="N201" s="22"/>
      <c r="O201" s="23"/>
      <c r="P201" s="23"/>
      <c r="Q201" s="72"/>
      <c r="R201" s="157">
        <f>((K201-D201)/D201)</f>
        <v>4.1132676117941025E-5</v>
      </c>
      <c r="S201" s="26"/>
      <c r="T201" s="26"/>
      <c r="U201" s="25"/>
      <c r="V201" s="86"/>
    </row>
    <row r="202" spans="1:22" ht="8.25" customHeight="1">
      <c r="A202" s="170"/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</row>
    <row r="203" spans="1:22" ht="15.75">
      <c r="A203" s="165" t="s">
        <v>204</v>
      </c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</row>
    <row r="204" spans="1:22">
      <c r="A204" s="74">
        <v>1</v>
      </c>
      <c r="B204" s="134" t="s">
        <v>205</v>
      </c>
      <c r="C204" s="135" t="s">
        <v>74</v>
      </c>
      <c r="D204" s="27">
        <v>982164249.94503617</v>
      </c>
      <c r="E204" s="10">
        <f t="shared" ref="E204:E215" si="62">(D204/$D$216)</f>
        <v>7.4050323380513872E-2</v>
      </c>
      <c r="F204" s="21">
        <v>231.451455153773</v>
      </c>
      <c r="G204" s="21">
        <v>234.14031163897724</v>
      </c>
      <c r="H204" s="62">
        <v>61</v>
      </c>
      <c r="I204" s="28">
        <v>8.0369920417220353E-3</v>
      </c>
      <c r="J204" s="28">
        <v>0.32212644324102024</v>
      </c>
      <c r="K204" s="27">
        <v>979926605.79838896</v>
      </c>
      <c r="L204" s="10">
        <f t="shared" ref="L204:L215" si="63">(K204/$K$216)</f>
        <v>7.3937891268097619E-2</v>
      </c>
      <c r="M204" s="21">
        <v>230.92414417306199</v>
      </c>
      <c r="N204" s="21">
        <v>233.71850771061622</v>
      </c>
      <c r="O204" s="62">
        <v>61</v>
      </c>
      <c r="P204" s="28">
        <v>-2.2782789607465048E-3</v>
      </c>
      <c r="Q204" s="28">
        <v>0.31911427038193763</v>
      </c>
      <c r="R204" s="80">
        <f>((K204-D204)/D204)</f>
        <v>-2.2782789607465733E-3</v>
      </c>
      <c r="S204" s="80">
        <f>((N204-G204)/G204)</f>
        <v>-1.8015006702963565E-3</v>
      </c>
      <c r="T204" s="80">
        <f>((O204-H204)/H204)</f>
        <v>0</v>
      </c>
      <c r="U204" s="80">
        <f>P204-I204</f>
        <v>-1.031527100246854E-2</v>
      </c>
      <c r="V204" s="82">
        <f>Q204-J204</f>
        <v>-3.012172859082618E-3</v>
      </c>
    </row>
    <row r="205" spans="1:22">
      <c r="A205" s="74">
        <v>2</v>
      </c>
      <c r="B205" s="134" t="s">
        <v>206</v>
      </c>
      <c r="C205" s="135" t="s">
        <v>185</v>
      </c>
      <c r="D205" s="27">
        <v>1010910969.72</v>
      </c>
      <c r="E205" s="10">
        <f t="shared" si="62"/>
        <v>7.6217683774240499E-2</v>
      </c>
      <c r="F205" s="21">
        <v>28.75</v>
      </c>
      <c r="G205" s="21">
        <v>31.78</v>
      </c>
      <c r="H205" s="62">
        <v>210</v>
      </c>
      <c r="I205" s="28">
        <v>1.66E-2</v>
      </c>
      <c r="J205" s="28">
        <v>0.34139999999999998</v>
      </c>
      <c r="K205" s="27">
        <v>1015269951.22</v>
      </c>
      <c r="L205" s="10">
        <f t="shared" si="63"/>
        <v>7.6604634282697981E-2</v>
      </c>
      <c r="M205" s="21">
        <v>28.88</v>
      </c>
      <c r="N205" s="21">
        <v>31.92</v>
      </c>
      <c r="O205" s="62">
        <v>210</v>
      </c>
      <c r="P205" s="28">
        <v>4.3E-3</v>
      </c>
      <c r="Q205" s="28">
        <v>0.34720000000000001</v>
      </c>
      <c r="R205" s="80">
        <f t="shared" ref="R205:R216" si="64">((K205-D205)/D205)</f>
        <v>4.311934117410301E-3</v>
      </c>
      <c r="S205" s="80">
        <f t="shared" ref="S205:S216" si="65">((N205-G205)/G205)</f>
        <v>4.4052863436123526E-3</v>
      </c>
      <c r="T205" s="80">
        <f t="shared" ref="T205:T216" si="66">((O205-H205)/H205)</f>
        <v>0</v>
      </c>
      <c r="U205" s="80">
        <f t="shared" ref="U205:U216" si="67">P205-I205</f>
        <v>-1.23E-2</v>
      </c>
      <c r="V205" s="82">
        <f t="shared" ref="V205:V216" si="68">Q205-J205</f>
        <v>5.8000000000000274E-3</v>
      </c>
    </row>
    <row r="206" spans="1:22">
      <c r="A206" s="74">
        <v>3</v>
      </c>
      <c r="B206" s="134" t="s">
        <v>207</v>
      </c>
      <c r="C206" s="135" t="s">
        <v>36</v>
      </c>
      <c r="D206" s="27">
        <v>259083234.76999998</v>
      </c>
      <c r="E206" s="10">
        <f t="shared" si="62"/>
        <v>1.9533593610500215E-2</v>
      </c>
      <c r="F206" s="21">
        <v>20.170000000000002</v>
      </c>
      <c r="G206" s="21">
        <v>20.64</v>
      </c>
      <c r="H206" s="62">
        <v>107</v>
      </c>
      <c r="I206" s="28">
        <v>-5.4502232259497463E-2</v>
      </c>
      <c r="J206" s="28">
        <v>-7.1437886832097064E-2</v>
      </c>
      <c r="K206" s="27">
        <v>259083234.76999998</v>
      </c>
      <c r="L206" s="10">
        <f t="shared" si="63"/>
        <v>1.9548472230942218E-2</v>
      </c>
      <c r="M206" s="21">
        <v>20.258571</v>
      </c>
      <c r="N206" s="21">
        <v>20.742591000000001</v>
      </c>
      <c r="O206" s="62">
        <v>107</v>
      </c>
      <c r="P206" s="28">
        <v>-5.4502232259497463E-2</v>
      </c>
      <c r="Q206" s="28">
        <v>-0.1343368702692983</v>
      </c>
      <c r="R206" s="80">
        <f t="shared" si="64"/>
        <v>0</v>
      </c>
      <c r="S206" s="80">
        <f t="shared" si="65"/>
        <v>4.9704941860465269E-3</v>
      </c>
      <c r="T206" s="80">
        <f t="shared" si="66"/>
        <v>0</v>
      </c>
      <c r="U206" s="80">
        <f t="shared" si="67"/>
        <v>0</v>
      </c>
      <c r="V206" s="82">
        <f t="shared" si="68"/>
        <v>-6.2898983437201239E-2</v>
      </c>
    </row>
    <row r="207" spans="1:22">
      <c r="A207" s="74">
        <v>4</v>
      </c>
      <c r="B207" s="134" t="s">
        <v>208</v>
      </c>
      <c r="C207" s="135" t="s">
        <v>36</v>
      </c>
      <c r="D207" s="27">
        <v>578067649.38</v>
      </c>
      <c r="E207" s="10">
        <f t="shared" si="62"/>
        <v>4.3583439709598493E-2</v>
      </c>
      <c r="F207" s="21">
        <v>43.62</v>
      </c>
      <c r="G207" s="21">
        <v>44.14</v>
      </c>
      <c r="H207" s="62">
        <v>98</v>
      </c>
      <c r="I207" s="28">
        <v>-5.3036812573749037E-3</v>
      </c>
      <c r="J207" s="28">
        <v>0.1585</v>
      </c>
      <c r="K207" s="27">
        <v>571801193.44000006</v>
      </c>
      <c r="L207" s="10">
        <f t="shared" si="63"/>
        <v>4.3143817319961052E-2</v>
      </c>
      <c r="M207" s="21">
        <v>42.919041999999997</v>
      </c>
      <c r="N207" s="21">
        <v>43.454214999999998</v>
      </c>
      <c r="O207" s="62">
        <v>98</v>
      </c>
      <c r="P207" s="28">
        <v>-5.3036812573749037E-3</v>
      </c>
      <c r="Q207" s="28">
        <v>0.14013529623338949</v>
      </c>
      <c r="R207" s="80">
        <f t="shared" si="64"/>
        <v>-1.084035051385587E-2</v>
      </c>
      <c r="S207" s="80">
        <f t="shared" si="65"/>
        <v>-1.5536588128681529E-2</v>
      </c>
      <c r="T207" s="80">
        <f t="shared" si="66"/>
        <v>0</v>
      </c>
      <c r="U207" s="80">
        <f t="shared" si="67"/>
        <v>0</v>
      </c>
      <c r="V207" s="82">
        <f t="shared" si="68"/>
        <v>-1.8364703766610507E-2</v>
      </c>
    </row>
    <row r="208" spans="1:22">
      <c r="A208" s="74">
        <v>5</v>
      </c>
      <c r="B208" s="134" t="s">
        <v>209</v>
      </c>
      <c r="C208" s="135" t="s">
        <v>210</v>
      </c>
      <c r="D208" s="27">
        <v>1086504186.6900001</v>
      </c>
      <c r="E208" s="10">
        <f t="shared" si="62"/>
        <v>8.1917038197205E-2</v>
      </c>
      <c r="F208" s="21">
        <v>27400</v>
      </c>
      <c r="G208" s="21">
        <v>34900</v>
      </c>
      <c r="H208" s="62">
        <v>227</v>
      </c>
      <c r="I208" s="28">
        <v>0.86</v>
      </c>
      <c r="J208" s="28">
        <v>0.02</v>
      </c>
      <c r="K208" s="27">
        <v>1092979738.0899999</v>
      </c>
      <c r="L208" s="10">
        <f t="shared" si="63"/>
        <v>8.2468030314668983E-2</v>
      </c>
      <c r="M208" s="21">
        <v>27200</v>
      </c>
      <c r="N208" s="21">
        <v>35000</v>
      </c>
      <c r="O208" s="62">
        <v>228</v>
      </c>
      <c r="P208" s="28">
        <v>0.01</v>
      </c>
      <c r="Q208" s="28">
        <v>0.87</v>
      </c>
      <c r="R208" s="80">
        <f t="shared" si="64"/>
        <v>5.9599875263503729E-3</v>
      </c>
      <c r="S208" s="80">
        <f t="shared" si="65"/>
        <v>2.8653295128939827E-3</v>
      </c>
      <c r="T208" s="80">
        <f t="shared" si="66"/>
        <v>4.4052863436123352E-3</v>
      </c>
      <c r="U208" s="80">
        <f t="shared" si="67"/>
        <v>-0.85</v>
      </c>
      <c r="V208" s="82">
        <f t="shared" si="68"/>
        <v>0.85</v>
      </c>
    </row>
    <row r="209" spans="1:22">
      <c r="A209" s="74">
        <v>6</v>
      </c>
      <c r="B209" s="134" t="s">
        <v>211</v>
      </c>
      <c r="C209" s="135" t="s">
        <v>212</v>
      </c>
      <c r="D209" s="27">
        <v>1043973230.73</v>
      </c>
      <c r="E209" s="10">
        <f t="shared" si="62"/>
        <v>7.8710414618005653E-2</v>
      </c>
      <c r="F209" s="21">
        <v>1010</v>
      </c>
      <c r="G209" s="21">
        <v>1010</v>
      </c>
      <c r="H209" s="62">
        <v>120</v>
      </c>
      <c r="I209" s="28">
        <v>2.81E-2</v>
      </c>
      <c r="J209" s="28">
        <v>0.1099</v>
      </c>
      <c r="K209" s="27">
        <v>1045669880.79</v>
      </c>
      <c r="L209" s="10">
        <f t="shared" si="63"/>
        <v>7.8898384318470474E-2</v>
      </c>
      <c r="M209" s="21">
        <v>1111</v>
      </c>
      <c r="N209" s="21">
        <v>1111</v>
      </c>
      <c r="O209" s="62">
        <v>120</v>
      </c>
      <c r="P209" s="28">
        <v>1.6000000000000001E-3</v>
      </c>
      <c r="Q209" s="28">
        <v>0.11169999999999999</v>
      </c>
      <c r="R209" s="80">
        <f t="shared" si="64"/>
        <v>1.6251854071138946E-3</v>
      </c>
      <c r="S209" s="80">
        <f t="shared" si="65"/>
        <v>0.1</v>
      </c>
      <c r="T209" s="80">
        <f t="shared" si="66"/>
        <v>0</v>
      </c>
      <c r="U209" s="80">
        <f t="shared" si="67"/>
        <v>-2.6499999999999999E-2</v>
      </c>
      <c r="V209" s="82">
        <f t="shared" si="68"/>
        <v>1.799999999999996E-3</v>
      </c>
    </row>
    <row r="210" spans="1:22">
      <c r="A210" s="74">
        <v>7</v>
      </c>
      <c r="B210" s="134" t="s">
        <v>213</v>
      </c>
      <c r="C210" s="135" t="s">
        <v>212</v>
      </c>
      <c r="D210" s="27">
        <v>890713767.77999997</v>
      </c>
      <c r="E210" s="10">
        <f t="shared" si="62"/>
        <v>6.7155409644849173E-2</v>
      </c>
      <c r="F210" s="21">
        <v>700</v>
      </c>
      <c r="G210" s="21">
        <v>700</v>
      </c>
      <c r="H210" s="62">
        <v>563</v>
      </c>
      <c r="I210" s="28">
        <v>8.8000000000000005E-3</v>
      </c>
      <c r="J210" s="28">
        <v>0.33350000000000002</v>
      </c>
      <c r="K210" s="27">
        <v>889020327.20000005</v>
      </c>
      <c r="L210" s="10">
        <f t="shared" si="63"/>
        <v>6.7078787226199671E-2</v>
      </c>
      <c r="M210" s="21">
        <v>695</v>
      </c>
      <c r="N210" s="21">
        <v>695</v>
      </c>
      <c r="O210" s="62">
        <v>563</v>
      </c>
      <c r="P210" s="28">
        <v>-1.9E-3</v>
      </c>
      <c r="Q210" s="28">
        <v>0.33100000000000002</v>
      </c>
      <c r="R210" s="80">
        <f t="shared" si="64"/>
        <v>-1.9012174744088962E-3</v>
      </c>
      <c r="S210" s="80">
        <f t="shared" si="65"/>
        <v>-7.1428571428571426E-3</v>
      </c>
      <c r="T210" s="80">
        <f t="shared" si="66"/>
        <v>0</v>
      </c>
      <c r="U210" s="80">
        <f t="shared" si="67"/>
        <v>-1.0700000000000001E-2</v>
      </c>
      <c r="V210" s="82">
        <f t="shared" si="68"/>
        <v>-2.5000000000000022E-3</v>
      </c>
    </row>
    <row r="211" spans="1:22">
      <c r="A211" s="74">
        <v>8</v>
      </c>
      <c r="B211" s="134" t="s">
        <v>214</v>
      </c>
      <c r="C211" s="135" t="s">
        <v>215</v>
      </c>
      <c r="D211" s="27">
        <v>355891050.25999999</v>
      </c>
      <c r="E211" s="10">
        <f t="shared" si="62"/>
        <v>2.683242376360016E-2</v>
      </c>
      <c r="F211" s="21">
        <v>15.81</v>
      </c>
      <c r="G211" s="21">
        <v>15.91</v>
      </c>
      <c r="H211" s="62">
        <v>61</v>
      </c>
      <c r="I211" s="28">
        <v>-7.5499999999999998E-2</v>
      </c>
      <c r="J211" s="28">
        <v>0.53779999999999994</v>
      </c>
      <c r="K211" s="27">
        <v>356822607.86000001</v>
      </c>
      <c r="L211" s="10">
        <f t="shared" si="63"/>
        <v>2.6923150188841508E-2</v>
      </c>
      <c r="M211" s="21">
        <v>15.86</v>
      </c>
      <c r="N211" s="21">
        <v>15.96</v>
      </c>
      <c r="O211" s="62">
        <v>61</v>
      </c>
      <c r="P211" s="28">
        <v>-0.08</v>
      </c>
      <c r="Q211" s="28">
        <v>0.4148</v>
      </c>
      <c r="R211" s="80">
        <f t="shared" si="64"/>
        <v>2.6175358984707946E-3</v>
      </c>
      <c r="S211" s="80">
        <f t="shared" si="65"/>
        <v>3.1426775612822572E-3</v>
      </c>
      <c r="T211" s="80">
        <f t="shared" si="66"/>
        <v>0</v>
      </c>
      <c r="U211" s="80">
        <f t="shared" si="67"/>
        <v>-4.500000000000004E-3</v>
      </c>
      <c r="V211" s="82">
        <f t="shared" si="68"/>
        <v>-0.12299999999999994</v>
      </c>
    </row>
    <row r="212" spans="1:22">
      <c r="A212" s="74">
        <v>9</v>
      </c>
      <c r="B212" s="134" t="s">
        <v>216</v>
      </c>
      <c r="C212" s="135" t="s">
        <v>215</v>
      </c>
      <c r="D212" s="29">
        <v>694704469.40999997</v>
      </c>
      <c r="E212" s="10">
        <f t="shared" si="62"/>
        <v>5.2377278664518342E-2</v>
      </c>
      <c r="F212" s="21">
        <v>8.16</v>
      </c>
      <c r="G212" s="21">
        <v>8.26</v>
      </c>
      <c r="H212" s="62">
        <v>101</v>
      </c>
      <c r="I212" s="28">
        <v>3.1600000000000003E-2</v>
      </c>
      <c r="J212" s="28">
        <v>-7.6999999999999999E-2</v>
      </c>
      <c r="K212" s="29">
        <v>688868582.04999995</v>
      </c>
      <c r="L212" s="10">
        <f t="shared" si="63"/>
        <v>5.1976841955550072E-2</v>
      </c>
      <c r="M212" s="21">
        <v>8.16</v>
      </c>
      <c r="N212" s="21">
        <v>8.26</v>
      </c>
      <c r="O212" s="62">
        <v>101</v>
      </c>
      <c r="P212" s="28">
        <v>0</v>
      </c>
      <c r="Q212" s="28">
        <v>-7.6999999999999999E-2</v>
      </c>
      <c r="R212" s="80">
        <f t="shared" si="64"/>
        <v>-8.4005323370905174E-3</v>
      </c>
      <c r="S212" s="80">
        <f t="shared" si="65"/>
        <v>0</v>
      </c>
      <c r="T212" s="80">
        <f t="shared" si="66"/>
        <v>0</v>
      </c>
      <c r="U212" s="80">
        <f t="shared" si="67"/>
        <v>-3.1600000000000003E-2</v>
      </c>
      <c r="V212" s="82">
        <f t="shared" si="68"/>
        <v>0</v>
      </c>
    </row>
    <row r="213" spans="1:22" ht="15" customHeight="1">
      <c r="A213" s="74">
        <v>10</v>
      </c>
      <c r="B213" s="134" t="s">
        <v>217</v>
      </c>
      <c r="C213" s="135" t="s">
        <v>215</v>
      </c>
      <c r="D213" s="27">
        <v>453130914.70999998</v>
      </c>
      <c r="E213" s="10">
        <f t="shared" si="62"/>
        <v>3.4163828269926672E-2</v>
      </c>
      <c r="F213" s="21">
        <v>127.72</v>
      </c>
      <c r="G213" s="21">
        <v>129.72</v>
      </c>
      <c r="H213" s="62">
        <v>256</v>
      </c>
      <c r="I213" s="28">
        <v>0.6754</v>
      </c>
      <c r="J213" s="28">
        <v>0.92559999999999998</v>
      </c>
      <c r="K213" s="27">
        <v>454498467.66000003</v>
      </c>
      <c r="L213" s="10">
        <f t="shared" si="63"/>
        <v>3.4293035911585321E-2</v>
      </c>
      <c r="M213" s="21">
        <v>128.11000000000001</v>
      </c>
      <c r="N213" s="21">
        <v>130.11000000000001</v>
      </c>
      <c r="O213" s="62">
        <v>256</v>
      </c>
      <c r="P213" s="28">
        <v>0</v>
      </c>
      <c r="Q213" s="28">
        <v>0.92559999999999998</v>
      </c>
      <c r="R213" s="80">
        <f t="shared" si="64"/>
        <v>3.0180084951283233E-3</v>
      </c>
      <c r="S213" s="80">
        <f t="shared" si="65"/>
        <v>3.0064754856615385E-3</v>
      </c>
      <c r="T213" s="80">
        <f t="shared" si="66"/>
        <v>0</v>
      </c>
      <c r="U213" s="80">
        <f t="shared" si="67"/>
        <v>-0.6754</v>
      </c>
      <c r="V213" s="82">
        <f t="shared" si="68"/>
        <v>0</v>
      </c>
    </row>
    <row r="214" spans="1:22">
      <c r="A214" s="74">
        <v>11</v>
      </c>
      <c r="B214" s="134" t="s">
        <v>218</v>
      </c>
      <c r="C214" s="135" t="s">
        <v>215</v>
      </c>
      <c r="D214" s="27">
        <v>5409690091.9099998</v>
      </c>
      <c r="E214" s="10">
        <f t="shared" si="62"/>
        <v>0.40786385853151863</v>
      </c>
      <c r="F214" s="21">
        <v>37.25</v>
      </c>
      <c r="G214" s="21">
        <v>37.450000000000003</v>
      </c>
      <c r="H214" s="62">
        <v>272</v>
      </c>
      <c r="I214" s="28">
        <v>0</v>
      </c>
      <c r="J214" s="28">
        <v>0.34439999999999998</v>
      </c>
      <c r="K214" s="27">
        <v>5400371693.6800003</v>
      </c>
      <c r="L214" s="10">
        <f t="shared" si="63"/>
        <v>0.40747142972947792</v>
      </c>
      <c r="M214" s="21">
        <v>37.19</v>
      </c>
      <c r="N214" s="21">
        <v>37.39</v>
      </c>
      <c r="O214" s="62">
        <v>276</v>
      </c>
      <c r="P214" s="28">
        <v>0</v>
      </c>
      <c r="Q214" s="28">
        <v>0.34439999999999998</v>
      </c>
      <c r="R214" s="80">
        <f t="shared" si="64"/>
        <v>-1.7225382732986641E-3</v>
      </c>
      <c r="S214" s="80">
        <f t="shared" si="65"/>
        <v>-1.6021361815754945E-3</v>
      </c>
      <c r="T214" s="80">
        <f t="shared" si="66"/>
        <v>1.4705882352941176E-2</v>
      </c>
      <c r="U214" s="80">
        <f t="shared" si="67"/>
        <v>0</v>
      </c>
      <c r="V214" s="82">
        <f t="shared" si="68"/>
        <v>0</v>
      </c>
    </row>
    <row r="215" spans="1:22">
      <c r="A215" s="74">
        <v>12</v>
      </c>
      <c r="B215" s="134" t="s">
        <v>219</v>
      </c>
      <c r="C215" s="135" t="s">
        <v>215</v>
      </c>
      <c r="D215" s="29">
        <v>498636283.24000001</v>
      </c>
      <c r="E215" s="10">
        <f t="shared" si="62"/>
        <v>3.7594707835523294E-2</v>
      </c>
      <c r="F215" s="21">
        <v>46.97</v>
      </c>
      <c r="G215" s="21">
        <v>47.17</v>
      </c>
      <c r="H215" s="62">
        <v>58</v>
      </c>
      <c r="I215" s="28">
        <v>0</v>
      </c>
      <c r="J215" s="28">
        <v>0.77739999999999998</v>
      </c>
      <c r="K215" s="29">
        <v>499062800.12</v>
      </c>
      <c r="L215" s="10">
        <f t="shared" si="63"/>
        <v>3.7655525253507266E-2</v>
      </c>
      <c r="M215" s="21">
        <v>47.02</v>
      </c>
      <c r="N215" s="21">
        <v>47.22</v>
      </c>
      <c r="O215" s="62">
        <v>58</v>
      </c>
      <c r="P215" s="28">
        <v>0</v>
      </c>
      <c r="Q215" s="28">
        <v>0.77739999999999998</v>
      </c>
      <c r="R215" s="80">
        <f t="shared" si="64"/>
        <v>8.5536671585269937E-4</v>
      </c>
      <c r="S215" s="80">
        <f t="shared" si="65"/>
        <v>1.0599957600168997E-3</v>
      </c>
      <c r="T215" s="80">
        <f t="shared" si="66"/>
        <v>0</v>
      </c>
      <c r="U215" s="80">
        <f t="shared" si="67"/>
        <v>0</v>
      </c>
      <c r="V215" s="82">
        <f t="shared" si="68"/>
        <v>0</v>
      </c>
    </row>
    <row r="216" spans="1:22">
      <c r="A216" s="43"/>
      <c r="B216" s="43"/>
      <c r="C216" s="73" t="s">
        <v>220</v>
      </c>
      <c r="D216" s="72">
        <f>SUM(D204:D215)</f>
        <v>13263470098.545036</v>
      </c>
      <c r="E216" s="24"/>
      <c r="F216" s="24"/>
      <c r="G216" s="22"/>
      <c r="H216" s="72">
        <f>SUM(H204:H215)</f>
        <v>2134</v>
      </c>
      <c r="I216" s="23"/>
      <c r="J216" s="23"/>
      <c r="K216" s="72">
        <f>SUM(K204:K215)</f>
        <v>13253375082.678389</v>
      </c>
      <c r="L216" s="24"/>
      <c r="M216" s="24"/>
      <c r="N216" s="22"/>
      <c r="O216" s="72">
        <f>SUM(O204:O215)</f>
        <v>2139</v>
      </c>
      <c r="P216" s="23"/>
      <c r="Q216" s="23"/>
      <c r="R216" s="80">
        <f t="shared" si="64"/>
        <v>-7.6111423267393005E-4</v>
      </c>
      <c r="S216" s="80" t="e">
        <f t="shared" si="65"/>
        <v>#DIV/0!</v>
      </c>
      <c r="T216" s="80">
        <f t="shared" si="66"/>
        <v>2.3430178069353325E-3</v>
      </c>
      <c r="U216" s="80">
        <f t="shared" si="67"/>
        <v>0</v>
      </c>
      <c r="V216" s="82">
        <f t="shared" si="68"/>
        <v>0</v>
      </c>
    </row>
    <row r="217" spans="1:22">
      <c r="A217" s="87"/>
      <c r="B217" s="87"/>
      <c r="C217" s="88" t="s">
        <v>221</v>
      </c>
      <c r="D217" s="89">
        <f>SUM(D196,D201,D216)</f>
        <v>3046867193239.2422</v>
      </c>
      <c r="E217" s="90"/>
      <c r="F217" s="90"/>
      <c r="G217" s="91"/>
      <c r="H217" s="89">
        <f>SUM(H196,H201,H216)</f>
        <v>741160</v>
      </c>
      <c r="I217" s="92"/>
      <c r="J217" s="92"/>
      <c r="K217" s="89">
        <f>SUM(K196,K201,K216)</f>
        <v>3054494766152.9033</v>
      </c>
      <c r="L217" s="90"/>
      <c r="M217" s="90"/>
      <c r="N217" s="91"/>
      <c r="O217" s="89">
        <f>SUM(O196,O201,O216)</f>
        <v>742782</v>
      </c>
      <c r="P217" s="93"/>
      <c r="Q217" s="89"/>
      <c r="R217" s="94"/>
      <c r="S217" s="95"/>
      <c r="T217" s="95"/>
      <c r="U217" s="96"/>
      <c r="V217" s="96"/>
    </row>
    <row r="218" spans="1:22">
      <c r="A218" s="108" t="s">
        <v>250</v>
      </c>
      <c r="B218" s="109" t="s">
        <v>281</v>
      </c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</row>
    <row r="220" spans="1:22">
      <c r="B220" s="112"/>
      <c r="C220" s="112"/>
      <c r="D220" s="111"/>
      <c r="K220" s="111"/>
    </row>
    <row r="221" spans="1:22">
      <c r="B221" s="112"/>
      <c r="D221" s="111"/>
    </row>
  </sheetData>
  <sheetProtection algorithmName="SHA-512" hashValue="otiCsgF+SsUrKCXWSE8Xs7NHLPaXQWwBRluDGXXDyEcZ/vJ+xr71XJPqyIvaSsymZ98yZ29x2w62w4jQjCCFZQ==" saltValue="BnFinkcDZC86Pwkbbjl2yw==" spinCount="100000" sheet="1" objects="1" scenarios="1"/>
  <mergeCells count="31">
    <mergeCell ref="A202:V202"/>
    <mergeCell ref="A203:V203"/>
    <mergeCell ref="A179:V179"/>
    <mergeCell ref="A182:V182"/>
    <mergeCell ref="A183:V183"/>
    <mergeCell ref="A197:U197"/>
    <mergeCell ref="A198:V198"/>
    <mergeCell ref="A178:V178"/>
    <mergeCell ref="A100:V100"/>
    <mergeCell ref="A101:V101"/>
    <mergeCell ref="A117:V117"/>
    <mergeCell ref="A118:V118"/>
    <mergeCell ref="A132:V132"/>
    <mergeCell ref="A133:V133"/>
    <mergeCell ref="A140:V140"/>
    <mergeCell ref="A141:V141"/>
    <mergeCell ref="A171:V171"/>
    <mergeCell ref="A172:V172"/>
    <mergeCell ref="A177:V177"/>
    <mergeCell ref="A99:V99"/>
    <mergeCell ref="A1:V1"/>
    <mergeCell ref="U2:V2"/>
    <mergeCell ref="A4:V4"/>
    <mergeCell ref="A5:V5"/>
    <mergeCell ref="A24:V24"/>
    <mergeCell ref="A25:V25"/>
    <mergeCell ref="A61:V61"/>
    <mergeCell ref="A62:V62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5 E85 E67" formula="1"/>
    <ignoredError sqref="S139 S23 T35 S60 S98 S131 T149 S170 S176 S195 S216 T199:T20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29"/>
  <sheetViews>
    <sheetView workbookViewId="0">
      <selection activeCell="C2" sqref="C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8"/>
      <c r="B1" s="98"/>
      <c r="C1" s="98"/>
      <c r="D1" s="98"/>
    </row>
    <row r="2" spans="1:5" ht="33">
      <c r="A2" s="127" t="s">
        <v>222</v>
      </c>
      <c r="B2" s="136" t="s">
        <v>278</v>
      </c>
      <c r="C2" s="136" t="s">
        <v>283</v>
      </c>
      <c r="D2" s="98"/>
    </row>
    <row r="3" spans="1:5" ht="16.5">
      <c r="A3" s="137" t="s">
        <v>15</v>
      </c>
      <c r="B3" s="128">
        <f t="shared" ref="B3:C10" si="0">B13</f>
        <v>28.067702772250001</v>
      </c>
      <c r="C3" s="128">
        <f t="shared" si="0"/>
        <v>28.799678439980003</v>
      </c>
      <c r="D3" s="98"/>
    </row>
    <row r="4" spans="1:5" ht="17.25" customHeight="1">
      <c r="A4" s="129" t="s">
        <v>47</v>
      </c>
      <c r="B4" s="130">
        <f t="shared" si="0"/>
        <v>1035.71874907442</v>
      </c>
      <c r="C4" s="130">
        <f t="shared" si="0"/>
        <v>1043.3201613905101</v>
      </c>
      <c r="D4" s="98"/>
    </row>
    <row r="5" spans="1:5" ht="19.5" customHeight="1">
      <c r="A5" s="129" t="s">
        <v>223</v>
      </c>
      <c r="B5" s="128">
        <f t="shared" si="0"/>
        <v>238.31881689185349</v>
      </c>
      <c r="C5" s="128">
        <f t="shared" si="0"/>
        <v>234.98224142996105</v>
      </c>
      <c r="D5" s="98"/>
    </row>
    <row r="6" spans="1:5" ht="16.5">
      <c r="A6" s="129" t="s">
        <v>128</v>
      </c>
      <c r="B6" s="130">
        <f t="shared" si="0"/>
        <v>1422.2606705132675</v>
      </c>
      <c r="C6" s="130">
        <f t="shared" si="0"/>
        <v>1424.4710705891018</v>
      </c>
      <c r="D6" s="98"/>
    </row>
    <row r="7" spans="1:5" ht="16.5">
      <c r="A7" s="129" t="s">
        <v>224</v>
      </c>
      <c r="B7" s="128">
        <f t="shared" si="0"/>
        <v>98.697054246114547</v>
      </c>
      <c r="C7" s="128">
        <f t="shared" si="0"/>
        <v>98.69648140724729</v>
      </c>
      <c r="D7" s="98"/>
    </row>
    <row r="8" spans="1:5" ht="16.5">
      <c r="A8" s="129" t="s">
        <v>154</v>
      </c>
      <c r="B8" s="131">
        <f t="shared" si="0"/>
        <v>49.621576838562078</v>
      </c>
      <c r="C8" s="131">
        <f t="shared" si="0"/>
        <v>50.024750313981436</v>
      </c>
      <c r="D8" s="98"/>
    </row>
    <row r="9" spans="1:5" ht="16.5">
      <c r="A9" s="129" t="s">
        <v>178</v>
      </c>
      <c r="B9" s="128">
        <f t="shared" si="0"/>
        <v>5.1391824551800003</v>
      </c>
      <c r="C9" s="128">
        <f t="shared" si="0"/>
        <v>5.1678865126100009</v>
      </c>
      <c r="D9" s="98"/>
    </row>
    <row r="10" spans="1:5" ht="16.5">
      <c r="A10" s="129" t="s">
        <v>225</v>
      </c>
      <c r="B10" s="128">
        <f t="shared" si="0"/>
        <v>50.385986316249465</v>
      </c>
      <c r="C10" s="128">
        <f t="shared" si="0"/>
        <v>50.380801817423844</v>
      </c>
      <c r="D10" s="98"/>
    </row>
    <row r="11" spans="1:5" ht="16.5">
      <c r="A11" s="132"/>
      <c r="B11" s="133"/>
      <c r="C11" s="133"/>
      <c r="D11" s="98"/>
    </row>
    <row r="12" spans="1:5">
      <c r="A12" s="98"/>
      <c r="B12" s="98"/>
      <c r="C12" s="98"/>
      <c r="D12" s="98"/>
    </row>
    <row r="13" spans="1:5">
      <c r="A13" s="144" t="s">
        <v>15</v>
      </c>
      <c r="B13" s="149">
        <f>'Weekly Valuation'!D23/1000000000</f>
        <v>28.067702772250001</v>
      </c>
      <c r="C13" s="145">
        <f>'Weekly Valuation'!K23/1000000000</f>
        <v>28.799678439980003</v>
      </c>
      <c r="D13" s="98"/>
      <c r="E13" s="100"/>
    </row>
    <row r="14" spans="1:5">
      <c r="A14" s="146" t="s">
        <v>47</v>
      </c>
      <c r="B14" s="149">
        <f>'Weekly Valuation'!D60/1000000000</f>
        <v>1035.71874907442</v>
      </c>
      <c r="C14" s="147">
        <f>'Weekly Valuation'!K60/1000000000</f>
        <v>1043.3201613905101</v>
      </c>
      <c r="D14" s="98"/>
      <c r="E14" s="100"/>
    </row>
    <row r="15" spans="1:5">
      <c r="A15" s="146" t="s">
        <v>223</v>
      </c>
      <c r="B15" s="149">
        <f>'Weekly Valuation'!D98/1000000000</f>
        <v>238.31881689185349</v>
      </c>
      <c r="C15" s="145">
        <f>'Weekly Valuation'!K98/1000000000</f>
        <v>234.98224142996105</v>
      </c>
      <c r="D15" s="98"/>
      <c r="E15" s="100"/>
    </row>
    <row r="16" spans="1:5">
      <c r="A16" s="146" t="s">
        <v>128</v>
      </c>
      <c r="B16" s="149">
        <f>'Weekly Valuation'!D131/1000000000</f>
        <v>1422.2606705132675</v>
      </c>
      <c r="C16" s="147">
        <f>'Weekly Valuation'!K131/1000000000</f>
        <v>1424.4710705891018</v>
      </c>
      <c r="D16" s="98"/>
      <c r="E16" s="100"/>
    </row>
    <row r="17" spans="1:5">
      <c r="A17" s="146" t="s">
        <v>224</v>
      </c>
      <c r="B17" s="149">
        <f>'Weekly Valuation'!D139/1000000000</f>
        <v>98.697054246114547</v>
      </c>
      <c r="C17" s="145">
        <f>'Weekly Valuation'!K139/1000000000</f>
        <v>98.69648140724729</v>
      </c>
      <c r="D17" s="98"/>
      <c r="E17" s="100"/>
    </row>
    <row r="18" spans="1:5">
      <c r="A18" s="146" t="s">
        <v>154</v>
      </c>
      <c r="B18" s="149">
        <f>'Weekly Valuation'!D170/1000000000</f>
        <v>49.621576838562078</v>
      </c>
      <c r="C18" s="148">
        <f>'Weekly Valuation'!K170/1000000000</f>
        <v>50.024750313981436</v>
      </c>
      <c r="D18" s="98"/>
      <c r="E18" s="100"/>
    </row>
    <row r="19" spans="1:5">
      <c r="A19" s="146" t="s">
        <v>178</v>
      </c>
      <c r="B19" s="149">
        <f>'Weekly Valuation'!D176/1000000000</f>
        <v>5.1391824551800003</v>
      </c>
      <c r="C19" s="145">
        <f>'Weekly Valuation'!K176/1000000000</f>
        <v>5.1678865126100009</v>
      </c>
      <c r="D19" s="98"/>
      <c r="E19" s="100"/>
    </row>
    <row r="20" spans="1:5">
      <c r="A20" s="146" t="s">
        <v>225</v>
      </c>
      <c r="B20" s="149">
        <f>'Weekly Valuation'!D195/1000000000</f>
        <v>50.385986316249465</v>
      </c>
      <c r="C20" s="145">
        <f>'Weekly Valuation'!K195/1000000000</f>
        <v>50.380801817423844</v>
      </c>
      <c r="D20" s="98"/>
      <c r="E20" s="100"/>
    </row>
    <row r="21" spans="1:5" ht="16.5">
      <c r="A21" s="132"/>
      <c r="B21" s="98"/>
      <c r="C21" s="138"/>
      <c r="D21" s="98"/>
      <c r="E21" s="100"/>
    </row>
    <row r="22" spans="1:5" ht="16.5">
      <c r="A22" s="132"/>
      <c r="B22" s="98"/>
      <c r="C22" s="133"/>
      <c r="D22" s="98"/>
      <c r="E22" s="100"/>
    </row>
    <row r="23" spans="1:5" ht="16.5">
      <c r="A23" s="114"/>
      <c r="B23" s="105"/>
      <c r="C23" s="122"/>
      <c r="D23" s="100"/>
      <c r="E23" s="100"/>
    </row>
    <row r="24" spans="1:5" ht="16.5">
      <c r="A24" s="114"/>
      <c r="B24" s="105"/>
      <c r="C24" s="105"/>
      <c r="D24" s="100"/>
      <c r="E24" s="100"/>
    </row>
    <row r="25" spans="1:5" ht="16.5">
      <c r="A25" s="114"/>
      <c r="B25" s="105"/>
      <c r="C25" s="105"/>
      <c r="D25" s="100"/>
      <c r="E25" s="100"/>
    </row>
    <row r="26" spans="1:5" ht="16.5">
      <c r="A26" s="114"/>
      <c r="B26" s="105"/>
      <c r="C26" s="105"/>
      <c r="D26" s="100"/>
      <c r="E26" s="100"/>
    </row>
    <row r="27" spans="1:5" ht="16.5">
      <c r="A27" s="114"/>
      <c r="B27" s="105"/>
      <c r="C27" s="105"/>
      <c r="D27" s="100"/>
      <c r="E27" s="100"/>
    </row>
    <row r="28" spans="1:5">
      <c r="B28" s="100"/>
      <c r="C28" s="100"/>
    </row>
    <row r="29" spans="1:5">
      <c r="B29" s="100"/>
      <c r="C29" s="100"/>
    </row>
  </sheetData>
  <sheetProtection algorithmName="SHA-512" hashValue="DKNjp0mRoA0r+F34/cVP70G8w7YtJTFwygMgW0IkK9a7k9C6IzbbCLMmDxcsLKmhf4QrhWRCiqYRZ6SCqTf4gg==" saltValue="S5jATM9qpxWtb58kxCIj9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D13" sqref="D13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7" t="s">
        <v>222</v>
      </c>
      <c r="B1" s="155">
        <v>45464</v>
      </c>
      <c r="C1" s="98"/>
      <c r="D1" s="100"/>
    </row>
    <row r="2" spans="1:4" ht="16.5">
      <c r="A2" s="129" t="s">
        <v>178</v>
      </c>
      <c r="B2" s="128">
        <f>'Weekly Valuation'!K176</f>
        <v>5167886512.6100006</v>
      </c>
      <c r="C2" s="98"/>
      <c r="D2" s="100"/>
    </row>
    <row r="3" spans="1:4" ht="16.5">
      <c r="A3" s="129" t="s">
        <v>15</v>
      </c>
      <c r="B3" s="128">
        <f>'Weekly Valuation'!K23</f>
        <v>28799678439.980003</v>
      </c>
      <c r="C3" s="98"/>
      <c r="D3" s="100"/>
    </row>
    <row r="4" spans="1:4" ht="16.5">
      <c r="A4" s="129" t="s">
        <v>154</v>
      </c>
      <c r="B4" s="131">
        <f>'Weekly Valuation'!K170</f>
        <v>50024750313.981438</v>
      </c>
      <c r="C4" s="98"/>
      <c r="D4" s="100"/>
    </row>
    <row r="5" spans="1:4" ht="16.5">
      <c r="A5" s="129" t="s">
        <v>225</v>
      </c>
      <c r="B5" s="128">
        <f>'Weekly Valuation'!K195</f>
        <v>50380801817.423843</v>
      </c>
      <c r="C5" s="98"/>
      <c r="D5" s="100"/>
    </row>
    <row r="6" spans="1:4" ht="16.5">
      <c r="A6" s="129" t="s">
        <v>224</v>
      </c>
      <c r="B6" s="128">
        <f>'Weekly Valuation'!K139</f>
        <v>98696481407.247284</v>
      </c>
      <c r="C6" s="98"/>
      <c r="D6" s="100"/>
    </row>
    <row r="7" spans="1:4" ht="16.5">
      <c r="A7" s="129" t="s">
        <v>223</v>
      </c>
      <c r="B7" s="128">
        <f>'Weekly Valuation'!K98</f>
        <v>234982241429.96106</v>
      </c>
      <c r="C7" s="98"/>
      <c r="D7" s="100"/>
    </row>
    <row r="8" spans="1:4" ht="16.5">
      <c r="A8" s="129" t="s">
        <v>47</v>
      </c>
      <c r="B8" s="130">
        <f>'Weekly Valuation'!K60</f>
        <v>1043320161390.5101</v>
      </c>
      <c r="C8" s="98"/>
      <c r="D8" s="100"/>
    </row>
    <row r="9" spans="1:4" ht="16.5">
      <c r="A9" s="129" t="s">
        <v>128</v>
      </c>
      <c r="B9" s="130">
        <f>'Weekly Valuation'!K131</f>
        <v>1424471070589.1018</v>
      </c>
      <c r="C9" s="98"/>
      <c r="D9" s="100"/>
    </row>
    <row r="10" spans="1:4">
      <c r="A10" s="98"/>
      <c r="B10" s="98"/>
      <c r="C10" s="98"/>
      <c r="D10" s="100"/>
    </row>
    <row r="11" spans="1:4" ht="16.5">
      <c r="A11" s="156"/>
      <c r="B11" s="98"/>
      <c r="C11" s="98"/>
      <c r="D11" s="100"/>
    </row>
    <row r="12" spans="1:4" ht="16.5">
      <c r="A12" s="133"/>
      <c r="B12" s="98"/>
      <c r="C12" s="98"/>
      <c r="D12" s="100"/>
    </row>
    <row r="13" spans="1:4" ht="16.5">
      <c r="A13" s="133"/>
      <c r="B13" s="133"/>
      <c r="C13" s="98"/>
      <c r="D13" s="100"/>
    </row>
    <row r="14" spans="1:4" ht="16.5">
      <c r="A14" s="105"/>
      <c r="B14" s="105"/>
      <c r="C14" s="100"/>
      <c r="D14" s="100"/>
    </row>
    <row r="15" spans="1:4" ht="16.5" customHeight="1">
      <c r="A15" s="122"/>
      <c r="B15" s="122"/>
      <c r="C15" s="100"/>
      <c r="D15" s="100"/>
    </row>
    <row r="16" spans="1:4" ht="16.5">
      <c r="A16" s="105"/>
      <c r="B16" s="105"/>
      <c r="C16" s="100"/>
      <c r="D16" s="100"/>
    </row>
    <row r="17" spans="1:17" ht="16.5">
      <c r="A17" s="105"/>
      <c r="B17" s="105"/>
      <c r="C17" s="100"/>
    </row>
    <row r="18" spans="1:17" ht="16.5">
      <c r="A18" s="117"/>
      <c r="B18" s="105"/>
      <c r="C18" s="100"/>
    </row>
    <row r="19" spans="1:17" ht="16.5">
      <c r="A19" s="117"/>
      <c r="B19" s="117"/>
      <c r="C19" s="100"/>
    </row>
    <row r="20" spans="1:17" ht="16.5">
      <c r="A20" s="117"/>
      <c r="B20" s="117"/>
      <c r="C20" s="100"/>
    </row>
    <row r="21" spans="1:17" ht="16.5">
      <c r="A21" s="114"/>
      <c r="B21" s="117"/>
      <c r="C21" s="100"/>
    </row>
    <row r="22" spans="1:17" ht="16.5">
      <c r="A22" s="100"/>
      <c r="B22" s="117"/>
      <c r="C22" s="100"/>
    </row>
    <row r="23" spans="1:17">
      <c r="A23" s="100"/>
      <c r="B23" s="100"/>
      <c r="C23" s="100"/>
    </row>
    <row r="24" spans="1:17">
      <c r="A24" s="100"/>
      <c r="B24" s="100"/>
      <c r="C24" s="100"/>
    </row>
    <row r="25" spans="1:17">
      <c r="A25" s="100"/>
      <c r="B25" s="100"/>
      <c r="C25" s="100"/>
    </row>
    <row r="26" spans="1:17">
      <c r="A26" s="100"/>
      <c r="B26" s="100"/>
    </row>
    <row r="32" spans="1:17" ht="16.5" customHeight="1">
      <c r="A32" s="171" t="s">
        <v>284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06"/>
    </row>
    <row r="33" spans="1:17" ht="1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06"/>
    </row>
  </sheetData>
  <sheetProtection algorithmName="SHA-512" hashValue="aK3HQZEp/48WFcmD2xLK0gtTCQ5/IA/JNHsJx9Z7nCv4keER0mbcKcRNlMoVhhX9tdVY2/oGCZm4gKJyVR9xPQ==" saltValue="R4LxAQ5mNQpBF9tJRRaLeg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C1" sqref="C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  <c r="M1" s="100"/>
    </row>
    <row r="2" spans="1:13">
      <c r="A2" s="139" t="s">
        <v>233</v>
      </c>
      <c r="B2" s="140">
        <v>45415</v>
      </c>
      <c r="C2" s="140">
        <v>45422</v>
      </c>
      <c r="D2" s="140">
        <v>45429</v>
      </c>
      <c r="E2" s="140">
        <v>45436</v>
      </c>
      <c r="F2" s="140">
        <v>45443</v>
      </c>
      <c r="G2" s="140">
        <v>45450</v>
      </c>
      <c r="H2" s="140">
        <v>45457</v>
      </c>
      <c r="I2" s="140">
        <v>45464</v>
      </c>
      <c r="J2" s="98"/>
      <c r="K2" s="100"/>
      <c r="L2" s="100"/>
      <c r="M2" s="100"/>
    </row>
    <row r="3" spans="1:13">
      <c r="A3" s="139" t="s">
        <v>234</v>
      </c>
      <c r="B3" s="141">
        <f t="shared" ref="B3:I3" si="0">B4</f>
        <v>2732.0956989192559</v>
      </c>
      <c r="C3" s="141">
        <f t="shared" si="0"/>
        <v>2805.3798287181139</v>
      </c>
      <c r="D3" s="141">
        <f t="shared" si="0"/>
        <v>2882.6977794869722</v>
      </c>
      <c r="E3" s="141">
        <f t="shared" si="0"/>
        <v>2856.7177691570346</v>
      </c>
      <c r="F3" s="141">
        <f t="shared" si="0"/>
        <v>2902.1598706044138</v>
      </c>
      <c r="G3" s="141">
        <f t="shared" si="0"/>
        <v>2910.8781340479409</v>
      </c>
      <c r="H3" s="141">
        <f t="shared" si="0"/>
        <v>2928.2097391078973</v>
      </c>
      <c r="I3" s="141">
        <f t="shared" si="0"/>
        <v>2935.8430719008147</v>
      </c>
      <c r="J3" s="98"/>
      <c r="K3" s="100"/>
      <c r="L3" s="100"/>
      <c r="M3" s="100"/>
    </row>
    <row r="4" spans="1:13">
      <c r="A4" s="98"/>
      <c r="B4" s="142">
        <f>'NAV Trend'!C10/1000000000</f>
        <v>2732.0956989192559</v>
      </c>
      <c r="C4" s="142">
        <f>'NAV Trend'!D10/1000000000</f>
        <v>2805.3798287181139</v>
      </c>
      <c r="D4" s="142">
        <f>'NAV Trend'!E10/1000000000</f>
        <v>2882.6977794869722</v>
      </c>
      <c r="E4" s="142">
        <f>'NAV Trend'!F10/1000000000</f>
        <v>2856.7177691570346</v>
      </c>
      <c r="F4" s="142">
        <f>'NAV Trend'!G10/1000000000</f>
        <v>2902.1598706044138</v>
      </c>
      <c r="G4" s="142">
        <f>'NAV Trend'!H10/1000000000</f>
        <v>2910.8781340479409</v>
      </c>
      <c r="H4" s="143">
        <f>'NAV Trend'!I10/1000000000</f>
        <v>2928.2097391078973</v>
      </c>
      <c r="I4" s="143">
        <f>'NAV Trend'!J10/1000000000</f>
        <v>2935.8430719008147</v>
      </c>
      <c r="J4" s="98"/>
      <c r="K4" s="100"/>
      <c r="L4" s="100"/>
      <c r="M4" s="100"/>
    </row>
    <row r="5" spans="1:13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</row>
    <row r="6" spans="1:1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3">
      <c r="A7" s="100"/>
      <c r="B7" s="100"/>
      <c r="C7" s="100"/>
      <c r="D7" s="100"/>
      <c r="E7" s="100"/>
      <c r="F7" s="100"/>
      <c r="G7" s="100"/>
      <c r="H7" s="100"/>
      <c r="I7" s="100"/>
      <c r="J7" s="100"/>
    </row>
  </sheetData>
  <sheetProtection algorithmName="SHA-512" hashValue="+OzcywH3PwQLW0s8W8HRtuzF+I+4h7qswMgCSJVggxrQd012B5zgqhvVCBauHPUrxdQq05ig3BrbLVIIOSaLrw==" saltValue="gVUQu1/5GfVG8KDVUaZ0B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B2" sqref="B2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8"/>
      <c r="B1" s="98"/>
      <c r="C1" s="98"/>
      <c r="D1" s="98"/>
      <c r="E1" s="98"/>
      <c r="F1" s="98"/>
      <c r="G1" s="98"/>
      <c r="H1" s="98"/>
      <c r="I1" s="98"/>
      <c r="J1" s="98"/>
      <c r="K1" s="100"/>
      <c r="L1" s="100"/>
    </row>
    <row r="2" spans="1:12">
      <c r="A2" s="139" t="s">
        <v>233</v>
      </c>
      <c r="B2" s="140">
        <v>45415</v>
      </c>
      <c r="C2" s="140">
        <v>45422</v>
      </c>
      <c r="D2" s="140">
        <v>45429</v>
      </c>
      <c r="E2" s="140">
        <v>45436</v>
      </c>
      <c r="F2" s="140">
        <v>45443</v>
      </c>
      <c r="G2" s="140">
        <v>45450</v>
      </c>
      <c r="H2" s="140">
        <v>45457</v>
      </c>
      <c r="I2" s="140">
        <v>45464</v>
      </c>
      <c r="J2" s="98"/>
      <c r="K2" s="100"/>
      <c r="L2" s="100"/>
    </row>
    <row r="3" spans="1:12">
      <c r="A3" s="139" t="s">
        <v>265</v>
      </c>
      <c r="B3" s="141">
        <f t="shared" ref="B3:I3" si="0">B4</f>
        <v>13.067918239830002</v>
      </c>
      <c r="C3" s="141">
        <f t="shared" si="0"/>
        <v>13.03449671834</v>
      </c>
      <c r="D3" s="141">
        <f t="shared" si="0"/>
        <v>13.029745632197505</v>
      </c>
      <c r="E3" s="141">
        <f t="shared" si="0"/>
        <v>12.86344406107283</v>
      </c>
      <c r="F3" s="141">
        <f t="shared" si="0"/>
        <v>13.116887577834783</v>
      </c>
      <c r="G3" s="141">
        <f t="shared" si="0"/>
        <v>13.08808103006</v>
      </c>
      <c r="H3" s="141">
        <f t="shared" si="0"/>
        <v>13.263470098545037</v>
      </c>
      <c r="I3" s="141">
        <f t="shared" si="0"/>
        <v>13.253375082678389</v>
      </c>
      <c r="J3" s="98"/>
      <c r="K3" s="100"/>
      <c r="L3" s="100"/>
    </row>
    <row r="4" spans="1:12">
      <c r="A4" s="98"/>
      <c r="B4" s="142">
        <f>'NAV Trend'!C16/1000000000</f>
        <v>13.067918239830002</v>
      </c>
      <c r="C4" s="142">
        <f>'NAV Trend'!D16/1000000000</f>
        <v>13.03449671834</v>
      </c>
      <c r="D4" s="142">
        <f>'NAV Trend'!E16/1000000000</f>
        <v>13.029745632197505</v>
      </c>
      <c r="E4" s="142">
        <f>'NAV Trend'!F16/1000000000</f>
        <v>12.86344406107283</v>
      </c>
      <c r="F4" s="142">
        <f>'NAV Trend'!G16/1000000000</f>
        <v>13.116887577834783</v>
      </c>
      <c r="G4" s="142">
        <f>'NAV Trend'!H16/1000000000</f>
        <v>13.08808103006</v>
      </c>
      <c r="H4" s="142">
        <f>'NAV Trend'!I16/1000000000</f>
        <v>13.263470098545037</v>
      </c>
      <c r="I4" s="143">
        <f>'NAV Trend'!J16/1000000000</f>
        <v>13.253375082678389</v>
      </c>
      <c r="J4" s="98"/>
      <c r="K4" s="100"/>
      <c r="L4" s="100"/>
    </row>
    <row r="5" spans="1:12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</row>
    <row r="6" spans="1:1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</sheetData>
  <sheetProtection algorithmName="SHA-512" hashValue="0XxEARih+N2gI1RjtlaaOSqbva6BKpLTJdEKr7wh6UP9Rcx7QuxL46NFdyaRXlth6QB11R6K4/Wlu830TVdzHg==" saltValue="+LANlmjmhV3thaIxoL54m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45408</v>
      </c>
      <c r="C1" s="45">
        <v>45415</v>
      </c>
      <c r="D1" s="45">
        <v>45422</v>
      </c>
      <c r="E1" s="45">
        <v>45429</v>
      </c>
      <c r="F1" s="45">
        <v>45436</v>
      </c>
      <c r="G1" s="45">
        <v>45443</v>
      </c>
      <c r="H1" s="45">
        <v>45450</v>
      </c>
      <c r="I1" s="45">
        <v>45457</v>
      </c>
      <c r="J1" s="45">
        <v>45464</v>
      </c>
    </row>
    <row r="2" spans="1:11" ht="16.5">
      <c r="A2" s="46" t="s">
        <v>15</v>
      </c>
      <c r="B2" s="47">
        <v>26264049012.868401</v>
      </c>
      <c r="C2" s="47">
        <v>27319052490.226498</v>
      </c>
      <c r="D2" s="126">
        <v>27676372012.243797</v>
      </c>
      <c r="E2" s="126">
        <v>27187812730.4636</v>
      </c>
      <c r="F2" s="126">
        <v>26745861363.273003</v>
      </c>
      <c r="G2" s="126">
        <v>27654216011.584301</v>
      </c>
      <c r="H2" s="126">
        <v>27684716686.990002</v>
      </c>
      <c r="I2" s="126">
        <v>28067702772.25</v>
      </c>
      <c r="J2" s="126">
        <v>28799678439.980003</v>
      </c>
    </row>
    <row r="3" spans="1:11" ht="16.5">
      <c r="A3" s="46" t="s">
        <v>47</v>
      </c>
      <c r="B3" s="126">
        <v>929998159930.67285</v>
      </c>
      <c r="C3" s="126">
        <v>943173062252.88904</v>
      </c>
      <c r="D3" s="126">
        <v>959754142868.04614</v>
      </c>
      <c r="E3" s="126">
        <v>974788648500.33569</v>
      </c>
      <c r="F3" s="126">
        <v>984566121728.51306</v>
      </c>
      <c r="G3" s="126">
        <v>1008157528628.0232</v>
      </c>
      <c r="H3" s="126">
        <v>1019331524884.9598</v>
      </c>
      <c r="I3" s="126">
        <v>1035718749074.4199</v>
      </c>
      <c r="J3" s="126">
        <v>1043320161390.5101</v>
      </c>
    </row>
    <row r="4" spans="1:11" ht="16.5">
      <c r="A4" s="46" t="s">
        <v>223</v>
      </c>
      <c r="B4" s="125">
        <v>259455612091.81857</v>
      </c>
      <c r="C4" s="125">
        <v>257291528161.24875</v>
      </c>
      <c r="D4" s="125">
        <v>246839006741.43805</v>
      </c>
      <c r="E4" s="125">
        <v>244017171187.90228</v>
      </c>
      <c r="F4" s="125">
        <v>239747208262.17911</v>
      </c>
      <c r="G4" s="125">
        <v>239139059960.20239</v>
      </c>
      <c r="H4" s="125">
        <v>238984928037.17987</v>
      </c>
      <c r="I4" s="125">
        <v>238318816891.85349</v>
      </c>
      <c r="J4" s="125">
        <v>234982241429.96106</v>
      </c>
    </row>
    <row r="5" spans="1:11" ht="16.5">
      <c r="A5" s="46" t="s">
        <v>128</v>
      </c>
      <c r="B5" s="126">
        <v>1242707828226.4185</v>
      </c>
      <c r="C5" s="126">
        <v>1300480857237.7634</v>
      </c>
      <c r="D5" s="126">
        <v>1366888956827.947</v>
      </c>
      <c r="E5" s="126">
        <v>1433100293468.5864</v>
      </c>
      <c r="F5" s="126">
        <v>1403942641631.5686</v>
      </c>
      <c r="G5" s="126">
        <v>1423985113076.9678</v>
      </c>
      <c r="H5" s="126">
        <v>1421592979861.6797</v>
      </c>
      <c r="I5" s="126">
        <v>1422260670513.2676</v>
      </c>
      <c r="J5" s="126">
        <v>1424471070589.1018</v>
      </c>
    </row>
    <row r="6" spans="1:11" ht="16.5">
      <c r="A6" s="46" t="s">
        <v>224</v>
      </c>
      <c r="B6" s="47">
        <v>100037877390.68518</v>
      </c>
      <c r="C6" s="47">
        <v>99185326803.116425</v>
      </c>
      <c r="D6" s="47">
        <v>99061132410.269897</v>
      </c>
      <c r="E6" s="47">
        <v>99095338201.223831</v>
      </c>
      <c r="F6" s="47">
        <v>98590301385.434418</v>
      </c>
      <c r="G6" s="47">
        <v>98591493716.940277</v>
      </c>
      <c r="H6" s="47">
        <v>98650430272.592407</v>
      </c>
      <c r="I6" s="47">
        <v>98697054246.114548</v>
      </c>
      <c r="J6" s="47">
        <v>98696481407.247284</v>
      </c>
    </row>
    <row r="7" spans="1:11" ht="16.5">
      <c r="A7" s="46" t="s">
        <v>154</v>
      </c>
      <c r="B7" s="48">
        <v>47381646798.600899</v>
      </c>
      <c r="C7" s="48">
        <v>48298812075.103348</v>
      </c>
      <c r="D7" s="48">
        <v>49028772091.292122</v>
      </c>
      <c r="E7" s="48">
        <v>48528341927.034386</v>
      </c>
      <c r="F7" s="48">
        <v>47384871316.741325</v>
      </c>
      <c r="G7" s="48">
        <v>48530220711.204056</v>
      </c>
      <c r="H7" s="48">
        <v>48611257159.725822</v>
      </c>
      <c r="I7" s="48">
        <v>49621576838.56208</v>
      </c>
      <c r="J7" s="48">
        <v>50024750313.981438</v>
      </c>
    </row>
    <row r="8" spans="1:11" ht="16.5">
      <c r="A8" s="46" t="s">
        <v>178</v>
      </c>
      <c r="B8" s="47">
        <v>4722955841.5799999</v>
      </c>
      <c r="C8" s="47">
        <v>4807945930.6199999</v>
      </c>
      <c r="D8" s="47">
        <v>4887347689.7399998</v>
      </c>
      <c r="E8" s="47">
        <v>4791752838.1499996</v>
      </c>
      <c r="F8" s="47">
        <v>4763237841.7700005</v>
      </c>
      <c r="G8" s="47">
        <v>4908750285.25</v>
      </c>
      <c r="H8" s="47">
        <v>4967557316.1199999</v>
      </c>
      <c r="I8" s="47">
        <v>5139182455.1800003</v>
      </c>
      <c r="J8" s="47">
        <v>5167886512.6100006</v>
      </c>
    </row>
    <row r="9" spans="1:11" ht="16.5">
      <c r="A9" s="46" t="s">
        <v>225</v>
      </c>
      <c r="B9" s="47">
        <v>51625845610.938026</v>
      </c>
      <c r="C9" s="47">
        <v>51539113968.28791</v>
      </c>
      <c r="D9" s="47">
        <v>51244098077.136551</v>
      </c>
      <c r="E9" s="47">
        <v>51188420633.276352</v>
      </c>
      <c r="F9" s="47">
        <v>50977525627.555077</v>
      </c>
      <c r="G9" s="47">
        <v>51193488214.241379</v>
      </c>
      <c r="H9" s="47">
        <v>51054739828.693481</v>
      </c>
      <c r="I9" s="47">
        <v>50385986316.249466</v>
      </c>
      <c r="J9" s="47">
        <v>50380801817.423843</v>
      </c>
    </row>
    <row r="10" spans="1:11" ht="15.75">
      <c r="A10" s="49" t="s">
        <v>226</v>
      </c>
      <c r="B10" s="50">
        <f t="shared" ref="B10:I10" si="0">SUM(B2:B9)</f>
        <v>2662193974903.5825</v>
      </c>
      <c r="C10" s="50">
        <f t="shared" si="0"/>
        <v>2732095698919.2559</v>
      </c>
      <c r="D10" s="50">
        <f t="shared" si="0"/>
        <v>2805379828718.1138</v>
      </c>
      <c r="E10" s="50">
        <f t="shared" si="0"/>
        <v>2882697779486.9722</v>
      </c>
      <c r="F10" s="50">
        <f t="shared" si="0"/>
        <v>2856717769157.0347</v>
      </c>
      <c r="G10" s="50">
        <f t="shared" si="0"/>
        <v>2902159870604.4136</v>
      </c>
      <c r="H10" s="50">
        <f t="shared" si="0"/>
        <v>2910878134047.9409</v>
      </c>
      <c r="I10" s="50">
        <f t="shared" si="0"/>
        <v>2928209739107.8975</v>
      </c>
      <c r="J10" s="50">
        <f>SUM(J2:J9)</f>
        <v>2935843071900.8149</v>
      </c>
    </row>
    <row r="11" spans="1:11" ht="16.5">
      <c r="A11" s="51"/>
      <c r="B11" s="52"/>
      <c r="C11" s="52"/>
      <c r="D11" s="52"/>
      <c r="E11" s="52"/>
      <c r="F11" s="52"/>
      <c r="G11" s="52"/>
      <c r="H11" s="52"/>
      <c r="I11" s="51"/>
      <c r="J11" s="51"/>
    </row>
    <row r="12" spans="1:11" ht="15.75">
      <c r="A12" s="53" t="s">
        <v>227</v>
      </c>
      <c r="B12" s="54" t="s">
        <v>228</v>
      </c>
      <c r="C12" s="55">
        <f>(B10+C10)/2</f>
        <v>2697144836911.4189</v>
      </c>
      <c r="D12" s="56">
        <f t="shared" ref="D12:J12" si="1">(C10+D10)/2</f>
        <v>2768737763818.6846</v>
      </c>
      <c r="E12" s="56">
        <f t="shared" si="1"/>
        <v>2844038804102.543</v>
      </c>
      <c r="F12" s="56">
        <f t="shared" si="1"/>
        <v>2869707774322.0034</v>
      </c>
      <c r="G12" s="56">
        <f>(F10+G10)/2</f>
        <v>2879438819880.7241</v>
      </c>
      <c r="H12" s="56">
        <f t="shared" si="1"/>
        <v>2906519002326.1772</v>
      </c>
      <c r="I12" s="56">
        <f t="shared" si="1"/>
        <v>2919543936577.9189</v>
      </c>
      <c r="J12" s="56">
        <f t="shared" si="1"/>
        <v>2932026405504.3564</v>
      </c>
    </row>
    <row r="13" spans="1:11">
      <c r="C13" s="100"/>
      <c r="D13" s="100"/>
      <c r="E13" s="100"/>
      <c r="F13" s="100"/>
      <c r="G13" s="100"/>
      <c r="H13" s="100"/>
      <c r="I13" s="100"/>
      <c r="J13" s="100"/>
      <c r="K13" s="100"/>
    </row>
    <row r="14" spans="1:1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 ht="16.5">
      <c r="A15" s="100"/>
      <c r="B15" s="45">
        <v>45408</v>
      </c>
      <c r="C15" s="45">
        <v>45415</v>
      </c>
      <c r="D15" s="45">
        <v>45422</v>
      </c>
      <c r="E15" s="45">
        <v>45429</v>
      </c>
      <c r="F15" s="45">
        <v>45436</v>
      </c>
      <c r="G15" s="45">
        <v>45443</v>
      </c>
      <c r="H15" s="45">
        <v>45450</v>
      </c>
      <c r="I15" s="45">
        <v>45457</v>
      </c>
      <c r="J15" s="45">
        <v>45464</v>
      </c>
      <c r="K15" s="100"/>
    </row>
    <row r="16" spans="1:11" ht="16.5">
      <c r="A16" s="121" t="s">
        <v>264</v>
      </c>
      <c r="B16" s="124">
        <v>12735357486.958618</v>
      </c>
      <c r="C16" s="124">
        <v>13067918239.830002</v>
      </c>
      <c r="D16" s="124">
        <v>13034496718.34</v>
      </c>
      <c r="E16" s="124">
        <v>13029745632.197506</v>
      </c>
      <c r="F16" s="124">
        <v>12863444061.07283</v>
      </c>
      <c r="G16" s="124">
        <v>13116887577.834784</v>
      </c>
      <c r="H16" s="124">
        <v>13088081030.059999</v>
      </c>
      <c r="I16" s="124">
        <v>13263470098.545036</v>
      </c>
      <c r="J16" s="124">
        <v>13253375082.678389</v>
      </c>
      <c r="K16" s="100"/>
    </row>
    <row r="17" spans="1:1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>
      <c r="A18" s="100"/>
      <c r="B18" s="100"/>
      <c r="C18" s="123"/>
      <c r="D18" s="123"/>
      <c r="E18" s="123"/>
      <c r="F18" s="123"/>
      <c r="G18" s="123"/>
      <c r="H18" s="123"/>
      <c r="I18" s="123"/>
      <c r="J18" s="123"/>
      <c r="K18" s="100"/>
    </row>
    <row r="19" spans="1:1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>
      <c r="B22" s="100"/>
      <c r="C22" s="100"/>
      <c r="D22" s="100"/>
      <c r="E22" s="100"/>
      <c r="F22" s="100"/>
      <c r="G22" s="100"/>
      <c r="H22" s="100"/>
      <c r="I22" s="100"/>
      <c r="J22" s="100"/>
      <c r="K22" s="98"/>
    </row>
  </sheetData>
  <sheetProtection algorithmName="SHA-512" hashValue="4fAPwvi34Z6JgHt+BX8kAog1pGYh8ErzybckYqWGkVPlruDa1XQvLmkCjBLnpoRqq9iZPaEukHlQ+IDwFQ+zbA==" saltValue="qdqS8c55yvYY5sk0iFjPD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2024-06-28T08:21:26Z</dcterms:modified>
</cp:coreProperties>
</file>