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saac\Desktop\Weekly NAV\"/>
    </mc:Choice>
  </mc:AlternateContent>
  <bookViews>
    <workbookView xWindow="0" yWindow="0" windowWidth="12672" windowHeight="9636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calcPr calcId="162913"/>
</workbook>
</file>

<file path=xl/calcChain.xml><?xml version="1.0" encoding="utf-8"?>
<calcChain xmlns="http://schemas.openxmlformats.org/spreadsheetml/2006/main">
  <c r="V71" i="1" l="1"/>
  <c r="N113" i="1" l="1"/>
  <c r="M113" i="1"/>
  <c r="K113" i="1"/>
  <c r="N131" i="1" l="1"/>
  <c r="M131" i="1"/>
  <c r="N129" i="1" l="1"/>
  <c r="M129" i="1"/>
  <c r="K129" i="1"/>
  <c r="N111" i="1" l="1"/>
  <c r="M111" i="1"/>
  <c r="K111" i="1"/>
  <c r="N136" i="1" l="1"/>
  <c r="M136" i="1"/>
  <c r="K136" i="1"/>
  <c r="N110" i="1"/>
  <c r="M110" i="1"/>
  <c r="K110" i="1"/>
  <c r="N117" i="1" l="1"/>
  <c r="M117" i="1"/>
  <c r="K117" i="1"/>
  <c r="N112" i="1" l="1"/>
  <c r="M112" i="1"/>
  <c r="K112" i="1"/>
  <c r="N124" i="1" l="1"/>
  <c r="M124" i="1"/>
  <c r="K124" i="1"/>
  <c r="N132" i="1"/>
  <c r="M132" i="1"/>
  <c r="K132" i="1"/>
  <c r="N109" i="1"/>
  <c r="M109" i="1"/>
  <c r="K109" i="1"/>
  <c r="N134" i="1" l="1"/>
  <c r="M134" i="1"/>
  <c r="K134" i="1"/>
  <c r="N121" i="1"/>
  <c r="M121" i="1"/>
  <c r="K121" i="1"/>
  <c r="N108" i="1" l="1"/>
  <c r="M108" i="1"/>
  <c r="K108" i="1"/>
  <c r="N120" i="1"/>
  <c r="M120" i="1"/>
  <c r="K120" i="1"/>
  <c r="N118" i="1" l="1"/>
  <c r="M118" i="1"/>
  <c r="K118" i="1"/>
  <c r="N130" i="1"/>
  <c r="M130" i="1"/>
  <c r="K130" i="1"/>
  <c r="N119" i="1" l="1"/>
  <c r="M119" i="1"/>
  <c r="K119" i="1"/>
  <c r="N125" i="1"/>
  <c r="M125" i="1"/>
  <c r="K125" i="1"/>
  <c r="N107" i="1"/>
  <c r="M107" i="1"/>
  <c r="K107" i="1"/>
  <c r="V46" i="1"/>
  <c r="U46" i="1"/>
  <c r="T46" i="1"/>
  <c r="S46" i="1"/>
  <c r="R46" i="1"/>
  <c r="N128" i="1"/>
  <c r="M128" i="1"/>
  <c r="G136" i="1" l="1"/>
  <c r="F136" i="1"/>
  <c r="G134" i="1"/>
  <c r="F134" i="1"/>
  <c r="G132" i="1"/>
  <c r="F132" i="1"/>
  <c r="G131" i="1"/>
  <c r="F131" i="1"/>
  <c r="G130" i="1"/>
  <c r="F130" i="1"/>
  <c r="G129" i="1"/>
  <c r="F129" i="1"/>
  <c r="G128" i="1"/>
  <c r="F128" i="1"/>
  <c r="G125" i="1"/>
  <c r="F125" i="1"/>
  <c r="G124" i="1"/>
  <c r="F124" i="1"/>
  <c r="D136" i="1"/>
  <c r="D134" i="1"/>
  <c r="D132" i="1"/>
  <c r="D130" i="1"/>
  <c r="D129" i="1"/>
  <c r="D125" i="1"/>
  <c r="D124" i="1"/>
  <c r="G121" i="1"/>
  <c r="F121" i="1"/>
  <c r="G120" i="1"/>
  <c r="F120" i="1"/>
  <c r="G119" i="1"/>
  <c r="F119" i="1"/>
  <c r="G118" i="1"/>
  <c r="F118" i="1"/>
  <c r="G117" i="1"/>
  <c r="F117" i="1"/>
  <c r="G113" i="1"/>
  <c r="F113" i="1"/>
  <c r="G112" i="1"/>
  <c r="F112" i="1"/>
  <c r="G111" i="1"/>
  <c r="F111" i="1"/>
  <c r="G110" i="1"/>
  <c r="F110" i="1"/>
  <c r="G109" i="1"/>
  <c r="F109" i="1"/>
  <c r="G108" i="1"/>
  <c r="F108" i="1"/>
  <c r="G107" i="1"/>
  <c r="F107" i="1"/>
  <c r="D121" i="1"/>
  <c r="D120" i="1"/>
  <c r="D119" i="1"/>
  <c r="D118" i="1"/>
  <c r="D117" i="1"/>
  <c r="D113" i="1"/>
  <c r="D112" i="1"/>
  <c r="D111" i="1"/>
  <c r="D110" i="1"/>
  <c r="D109" i="1"/>
  <c r="D108" i="1"/>
  <c r="D107" i="1"/>
  <c r="J10" i="4" l="1"/>
  <c r="I4" i="5" s="1"/>
  <c r="I3" i="5" s="1"/>
  <c r="I10" i="4"/>
  <c r="H10" i="4"/>
  <c r="G10" i="4"/>
  <c r="H12" i="4" s="1"/>
  <c r="F10" i="4"/>
  <c r="E4" i="5" s="1"/>
  <c r="E3" i="5" s="1"/>
  <c r="E10" i="4"/>
  <c r="F12" i="4" s="1"/>
  <c r="D10" i="4"/>
  <c r="E12" i="4" s="1"/>
  <c r="C10" i="4"/>
  <c r="B4" i="5" s="1"/>
  <c r="B3" i="5" s="1"/>
  <c r="B10" i="4"/>
  <c r="C12" i="4" s="1"/>
  <c r="I4" i="6"/>
  <c r="I3" i="6" s="1"/>
  <c r="H4" i="6"/>
  <c r="H3" i="6" s="1"/>
  <c r="G4" i="6"/>
  <c r="G3" i="6" s="1"/>
  <c r="F4" i="6"/>
  <c r="F3" i="6" s="1"/>
  <c r="E4" i="6"/>
  <c r="E3" i="6" s="1"/>
  <c r="D4" i="6"/>
  <c r="D3" i="6" s="1"/>
  <c r="C4" i="6"/>
  <c r="B4" i="6"/>
  <c r="B3" i="6" s="1"/>
  <c r="C3" i="6"/>
  <c r="G4" i="5"/>
  <c r="G3" i="5" s="1"/>
  <c r="F4" i="5"/>
  <c r="F3" i="5" s="1"/>
  <c r="V231" i="1"/>
  <c r="U231" i="1"/>
  <c r="S231" i="1"/>
  <c r="O231" i="1"/>
  <c r="K231" i="1"/>
  <c r="H231" i="1"/>
  <c r="D231" i="1"/>
  <c r="E229" i="1" s="1"/>
  <c r="V230" i="1"/>
  <c r="U230" i="1"/>
  <c r="T230" i="1"/>
  <c r="S230" i="1"/>
  <c r="R230" i="1"/>
  <c r="V229" i="1"/>
  <c r="U229" i="1"/>
  <c r="T229" i="1"/>
  <c r="S229" i="1"/>
  <c r="R229" i="1"/>
  <c r="V228" i="1"/>
  <c r="U228" i="1"/>
  <c r="T228" i="1"/>
  <c r="S228" i="1"/>
  <c r="R228" i="1"/>
  <c r="V227" i="1"/>
  <c r="U227" i="1"/>
  <c r="T227" i="1"/>
  <c r="S227" i="1"/>
  <c r="R227" i="1"/>
  <c r="V226" i="1"/>
  <c r="U226" i="1"/>
  <c r="T226" i="1"/>
  <c r="S226" i="1"/>
  <c r="R226" i="1"/>
  <c r="V225" i="1"/>
  <c r="U225" i="1"/>
  <c r="T225" i="1"/>
  <c r="S225" i="1"/>
  <c r="R225" i="1"/>
  <c r="V224" i="1"/>
  <c r="U224" i="1"/>
  <c r="T224" i="1"/>
  <c r="S224" i="1"/>
  <c r="R224" i="1"/>
  <c r="V223" i="1"/>
  <c r="U223" i="1"/>
  <c r="T223" i="1"/>
  <c r="S223" i="1"/>
  <c r="R223" i="1"/>
  <c r="V222" i="1"/>
  <c r="U222" i="1"/>
  <c r="T222" i="1"/>
  <c r="S222" i="1"/>
  <c r="R222" i="1"/>
  <c r="V221" i="1"/>
  <c r="U221" i="1"/>
  <c r="T221" i="1"/>
  <c r="S221" i="1"/>
  <c r="R221" i="1"/>
  <c r="V220" i="1"/>
  <c r="U220" i="1"/>
  <c r="T220" i="1"/>
  <c r="S220" i="1"/>
  <c r="R220" i="1"/>
  <c r="V219" i="1"/>
  <c r="U219" i="1"/>
  <c r="T219" i="1"/>
  <c r="S219" i="1"/>
  <c r="R219" i="1"/>
  <c r="O216" i="1"/>
  <c r="K216" i="1"/>
  <c r="L215" i="1" s="1"/>
  <c r="H216" i="1"/>
  <c r="D216" i="1"/>
  <c r="E215" i="1" s="1"/>
  <c r="V215" i="1"/>
  <c r="U215" i="1"/>
  <c r="T215" i="1"/>
  <c r="S215" i="1"/>
  <c r="R215" i="1"/>
  <c r="V214" i="1"/>
  <c r="U214" i="1"/>
  <c r="T214" i="1"/>
  <c r="S214" i="1"/>
  <c r="R214" i="1"/>
  <c r="O211" i="1"/>
  <c r="K211" i="1"/>
  <c r="L210" i="1" s="1"/>
  <c r="H211" i="1"/>
  <c r="D211" i="1"/>
  <c r="V210" i="1"/>
  <c r="U210" i="1"/>
  <c r="T210" i="1"/>
  <c r="S210" i="1"/>
  <c r="R210" i="1"/>
  <c r="V206" i="1"/>
  <c r="U206" i="1"/>
  <c r="S206" i="1"/>
  <c r="O206" i="1"/>
  <c r="K206" i="1"/>
  <c r="H206" i="1"/>
  <c r="D206" i="1"/>
  <c r="B20" i="2" s="1"/>
  <c r="B10" i="2" s="1"/>
  <c r="V205" i="1"/>
  <c r="U205" i="1"/>
  <c r="T205" i="1"/>
  <c r="S205" i="1"/>
  <c r="R205" i="1"/>
  <c r="V202" i="1"/>
  <c r="U202" i="1"/>
  <c r="T202" i="1"/>
  <c r="S202" i="1"/>
  <c r="R202" i="1"/>
  <c r="V201" i="1"/>
  <c r="U201" i="1"/>
  <c r="T201" i="1"/>
  <c r="S201" i="1"/>
  <c r="R201" i="1"/>
  <c r="V200" i="1"/>
  <c r="U200" i="1"/>
  <c r="T200" i="1"/>
  <c r="S200" i="1"/>
  <c r="R200" i="1"/>
  <c r="V199" i="1"/>
  <c r="U199" i="1"/>
  <c r="T199" i="1"/>
  <c r="S199" i="1"/>
  <c r="R199" i="1"/>
  <c r="V198" i="1"/>
  <c r="U198" i="1"/>
  <c r="T198" i="1"/>
  <c r="S198" i="1"/>
  <c r="R198" i="1"/>
  <c r="V197" i="1"/>
  <c r="U197" i="1"/>
  <c r="T197" i="1"/>
  <c r="S197" i="1"/>
  <c r="R197" i="1"/>
  <c r="V196" i="1"/>
  <c r="U196" i="1"/>
  <c r="T196" i="1"/>
  <c r="S196" i="1"/>
  <c r="R196" i="1"/>
  <c r="V195" i="1"/>
  <c r="U195" i="1"/>
  <c r="T195" i="1"/>
  <c r="S195" i="1"/>
  <c r="R195" i="1"/>
  <c r="V194" i="1"/>
  <c r="U194" i="1"/>
  <c r="T194" i="1"/>
  <c r="S194" i="1"/>
  <c r="R194" i="1"/>
  <c r="V193" i="1"/>
  <c r="U193" i="1"/>
  <c r="T193" i="1"/>
  <c r="S193" i="1"/>
  <c r="R193" i="1"/>
  <c r="V192" i="1"/>
  <c r="U192" i="1"/>
  <c r="T192" i="1"/>
  <c r="S192" i="1"/>
  <c r="R192" i="1"/>
  <c r="V191" i="1"/>
  <c r="U191" i="1"/>
  <c r="T191" i="1"/>
  <c r="S191" i="1"/>
  <c r="R191" i="1"/>
  <c r="V188" i="1"/>
  <c r="U188" i="1"/>
  <c r="T188" i="1"/>
  <c r="S188" i="1"/>
  <c r="R188" i="1"/>
  <c r="V187" i="1"/>
  <c r="U187" i="1"/>
  <c r="T187" i="1"/>
  <c r="S187" i="1"/>
  <c r="R187" i="1"/>
  <c r="V183" i="1"/>
  <c r="U183" i="1"/>
  <c r="S183" i="1"/>
  <c r="O183" i="1"/>
  <c r="K183" i="1"/>
  <c r="B2" i="3" s="1"/>
  <c r="H183" i="1"/>
  <c r="D183" i="1"/>
  <c r="V182" i="1"/>
  <c r="U182" i="1"/>
  <c r="T182" i="1"/>
  <c r="S182" i="1"/>
  <c r="R182" i="1"/>
  <c r="V181" i="1"/>
  <c r="U181" i="1"/>
  <c r="T181" i="1"/>
  <c r="S181" i="1"/>
  <c r="R181" i="1"/>
  <c r="V180" i="1"/>
  <c r="U180" i="1"/>
  <c r="T180" i="1"/>
  <c r="S180" i="1"/>
  <c r="R180" i="1"/>
  <c r="V177" i="1"/>
  <c r="U177" i="1"/>
  <c r="S177" i="1"/>
  <c r="O177" i="1"/>
  <c r="K177" i="1"/>
  <c r="H177" i="1"/>
  <c r="D177" i="1"/>
  <c r="E153" i="1" s="1"/>
  <c r="V176" i="1"/>
  <c r="U176" i="1"/>
  <c r="T176" i="1"/>
  <c r="S176" i="1"/>
  <c r="R176" i="1"/>
  <c r="V175" i="1"/>
  <c r="U175" i="1"/>
  <c r="T175" i="1"/>
  <c r="S175" i="1"/>
  <c r="R175" i="1"/>
  <c r="V174" i="1"/>
  <c r="U174" i="1"/>
  <c r="T174" i="1"/>
  <c r="S174" i="1"/>
  <c r="R174" i="1"/>
  <c r="V173" i="1"/>
  <c r="U173" i="1"/>
  <c r="T173" i="1"/>
  <c r="S173" i="1"/>
  <c r="R173" i="1"/>
  <c r="V172" i="1"/>
  <c r="U172" i="1"/>
  <c r="T172" i="1"/>
  <c r="S172" i="1"/>
  <c r="R172" i="1"/>
  <c r="V171" i="1"/>
  <c r="U171" i="1"/>
  <c r="T171" i="1"/>
  <c r="S171" i="1"/>
  <c r="R171" i="1"/>
  <c r="V170" i="1"/>
  <c r="U170" i="1"/>
  <c r="T170" i="1"/>
  <c r="S170" i="1"/>
  <c r="R170" i="1"/>
  <c r="V169" i="1"/>
  <c r="U169" i="1"/>
  <c r="T169" i="1"/>
  <c r="S169" i="1"/>
  <c r="R169" i="1"/>
  <c r="V168" i="1"/>
  <c r="U168" i="1"/>
  <c r="T168" i="1"/>
  <c r="S168" i="1"/>
  <c r="R168" i="1"/>
  <c r="V167" i="1"/>
  <c r="U167" i="1"/>
  <c r="T167" i="1"/>
  <c r="S167" i="1"/>
  <c r="R167" i="1"/>
  <c r="V166" i="1"/>
  <c r="U166" i="1"/>
  <c r="T166" i="1"/>
  <c r="S166" i="1"/>
  <c r="R166" i="1"/>
  <c r="V165" i="1"/>
  <c r="U165" i="1"/>
  <c r="T165" i="1"/>
  <c r="S165" i="1"/>
  <c r="R165" i="1"/>
  <c r="V164" i="1"/>
  <c r="U164" i="1"/>
  <c r="T164" i="1"/>
  <c r="S164" i="1"/>
  <c r="R164" i="1"/>
  <c r="V163" i="1"/>
  <c r="U163" i="1"/>
  <c r="T163" i="1"/>
  <c r="S163" i="1"/>
  <c r="R163" i="1"/>
  <c r="V162" i="1"/>
  <c r="U162" i="1"/>
  <c r="T162" i="1"/>
  <c r="S162" i="1"/>
  <c r="R162" i="1"/>
  <c r="V161" i="1"/>
  <c r="U161" i="1"/>
  <c r="T161" i="1"/>
  <c r="S161" i="1"/>
  <c r="R161" i="1"/>
  <c r="V160" i="1"/>
  <c r="U160" i="1"/>
  <c r="T160" i="1"/>
  <c r="S160" i="1"/>
  <c r="R160" i="1"/>
  <c r="V159" i="1"/>
  <c r="U159" i="1"/>
  <c r="T159" i="1"/>
  <c r="S159" i="1"/>
  <c r="R159" i="1"/>
  <c r="V158" i="1"/>
  <c r="U158" i="1"/>
  <c r="T158" i="1"/>
  <c r="S158" i="1"/>
  <c r="R158" i="1"/>
  <c r="V157" i="1"/>
  <c r="U157" i="1"/>
  <c r="T157" i="1"/>
  <c r="S157" i="1"/>
  <c r="R157" i="1"/>
  <c r="V156" i="1"/>
  <c r="U156" i="1"/>
  <c r="T156" i="1"/>
  <c r="S156" i="1"/>
  <c r="R156" i="1"/>
  <c r="V155" i="1"/>
  <c r="U155" i="1"/>
  <c r="T155" i="1"/>
  <c r="S155" i="1"/>
  <c r="R155" i="1"/>
  <c r="V154" i="1"/>
  <c r="U154" i="1"/>
  <c r="T154" i="1"/>
  <c r="S154" i="1"/>
  <c r="R154" i="1"/>
  <c r="V153" i="1"/>
  <c r="U153" i="1"/>
  <c r="T153" i="1"/>
  <c r="S153" i="1"/>
  <c r="R153" i="1"/>
  <c r="V152" i="1"/>
  <c r="U152" i="1"/>
  <c r="T152" i="1"/>
  <c r="S152" i="1"/>
  <c r="R152" i="1"/>
  <c r="V151" i="1"/>
  <c r="U151" i="1"/>
  <c r="T151" i="1"/>
  <c r="S151" i="1"/>
  <c r="R151" i="1"/>
  <c r="V150" i="1"/>
  <c r="U150" i="1"/>
  <c r="T150" i="1"/>
  <c r="S150" i="1"/>
  <c r="R150" i="1"/>
  <c r="V149" i="1"/>
  <c r="U149" i="1"/>
  <c r="T149" i="1"/>
  <c r="S149" i="1"/>
  <c r="R149" i="1"/>
  <c r="V148" i="1"/>
  <c r="U148" i="1"/>
  <c r="T148" i="1"/>
  <c r="S148" i="1"/>
  <c r="R148" i="1"/>
  <c r="V145" i="1"/>
  <c r="U145" i="1"/>
  <c r="S145" i="1"/>
  <c r="O145" i="1"/>
  <c r="K145" i="1"/>
  <c r="B6" i="3" s="1"/>
  <c r="H145" i="1"/>
  <c r="D145" i="1"/>
  <c r="E143" i="1" s="1"/>
  <c r="V144" i="1"/>
  <c r="U144" i="1"/>
  <c r="T144" i="1"/>
  <c r="S144" i="1"/>
  <c r="R144" i="1"/>
  <c r="V143" i="1"/>
  <c r="U143" i="1"/>
  <c r="T143" i="1"/>
  <c r="S143" i="1"/>
  <c r="R143" i="1"/>
  <c r="V142" i="1"/>
  <c r="U142" i="1"/>
  <c r="T142" i="1"/>
  <c r="S142" i="1"/>
  <c r="R142" i="1"/>
  <c r="V141" i="1"/>
  <c r="U141" i="1"/>
  <c r="T141" i="1"/>
  <c r="S141" i="1"/>
  <c r="R141" i="1"/>
  <c r="V140" i="1"/>
  <c r="U140" i="1"/>
  <c r="T140" i="1"/>
  <c r="S140" i="1"/>
  <c r="R140" i="1"/>
  <c r="V137" i="1"/>
  <c r="U137" i="1"/>
  <c r="S137" i="1"/>
  <c r="O137" i="1"/>
  <c r="H137" i="1"/>
  <c r="V136" i="1"/>
  <c r="U136" i="1"/>
  <c r="T136" i="1"/>
  <c r="R136" i="1"/>
  <c r="V135" i="1"/>
  <c r="U135" i="1"/>
  <c r="T135" i="1"/>
  <c r="S135" i="1"/>
  <c r="R135" i="1"/>
  <c r="V134" i="1"/>
  <c r="U134" i="1"/>
  <c r="T134" i="1"/>
  <c r="S134" i="1"/>
  <c r="V133" i="1"/>
  <c r="U133" i="1"/>
  <c r="T133" i="1"/>
  <c r="S133" i="1"/>
  <c r="R133" i="1"/>
  <c r="V132" i="1"/>
  <c r="U132" i="1"/>
  <c r="T132" i="1"/>
  <c r="S132" i="1"/>
  <c r="V131" i="1"/>
  <c r="U131" i="1"/>
  <c r="T131" i="1"/>
  <c r="R131" i="1"/>
  <c r="S131" i="1"/>
  <c r="V130" i="1"/>
  <c r="U130" i="1"/>
  <c r="T130" i="1"/>
  <c r="S130" i="1"/>
  <c r="V129" i="1"/>
  <c r="U129" i="1"/>
  <c r="T129" i="1"/>
  <c r="S129" i="1"/>
  <c r="R129" i="1"/>
  <c r="V128" i="1"/>
  <c r="U128" i="1"/>
  <c r="T128" i="1"/>
  <c r="R128" i="1"/>
  <c r="V127" i="1"/>
  <c r="U127" i="1"/>
  <c r="T127" i="1"/>
  <c r="S127" i="1"/>
  <c r="R127" i="1"/>
  <c r="V126" i="1"/>
  <c r="U126" i="1"/>
  <c r="T126" i="1"/>
  <c r="S126" i="1"/>
  <c r="R126" i="1"/>
  <c r="V125" i="1"/>
  <c r="U125" i="1"/>
  <c r="T125" i="1"/>
  <c r="S125" i="1"/>
  <c r="V124" i="1"/>
  <c r="U124" i="1"/>
  <c r="T124" i="1"/>
  <c r="S124" i="1"/>
  <c r="R124" i="1"/>
  <c r="V121" i="1"/>
  <c r="U121" i="1"/>
  <c r="T121" i="1"/>
  <c r="S121" i="1"/>
  <c r="V120" i="1"/>
  <c r="U120" i="1"/>
  <c r="T120" i="1"/>
  <c r="S120" i="1"/>
  <c r="R120" i="1"/>
  <c r="V119" i="1"/>
  <c r="U119" i="1"/>
  <c r="T119" i="1"/>
  <c r="S119" i="1"/>
  <c r="R119" i="1"/>
  <c r="V118" i="1"/>
  <c r="U118" i="1"/>
  <c r="T118" i="1"/>
  <c r="S118" i="1"/>
  <c r="V117" i="1"/>
  <c r="U117" i="1"/>
  <c r="T117" i="1"/>
  <c r="S117" i="1"/>
  <c r="R117" i="1"/>
  <c r="V116" i="1"/>
  <c r="U116" i="1"/>
  <c r="T116" i="1"/>
  <c r="S116" i="1"/>
  <c r="R116" i="1"/>
  <c r="V115" i="1"/>
  <c r="U115" i="1"/>
  <c r="T115" i="1"/>
  <c r="S115" i="1"/>
  <c r="R115" i="1"/>
  <c r="V114" i="1"/>
  <c r="U114" i="1"/>
  <c r="T114" i="1"/>
  <c r="S114" i="1"/>
  <c r="R114" i="1"/>
  <c r="V113" i="1"/>
  <c r="U113" i="1"/>
  <c r="T113" i="1"/>
  <c r="S113" i="1"/>
  <c r="R113" i="1"/>
  <c r="V112" i="1"/>
  <c r="U112" i="1"/>
  <c r="T112" i="1"/>
  <c r="S112" i="1"/>
  <c r="V111" i="1"/>
  <c r="U111" i="1"/>
  <c r="T111" i="1"/>
  <c r="S111" i="1"/>
  <c r="V110" i="1"/>
  <c r="U110" i="1"/>
  <c r="T110" i="1"/>
  <c r="S110" i="1"/>
  <c r="R110" i="1"/>
  <c r="V109" i="1"/>
  <c r="U109" i="1"/>
  <c r="T109" i="1"/>
  <c r="S109" i="1"/>
  <c r="V108" i="1"/>
  <c r="U108" i="1"/>
  <c r="T108" i="1"/>
  <c r="S108" i="1"/>
  <c r="V107" i="1"/>
  <c r="U107" i="1"/>
  <c r="T107" i="1"/>
  <c r="R107" i="1"/>
  <c r="S107" i="1"/>
  <c r="V103" i="1"/>
  <c r="U103" i="1"/>
  <c r="S103" i="1"/>
  <c r="O103" i="1"/>
  <c r="K103" i="1"/>
  <c r="L99" i="1" s="1"/>
  <c r="H103" i="1"/>
  <c r="D103" i="1"/>
  <c r="B15" i="2" s="1"/>
  <c r="B5" i="2" s="1"/>
  <c r="V102" i="1"/>
  <c r="U102" i="1"/>
  <c r="T102" i="1"/>
  <c r="S102" i="1"/>
  <c r="R102" i="1"/>
  <c r="V101" i="1"/>
  <c r="U101" i="1"/>
  <c r="T101" i="1"/>
  <c r="S101" i="1"/>
  <c r="R101" i="1"/>
  <c r="V100" i="1"/>
  <c r="U100" i="1"/>
  <c r="T100" i="1"/>
  <c r="S100" i="1"/>
  <c r="R100" i="1"/>
  <c r="V99" i="1"/>
  <c r="U99" i="1"/>
  <c r="T99" i="1"/>
  <c r="S99" i="1"/>
  <c r="R99" i="1"/>
  <c r="V98" i="1"/>
  <c r="U98" i="1"/>
  <c r="T98" i="1"/>
  <c r="S98" i="1"/>
  <c r="R98" i="1"/>
  <c r="V97" i="1"/>
  <c r="U97" i="1"/>
  <c r="T97" i="1"/>
  <c r="S97" i="1"/>
  <c r="R97" i="1"/>
  <c r="V96" i="1"/>
  <c r="U96" i="1"/>
  <c r="T96" i="1"/>
  <c r="S96" i="1"/>
  <c r="R96" i="1"/>
  <c r="V95" i="1"/>
  <c r="U95" i="1"/>
  <c r="T95" i="1"/>
  <c r="S95" i="1"/>
  <c r="R95" i="1"/>
  <c r="V94" i="1"/>
  <c r="U94" i="1"/>
  <c r="T94" i="1"/>
  <c r="S94" i="1"/>
  <c r="R94" i="1"/>
  <c r="V93" i="1"/>
  <c r="U93" i="1"/>
  <c r="T93" i="1"/>
  <c r="S93" i="1"/>
  <c r="R93" i="1"/>
  <c r="V92" i="1"/>
  <c r="U92" i="1"/>
  <c r="T92" i="1"/>
  <c r="S92" i="1"/>
  <c r="R92" i="1"/>
  <c r="V91" i="1"/>
  <c r="U91" i="1"/>
  <c r="T91" i="1"/>
  <c r="S91" i="1"/>
  <c r="R91" i="1"/>
  <c r="V90" i="1"/>
  <c r="U90" i="1"/>
  <c r="T90" i="1"/>
  <c r="S90" i="1"/>
  <c r="R90" i="1"/>
  <c r="V89" i="1"/>
  <c r="U89" i="1"/>
  <c r="T89" i="1"/>
  <c r="S89" i="1"/>
  <c r="R89" i="1"/>
  <c r="V88" i="1"/>
  <c r="U88" i="1"/>
  <c r="T88" i="1"/>
  <c r="S88" i="1"/>
  <c r="R88" i="1"/>
  <c r="V87" i="1"/>
  <c r="U87" i="1"/>
  <c r="T87" i="1"/>
  <c r="S87" i="1"/>
  <c r="R87" i="1"/>
  <c r="V86" i="1"/>
  <c r="U86" i="1"/>
  <c r="T86" i="1"/>
  <c r="S86" i="1"/>
  <c r="R86" i="1"/>
  <c r="V85" i="1"/>
  <c r="U85" i="1"/>
  <c r="T85" i="1"/>
  <c r="S85" i="1"/>
  <c r="R85" i="1"/>
  <c r="V84" i="1"/>
  <c r="U84" i="1"/>
  <c r="T84" i="1"/>
  <c r="S84" i="1"/>
  <c r="R84" i="1"/>
  <c r="V83" i="1"/>
  <c r="U83" i="1"/>
  <c r="T83" i="1"/>
  <c r="S83" i="1"/>
  <c r="R83" i="1"/>
  <c r="V82" i="1"/>
  <c r="U82" i="1"/>
  <c r="T82" i="1"/>
  <c r="S82" i="1"/>
  <c r="R82" i="1"/>
  <c r="V81" i="1"/>
  <c r="U81" i="1"/>
  <c r="T81" i="1"/>
  <c r="S81" i="1"/>
  <c r="R81" i="1"/>
  <c r="V80" i="1"/>
  <c r="U80" i="1"/>
  <c r="T80" i="1"/>
  <c r="S80" i="1"/>
  <c r="R80" i="1"/>
  <c r="V79" i="1"/>
  <c r="U79" i="1"/>
  <c r="T79" i="1"/>
  <c r="S79" i="1"/>
  <c r="R79" i="1"/>
  <c r="V78" i="1"/>
  <c r="U78" i="1"/>
  <c r="T78" i="1"/>
  <c r="S78" i="1"/>
  <c r="R78" i="1"/>
  <c r="V77" i="1"/>
  <c r="U77" i="1"/>
  <c r="T77" i="1"/>
  <c r="S77" i="1"/>
  <c r="R77" i="1"/>
  <c r="V76" i="1"/>
  <c r="U76" i="1"/>
  <c r="T76" i="1"/>
  <c r="S76" i="1"/>
  <c r="R76" i="1"/>
  <c r="V75" i="1"/>
  <c r="U75" i="1"/>
  <c r="T75" i="1"/>
  <c r="S75" i="1"/>
  <c r="R75" i="1"/>
  <c r="V74" i="1"/>
  <c r="U74" i="1"/>
  <c r="T74" i="1"/>
  <c r="S74" i="1"/>
  <c r="R74" i="1"/>
  <c r="V73" i="1"/>
  <c r="U73" i="1"/>
  <c r="T73" i="1"/>
  <c r="S73" i="1"/>
  <c r="R73" i="1"/>
  <c r="V72" i="1"/>
  <c r="U72" i="1"/>
  <c r="T72" i="1"/>
  <c r="S72" i="1"/>
  <c r="R72" i="1"/>
  <c r="U71" i="1"/>
  <c r="T71" i="1"/>
  <c r="S71" i="1"/>
  <c r="R71" i="1"/>
  <c r="V70" i="1"/>
  <c r="U70" i="1"/>
  <c r="T70" i="1"/>
  <c r="S70" i="1"/>
  <c r="R70" i="1"/>
  <c r="V69" i="1"/>
  <c r="U69" i="1"/>
  <c r="T69" i="1"/>
  <c r="S69" i="1"/>
  <c r="R69" i="1"/>
  <c r="V68" i="1"/>
  <c r="U68" i="1"/>
  <c r="T68" i="1"/>
  <c r="S68" i="1"/>
  <c r="R68" i="1"/>
  <c r="V67" i="1"/>
  <c r="U67" i="1"/>
  <c r="T67" i="1"/>
  <c r="S67" i="1"/>
  <c r="R67" i="1"/>
  <c r="V64" i="1"/>
  <c r="U64" i="1"/>
  <c r="S64" i="1"/>
  <c r="O64" i="1"/>
  <c r="K64" i="1"/>
  <c r="H64" i="1"/>
  <c r="D64" i="1"/>
  <c r="B14" i="2" s="1"/>
  <c r="B4" i="2" s="1"/>
  <c r="V63" i="1"/>
  <c r="U63" i="1"/>
  <c r="T63" i="1"/>
  <c r="S63" i="1"/>
  <c r="R63" i="1"/>
  <c r="V62" i="1"/>
  <c r="U62" i="1"/>
  <c r="T62" i="1"/>
  <c r="S62" i="1"/>
  <c r="R62" i="1"/>
  <c r="V61" i="1"/>
  <c r="U61" i="1"/>
  <c r="T61" i="1"/>
  <c r="S61" i="1"/>
  <c r="R61" i="1"/>
  <c r="V60" i="1"/>
  <c r="U60" i="1"/>
  <c r="T60" i="1"/>
  <c r="S60" i="1"/>
  <c r="R60" i="1"/>
  <c r="V59" i="1"/>
  <c r="U59" i="1"/>
  <c r="T59" i="1"/>
  <c r="S59" i="1"/>
  <c r="R59" i="1"/>
  <c r="V58" i="1"/>
  <c r="U58" i="1"/>
  <c r="T58" i="1"/>
  <c r="S58" i="1"/>
  <c r="R58" i="1"/>
  <c r="V57" i="1"/>
  <c r="U57" i="1"/>
  <c r="T57" i="1"/>
  <c r="S57" i="1"/>
  <c r="R57" i="1"/>
  <c r="V56" i="1"/>
  <c r="U56" i="1"/>
  <c r="T56" i="1"/>
  <c r="S56" i="1"/>
  <c r="R56" i="1"/>
  <c r="V55" i="1"/>
  <c r="U55" i="1"/>
  <c r="T55" i="1"/>
  <c r="S55" i="1"/>
  <c r="R55" i="1"/>
  <c r="V54" i="1"/>
  <c r="U54" i="1"/>
  <c r="T54" i="1"/>
  <c r="S54" i="1"/>
  <c r="R54" i="1"/>
  <c r="V53" i="1"/>
  <c r="U53" i="1"/>
  <c r="T53" i="1"/>
  <c r="S53" i="1"/>
  <c r="R53" i="1"/>
  <c r="V52" i="1"/>
  <c r="U52" i="1"/>
  <c r="T52" i="1"/>
  <c r="S52" i="1"/>
  <c r="R52" i="1"/>
  <c r="V51" i="1"/>
  <c r="U51" i="1"/>
  <c r="T51" i="1"/>
  <c r="S51" i="1"/>
  <c r="R51" i="1"/>
  <c r="V50" i="1"/>
  <c r="U50" i="1"/>
  <c r="T50" i="1"/>
  <c r="S50" i="1"/>
  <c r="R50" i="1"/>
  <c r="V49" i="1"/>
  <c r="U49" i="1"/>
  <c r="T49" i="1"/>
  <c r="S49" i="1"/>
  <c r="R49" i="1"/>
  <c r="V48" i="1"/>
  <c r="U48" i="1"/>
  <c r="T48" i="1"/>
  <c r="S48" i="1"/>
  <c r="R48" i="1"/>
  <c r="V47" i="1"/>
  <c r="U47" i="1"/>
  <c r="T47" i="1"/>
  <c r="S47" i="1"/>
  <c r="R47" i="1"/>
  <c r="V45" i="1"/>
  <c r="U45" i="1"/>
  <c r="T45" i="1"/>
  <c r="S45" i="1"/>
  <c r="R45" i="1"/>
  <c r="V44" i="1"/>
  <c r="U44" i="1"/>
  <c r="T44" i="1"/>
  <c r="S44" i="1"/>
  <c r="R44" i="1"/>
  <c r="V43" i="1"/>
  <c r="U43" i="1"/>
  <c r="T43" i="1"/>
  <c r="S43" i="1"/>
  <c r="R43" i="1"/>
  <c r="V42" i="1"/>
  <c r="U42" i="1"/>
  <c r="T42" i="1"/>
  <c r="S42" i="1"/>
  <c r="R42" i="1"/>
  <c r="V41" i="1"/>
  <c r="U41" i="1"/>
  <c r="T41" i="1"/>
  <c r="S41" i="1"/>
  <c r="R41" i="1"/>
  <c r="V40" i="1"/>
  <c r="U40" i="1"/>
  <c r="T40" i="1"/>
  <c r="S40" i="1"/>
  <c r="R40" i="1"/>
  <c r="V39" i="1"/>
  <c r="U39" i="1"/>
  <c r="T39" i="1"/>
  <c r="S39" i="1"/>
  <c r="R39" i="1"/>
  <c r="V38" i="1"/>
  <c r="U38" i="1"/>
  <c r="T38" i="1"/>
  <c r="S38" i="1"/>
  <c r="R38" i="1"/>
  <c r="V37" i="1"/>
  <c r="U37" i="1"/>
  <c r="T37" i="1"/>
  <c r="S37" i="1"/>
  <c r="R37" i="1"/>
  <c r="V36" i="1"/>
  <c r="U36" i="1"/>
  <c r="T36" i="1"/>
  <c r="S36" i="1"/>
  <c r="R36" i="1"/>
  <c r="V35" i="1"/>
  <c r="U35" i="1"/>
  <c r="T35" i="1"/>
  <c r="S35" i="1"/>
  <c r="R35" i="1"/>
  <c r="V34" i="1"/>
  <c r="U34" i="1"/>
  <c r="T34" i="1"/>
  <c r="S34" i="1"/>
  <c r="R34" i="1"/>
  <c r="V33" i="1"/>
  <c r="U33" i="1"/>
  <c r="T33" i="1"/>
  <c r="S33" i="1"/>
  <c r="R33" i="1"/>
  <c r="V32" i="1"/>
  <c r="U32" i="1"/>
  <c r="T32" i="1"/>
  <c r="S32" i="1"/>
  <c r="R32" i="1"/>
  <c r="V31" i="1"/>
  <c r="U31" i="1"/>
  <c r="T31" i="1"/>
  <c r="S31" i="1"/>
  <c r="R31" i="1"/>
  <c r="V30" i="1"/>
  <c r="U30" i="1"/>
  <c r="T30" i="1"/>
  <c r="S30" i="1"/>
  <c r="R30" i="1"/>
  <c r="V29" i="1"/>
  <c r="U29" i="1"/>
  <c r="T29" i="1"/>
  <c r="S29" i="1"/>
  <c r="R29" i="1"/>
  <c r="V28" i="1"/>
  <c r="U28" i="1"/>
  <c r="T28" i="1"/>
  <c r="S28" i="1"/>
  <c r="R28" i="1"/>
  <c r="V27" i="1"/>
  <c r="U27" i="1"/>
  <c r="T27" i="1"/>
  <c r="S27" i="1"/>
  <c r="R27" i="1"/>
  <c r="V24" i="1"/>
  <c r="U24" i="1"/>
  <c r="S24" i="1"/>
  <c r="O24" i="1"/>
  <c r="K24" i="1"/>
  <c r="H24" i="1"/>
  <c r="D24" i="1"/>
  <c r="E14" i="1" s="1"/>
  <c r="V23" i="1"/>
  <c r="U23" i="1"/>
  <c r="T23" i="1"/>
  <c r="S23" i="1"/>
  <c r="R23" i="1"/>
  <c r="V22" i="1"/>
  <c r="U22" i="1"/>
  <c r="T22" i="1"/>
  <c r="S22" i="1"/>
  <c r="R22" i="1"/>
  <c r="V21" i="1"/>
  <c r="U21" i="1"/>
  <c r="T21" i="1"/>
  <c r="S21" i="1"/>
  <c r="R21" i="1"/>
  <c r="V20" i="1"/>
  <c r="U20" i="1"/>
  <c r="T20" i="1"/>
  <c r="S20" i="1"/>
  <c r="R20" i="1"/>
  <c r="V19" i="1"/>
  <c r="U19" i="1"/>
  <c r="T19" i="1"/>
  <c r="S19" i="1"/>
  <c r="R19" i="1"/>
  <c r="V18" i="1"/>
  <c r="U18" i="1"/>
  <c r="T18" i="1"/>
  <c r="S18" i="1"/>
  <c r="R18" i="1"/>
  <c r="V17" i="1"/>
  <c r="U17" i="1"/>
  <c r="T17" i="1"/>
  <c r="S17" i="1"/>
  <c r="R17" i="1"/>
  <c r="V16" i="1"/>
  <c r="U16" i="1"/>
  <c r="T16" i="1"/>
  <c r="S16" i="1"/>
  <c r="R16" i="1"/>
  <c r="V15" i="1"/>
  <c r="U15" i="1"/>
  <c r="T15" i="1"/>
  <c r="S15" i="1"/>
  <c r="R15" i="1"/>
  <c r="V14" i="1"/>
  <c r="U14" i="1"/>
  <c r="T14" i="1"/>
  <c r="S14" i="1"/>
  <c r="R14" i="1"/>
  <c r="V13" i="1"/>
  <c r="U13" i="1"/>
  <c r="T13" i="1"/>
  <c r="S13" i="1"/>
  <c r="R13" i="1"/>
  <c r="V12" i="1"/>
  <c r="U12" i="1"/>
  <c r="T12" i="1"/>
  <c r="S12" i="1"/>
  <c r="R12" i="1"/>
  <c r="V11" i="1"/>
  <c r="U11" i="1"/>
  <c r="T11" i="1"/>
  <c r="S11" i="1"/>
  <c r="R11" i="1"/>
  <c r="V10" i="1"/>
  <c r="U10" i="1"/>
  <c r="T10" i="1"/>
  <c r="S10" i="1"/>
  <c r="R10" i="1"/>
  <c r="V9" i="1"/>
  <c r="U9" i="1"/>
  <c r="T9" i="1"/>
  <c r="S9" i="1"/>
  <c r="R9" i="1"/>
  <c r="V8" i="1"/>
  <c r="U8" i="1"/>
  <c r="T8" i="1"/>
  <c r="S8" i="1"/>
  <c r="R8" i="1"/>
  <c r="V7" i="1"/>
  <c r="U7" i="1"/>
  <c r="T7" i="1"/>
  <c r="S7" i="1"/>
  <c r="R7" i="1"/>
  <c r="V6" i="1"/>
  <c r="U6" i="1"/>
  <c r="T6" i="1"/>
  <c r="S6" i="1"/>
  <c r="R6" i="1"/>
  <c r="E46" i="1" l="1"/>
  <c r="L46" i="1"/>
  <c r="R211" i="1"/>
  <c r="B5" i="3"/>
  <c r="L157" i="1"/>
  <c r="L21" i="1"/>
  <c r="L7" i="1"/>
  <c r="D4" i="5"/>
  <c r="D3" i="5" s="1"/>
  <c r="B4" i="3"/>
  <c r="L193" i="1"/>
  <c r="R231" i="1"/>
  <c r="E227" i="1"/>
  <c r="E225" i="1"/>
  <c r="E223" i="1"/>
  <c r="E8" i="1"/>
  <c r="L202" i="1"/>
  <c r="E188" i="1"/>
  <c r="T231" i="1"/>
  <c r="J12" i="4"/>
  <c r="E12" i="1"/>
  <c r="E10" i="1"/>
  <c r="E6" i="1"/>
  <c r="E18" i="1"/>
  <c r="E192" i="1"/>
  <c r="E214" i="1"/>
  <c r="E221" i="1"/>
  <c r="E155" i="1"/>
  <c r="L171" i="1"/>
  <c r="E81" i="1"/>
  <c r="E169" i="1"/>
  <c r="E159" i="1"/>
  <c r="E22" i="1"/>
  <c r="E45" i="1"/>
  <c r="E20" i="1"/>
  <c r="E149" i="1"/>
  <c r="E16" i="1"/>
  <c r="E163" i="1"/>
  <c r="E70" i="1"/>
  <c r="E101" i="1"/>
  <c r="E97" i="1"/>
  <c r="E73" i="1"/>
  <c r="E95" i="1"/>
  <c r="S136" i="1"/>
  <c r="E151" i="1"/>
  <c r="E167" i="1"/>
  <c r="E219" i="1"/>
  <c r="E230" i="1"/>
  <c r="E93" i="1"/>
  <c r="E91" i="1"/>
  <c r="E75" i="1"/>
  <c r="E67" i="1"/>
  <c r="E69" i="1"/>
  <c r="E141" i="1"/>
  <c r="T183" i="1"/>
  <c r="E87" i="1"/>
  <c r="E79" i="1"/>
  <c r="E99" i="1"/>
  <c r="E85" i="1"/>
  <c r="E68" i="1"/>
  <c r="E77" i="1"/>
  <c r="E83" i="1"/>
  <c r="L23" i="1"/>
  <c r="E90" i="1"/>
  <c r="E92" i="1"/>
  <c r="E94" i="1"/>
  <c r="E96" i="1"/>
  <c r="E98" i="1"/>
  <c r="E100" i="1"/>
  <c r="E102" i="1"/>
  <c r="E175" i="1"/>
  <c r="E220" i="1"/>
  <c r="E222" i="1"/>
  <c r="E224" i="1"/>
  <c r="E226" i="1"/>
  <c r="E228" i="1"/>
  <c r="L19" i="1"/>
  <c r="E72" i="1"/>
  <c r="E74" i="1"/>
  <c r="E76" i="1"/>
  <c r="E78" i="1"/>
  <c r="E80" i="1"/>
  <c r="E82" i="1"/>
  <c r="E84" i="1"/>
  <c r="E86" i="1"/>
  <c r="E88" i="1"/>
  <c r="E171" i="1"/>
  <c r="E173" i="1"/>
  <c r="L15" i="1"/>
  <c r="E165" i="1"/>
  <c r="T137" i="1"/>
  <c r="L11" i="1"/>
  <c r="L140" i="1"/>
  <c r="L144" i="1"/>
  <c r="E161" i="1"/>
  <c r="L230" i="1"/>
  <c r="T64" i="1"/>
  <c r="L180" i="1"/>
  <c r="L182" i="1"/>
  <c r="E195" i="1"/>
  <c r="E197" i="1"/>
  <c r="E199" i="1"/>
  <c r="E201" i="1"/>
  <c r="T206" i="1"/>
  <c r="L6" i="1"/>
  <c r="L10" i="1"/>
  <c r="L14" i="1"/>
  <c r="L18" i="1"/>
  <c r="L22" i="1"/>
  <c r="E157" i="1"/>
  <c r="E187" i="1"/>
  <c r="E191" i="1"/>
  <c r="E193" i="1"/>
  <c r="E205" i="1"/>
  <c r="H207" i="1"/>
  <c r="H232" i="1" s="1"/>
  <c r="R216" i="1"/>
  <c r="D137" i="1"/>
  <c r="E121" i="1" s="1"/>
  <c r="T103" i="1"/>
  <c r="L143" i="1"/>
  <c r="T145" i="1"/>
  <c r="L175" i="1"/>
  <c r="T177" i="1"/>
  <c r="L181" i="1"/>
  <c r="E196" i="1"/>
  <c r="E198" i="1"/>
  <c r="E200" i="1"/>
  <c r="E202" i="1"/>
  <c r="C4" i="5"/>
  <c r="C3" i="5" s="1"/>
  <c r="D12" i="4"/>
  <c r="G12" i="4"/>
  <c r="H4" i="5"/>
  <c r="H3" i="5" s="1"/>
  <c r="I12" i="4"/>
  <c r="E89" i="1"/>
  <c r="L41" i="1"/>
  <c r="L62" i="1"/>
  <c r="L167" i="1"/>
  <c r="L163" i="1"/>
  <c r="L159" i="1"/>
  <c r="L155" i="1"/>
  <c r="L151" i="1"/>
  <c r="L148" i="1"/>
  <c r="L152" i="1"/>
  <c r="L156" i="1"/>
  <c r="L160" i="1"/>
  <c r="L164" i="1"/>
  <c r="L168" i="1"/>
  <c r="L172" i="1"/>
  <c r="L176" i="1"/>
  <c r="L77" i="1"/>
  <c r="L101" i="1"/>
  <c r="L58" i="1"/>
  <c r="L56" i="1"/>
  <c r="L54" i="1"/>
  <c r="L52" i="1"/>
  <c r="L60" i="1"/>
  <c r="L50" i="1"/>
  <c r="L48" i="1"/>
  <c r="E53" i="1"/>
  <c r="E55" i="1"/>
  <c r="E57" i="1"/>
  <c r="E59" i="1"/>
  <c r="E61" i="1"/>
  <c r="E63" i="1"/>
  <c r="E51" i="1"/>
  <c r="E49" i="1"/>
  <c r="E47" i="1"/>
  <c r="L191" i="1"/>
  <c r="L196" i="1"/>
  <c r="L187" i="1"/>
  <c r="L194" i="1"/>
  <c r="L198" i="1"/>
  <c r="L222" i="1"/>
  <c r="L226" i="1"/>
  <c r="L220" i="1"/>
  <c r="L224" i="1"/>
  <c r="L228" i="1"/>
  <c r="L219" i="1"/>
  <c r="L221" i="1"/>
  <c r="L223" i="1"/>
  <c r="L225" i="1"/>
  <c r="L227" i="1"/>
  <c r="L229" i="1"/>
  <c r="L85" i="1"/>
  <c r="L93" i="1"/>
  <c r="L200" i="1"/>
  <c r="L70" i="1"/>
  <c r="E71" i="1"/>
  <c r="L73" i="1"/>
  <c r="L81" i="1"/>
  <c r="L97" i="1"/>
  <c r="L45" i="1"/>
  <c r="L149" i="1"/>
  <c r="L150" i="1"/>
  <c r="L153" i="1"/>
  <c r="L154" i="1"/>
  <c r="L158" i="1"/>
  <c r="L161" i="1"/>
  <c r="L162" i="1"/>
  <c r="L165" i="1"/>
  <c r="L166" i="1"/>
  <c r="L169" i="1"/>
  <c r="L170" i="1"/>
  <c r="L173" i="1"/>
  <c r="L174" i="1"/>
  <c r="L68" i="1"/>
  <c r="L75" i="1"/>
  <c r="L79" i="1"/>
  <c r="L83" i="1"/>
  <c r="L87" i="1"/>
  <c r="L91" i="1"/>
  <c r="L95" i="1"/>
  <c r="R145" i="1"/>
  <c r="L141" i="1"/>
  <c r="L142" i="1"/>
  <c r="L27" i="1"/>
  <c r="E28" i="1"/>
  <c r="L29" i="1"/>
  <c r="E30" i="1"/>
  <c r="L31" i="1"/>
  <c r="E32" i="1"/>
  <c r="L33" i="1"/>
  <c r="E34" i="1"/>
  <c r="L35" i="1"/>
  <c r="E36" i="1"/>
  <c r="L37" i="1"/>
  <c r="E38" i="1"/>
  <c r="L39" i="1"/>
  <c r="E40" i="1"/>
  <c r="E42" i="1"/>
  <c r="L43" i="1"/>
  <c r="E44" i="1"/>
  <c r="L8" i="1"/>
  <c r="L9" i="1"/>
  <c r="L12" i="1"/>
  <c r="L13" i="1"/>
  <c r="L16" i="1"/>
  <c r="L17" i="1"/>
  <c r="L20" i="1"/>
  <c r="R177" i="1"/>
  <c r="B7" i="3"/>
  <c r="C15" i="2"/>
  <c r="C5" i="2" s="1"/>
  <c r="R109" i="1"/>
  <c r="R111" i="1"/>
  <c r="R112" i="1"/>
  <c r="R118" i="1"/>
  <c r="E7" i="1"/>
  <c r="E9" i="1"/>
  <c r="E11" i="1"/>
  <c r="E13" i="1"/>
  <c r="E15" i="1"/>
  <c r="E17" i="1"/>
  <c r="E19" i="1"/>
  <c r="E21" i="1"/>
  <c r="E23" i="1"/>
  <c r="B3" i="3"/>
  <c r="C13" i="2"/>
  <c r="C3" i="2" s="1"/>
  <c r="O207" i="1"/>
  <c r="O232" i="1" s="1"/>
  <c r="E27" i="1"/>
  <c r="L28" i="1"/>
  <c r="E29" i="1"/>
  <c r="L30" i="1"/>
  <c r="E31" i="1"/>
  <c r="L32" i="1"/>
  <c r="E33" i="1"/>
  <c r="L34" i="1"/>
  <c r="E35" i="1"/>
  <c r="L36" i="1"/>
  <c r="E37" i="1"/>
  <c r="L38" i="1"/>
  <c r="E39" i="1"/>
  <c r="L40" i="1"/>
  <c r="E41" i="1"/>
  <c r="L42" i="1"/>
  <c r="E43" i="1"/>
  <c r="L44" i="1"/>
  <c r="L47" i="1"/>
  <c r="E48" i="1"/>
  <c r="L49" i="1"/>
  <c r="E50" i="1"/>
  <c r="L51" i="1"/>
  <c r="E52" i="1"/>
  <c r="L53" i="1"/>
  <c r="E54" i="1"/>
  <c r="L55" i="1"/>
  <c r="E56" i="1"/>
  <c r="L57" i="1"/>
  <c r="E58" i="1"/>
  <c r="L59" i="1"/>
  <c r="E60" i="1"/>
  <c r="L61" i="1"/>
  <c r="E62" i="1"/>
  <c r="L63" i="1"/>
  <c r="R64" i="1"/>
  <c r="L67" i="1"/>
  <c r="L69" i="1"/>
  <c r="L71" i="1"/>
  <c r="L72" i="1"/>
  <c r="L74" i="1"/>
  <c r="L76" i="1"/>
  <c r="L78" i="1"/>
  <c r="L80" i="1"/>
  <c r="L82" i="1"/>
  <c r="L84" i="1"/>
  <c r="L86" i="1"/>
  <c r="L88" i="1"/>
  <c r="L90" i="1"/>
  <c r="L92" i="1"/>
  <c r="L94" i="1"/>
  <c r="L96" i="1"/>
  <c r="L98" i="1"/>
  <c r="L100" i="1"/>
  <c r="L102" i="1"/>
  <c r="R103" i="1"/>
  <c r="K137" i="1"/>
  <c r="L118" i="1" s="1"/>
  <c r="R108" i="1"/>
  <c r="R121" i="1"/>
  <c r="R125" i="1"/>
  <c r="S128" i="1"/>
  <c r="B19" i="2"/>
  <c r="B9" i="2" s="1"/>
  <c r="E182" i="1"/>
  <c r="E180" i="1"/>
  <c r="B13" i="2"/>
  <c r="B3" i="2" s="1"/>
  <c r="R24" i="1"/>
  <c r="T24" i="1"/>
  <c r="B8" i="3"/>
  <c r="C14" i="2"/>
  <c r="C4" i="2" s="1"/>
  <c r="L89" i="1"/>
  <c r="R130" i="1"/>
  <c r="R132" i="1"/>
  <c r="R134" i="1"/>
  <c r="B17" i="2"/>
  <c r="B7" i="2" s="1"/>
  <c r="E144" i="1"/>
  <c r="E142" i="1"/>
  <c r="E140" i="1"/>
  <c r="B18" i="2"/>
  <c r="B8" i="2" s="1"/>
  <c r="E176" i="1"/>
  <c r="E174" i="1"/>
  <c r="E172" i="1"/>
  <c r="E170" i="1"/>
  <c r="E168" i="1"/>
  <c r="E166" i="1"/>
  <c r="E164" i="1"/>
  <c r="E162" i="1"/>
  <c r="E160" i="1"/>
  <c r="E158" i="1"/>
  <c r="E156" i="1"/>
  <c r="E154" i="1"/>
  <c r="E152" i="1"/>
  <c r="E150" i="1"/>
  <c r="E148" i="1"/>
  <c r="E181" i="1"/>
  <c r="R183" i="1"/>
  <c r="L188" i="1"/>
  <c r="L192" i="1"/>
  <c r="L195" i="1"/>
  <c r="L197" i="1"/>
  <c r="L199" i="1"/>
  <c r="L201" i="1"/>
  <c r="L205" i="1"/>
  <c r="R206" i="1"/>
  <c r="E210" i="1"/>
  <c r="L214" i="1"/>
  <c r="C17" i="2"/>
  <c r="C7" i="2" s="1"/>
  <c r="C18" i="2"/>
  <c r="C8" i="2" s="1"/>
  <c r="C19" i="2"/>
  <c r="C9" i="2" s="1"/>
  <c r="C20" i="2"/>
  <c r="C10" i="2" s="1"/>
  <c r="E124" i="1" l="1"/>
  <c r="E128" i="1"/>
  <c r="E129" i="1"/>
  <c r="E120" i="1"/>
  <c r="E107" i="1"/>
  <c r="E111" i="1"/>
  <c r="E125" i="1"/>
  <c r="D207" i="1"/>
  <c r="E64" i="1" s="1"/>
  <c r="E118" i="1"/>
  <c r="E134" i="1"/>
  <c r="E126" i="1"/>
  <c r="E109" i="1"/>
  <c r="E110" i="1"/>
  <c r="E136" i="1"/>
  <c r="E132" i="1"/>
  <c r="E113" i="1"/>
  <c r="E127" i="1"/>
  <c r="E114" i="1"/>
  <c r="E131" i="1"/>
  <c r="E130" i="1"/>
  <c r="E116" i="1"/>
  <c r="E133" i="1"/>
  <c r="E117" i="1"/>
  <c r="B16" i="2"/>
  <c r="B6" i="2" s="1"/>
  <c r="E119" i="1"/>
  <c r="E115" i="1"/>
  <c r="E108" i="1"/>
  <c r="L132" i="1"/>
  <c r="K207" i="1"/>
  <c r="L137" i="1" s="1"/>
  <c r="L125" i="1"/>
  <c r="L109" i="1"/>
  <c r="B9" i="3"/>
  <c r="C16" i="2"/>
  <c r="C6" i="2" s="1"/>
  <c r="L135" i="1"/>
  <c r="L128" i="1"/>
  <c r="L136" i="1"/>
  <c r="L133" i="1"/>
  <c r="L131" i="1"/>
  <c r="R137" i="1"/>
  <c r="L129" i="1"/>
  <c r="L127" i="1"/>
  <c r="L126" i="1"/>
  <c r="L124" i="1"/>
  <c r="L120" i="1"/>
  <c r="L116" i="1"/>
  <c r="L114" i="1"/>
  <c r="L107" i="1"/>
  <c r="L119" i="1"/>
  <c r="L117" i="1"/>
  <c r="L115" i="1"/>
  <c r="L113" i="1"/>
  <c r="L110" i="1"/>
  <c r="L108" i="1"/>
  <c r="L134" i="1"/>
  <c r="L130" i="1"/>
  <c r="L121" i="1"/>
  <c r="L111" i="1"/>
  <c r="L112" i="1"/>
  <c r="E183" i="1" l="1"/>
  <c r="E103" i="1"/>
  <c r="E177" i="1"/>
  <c r="E145" i="1"/>
  <c r="E206" i="1"/>
  <c r="D232" i="1"/>
  <c r="E24" i="1"/>
  <c r="E137" i="1"/>
  <c r="K232" i="1"/>
  <c r="R207" i="1"/>
  <c r="L183" i="1"/>
  <c r="L24" i="1"/>
  <c r="L177" i="1"/>
  <c r="L145" i="1"/>
  <c r="L64" i="1"/>
  <c r="L103" i="1"/>
  <c r="L206" i="1"/>
</calcChain>
</file>

<file path=xl/sharedStrings.xml><?xml version="1.0" encoding="utf-8"?>
<sst xmlns="http://schemas.openxmlformats.org/spreadsheetml/2006/main" count="480" uniqueCount="305">
  <si>
    <t>% Change (Current from Previous)</t>
  </si>
  <si>
    <t>Difference</t>
  </si>
  <si>
    <t>S/N</t>
  </si>
  <si>
    <t>FUND</t>
  </si>
  <si>
    <t>FUND MANAGER</t>
  </si>
  <si>
    <t>NAV (N)</t>
  </si>
  <si>
    <t>% to Total</t>
  </si>
  <si>
    <t>Bid Price (N)</t>
  </si>
  <si>
    <t>Offer Price (N)</t>
  </si>
  <si>
    <t>Unitholders</t>
  </si>
  <si>
    <t>Yield (WTD)</t>
  </si>
  <si>
    <t>Yield  (YTD)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</si>
  <si>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</si>
  <si>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</si>
  <si>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</si>
  <si>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</si>
  <si>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</si>
  <si>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</si>
  <si>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</si>
  <si>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</si>
  <si>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</si>
  <si>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</si>
  <si>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</si>
  <si>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ARM Investment Managers Limited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</si>
  <si>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</si>
  <si>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</si>
  <si>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</si>
  <si>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</si>
  <si>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</si>
  <si>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</si>
  <si>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</si>
  <si>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</si>
  <si>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</si>
  <si>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</si>
  <si>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</si>
  <si>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</si>
  <si>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</si>
  <si>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</si>
  <si>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</si>
  <si>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</si>
  <si>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Legacy Equity Fund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</si>
  <si>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</si>
  <si>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</si>
  <si>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</si>
  <si>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</si>
  <si>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</si>
  <si>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</si>
  <si>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</si>
  <si>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</si>
  <si>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</si>
  <si>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</si>
  <si>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</si>
  <si>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</si>
  <si>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</si>
  <si>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</si>
  <si>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</si>
  <si>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</si>
  <si>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</si>
  <si>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</si>
  <si>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</si>
  <si>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</si>
  <si>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</si>
  <si>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</si>
  <si>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</si>
  <si>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</si>
  <si>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</si>
  <si>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</si>
  <si>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</si>
  <si>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</si>
  <si>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</si>
  <si>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</si>
  <si>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Coronation Asset Management Ltd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</si>
  <si>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</si>
  <si>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</si>
  <si>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</si>
  <si>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</si>
  <si>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</si>
  <si>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</si>
  <si>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</si>
  <si>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</si>
  <si>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</si>
  <si>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</si>
  <si>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</si>
  <si>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</si>
  <si>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</si>
  <si>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</si>
  <si>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Money Market Fund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</si>
  <si>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</si>
  <si>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</si>
  <si>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</si>
  <si>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</si>
  <si>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</si>
  <si>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</si>
  <si>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</si>
  <si>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</si>
  <si>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</si>
  <si>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RMBN Money Market Fund</t>
  </si>
  <si>
    <t>RMB Nigeria Asset Management Ltd.</t>
  </si>
  <si>
    <t>RT Briscoe Savings &amp; Investment Fund</t>
  </si>
  <si>
    <t>DLM Asset Management Limited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</si>
  <si>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</si>
  <si>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</si>
  <si>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</si>
  <si>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</si>
  <si>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</si>
  <si>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</si>
  <si>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Money Market 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</si>
  <si>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</si>
  <si>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</si>
  <si>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</si>
  <si>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</si>
  <si>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</si>
  <si>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</si>
  <si>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</si>
  <si>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</si>
  <si>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</si>
  <si>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</si>
  <si>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</si>
  <si>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</si>
  <si>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</si>
  <si>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</si>
  <si>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CEAT Fixed Income Fund</t>
  </si>
  <si>
    <t>Capital Express Asset and Trust Limited</t>
  </si>
  <si>
    <t>Comercio Partners Fixed Income Fund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</si>
  <si>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</si>
  <si>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</si>
  <si>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</si>
  <si>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</si>
  <si>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</si>
  <si>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</si>
  <si>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EDC Fixed Income Fund</t>
  </si>
  <si>
    <t>Emerging Africa Bond Fund</t>
  </si>
  <si>
    <t>FBN Bond Fund</t>
  </si>
  <si>
    <t>GDL Income Fund</t>
  </si>
  <si>
    <t>Guaranty Trust Fixed Income Fund</t>
  </si>
  <si>
    <t>Lead Fixed Income Fund</t>
  </si>
  <si>
    <t>Lead Asset Management Limited</t>
  </si>
  <si>
    <t>Legacy Debt Fund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</si>
  <si>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</si>
  <si>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</si>
  <si>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</si>
  <si>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</si>
  <si>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</si>
  <si>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</si>
  <si>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</si>
  <si>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</si>
  <si>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</si>
  <si>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</si>
  <si>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</si>
  <si>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</si>
  <si>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</si>
  <si>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</si>
  <si>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</si>
  <si>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</si>
  <si>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</si>
  <si>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</si>
  <si>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</si>
  <si>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</si>
  <si>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</si>
  <si>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EUROBONDS</t>
  </si>
  <si>
    <t>Afrinvest Dollar Fund</t>
  </si>
  <si>
    <t>AIICO Eurobond Fund</t>
  </si>
  <si>
    <t>ARM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</si>
  <si>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</si>
  <si>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</si>
  <si>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</si>
  <si>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</si>
  <si>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</si>
  <si>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</si>
  <si>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</si>
  <si>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</si>
  <si>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</si>
  <si>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</si>
  <si>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</si>
  <si>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</si>
  <si>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FIXED INCOME</t>
  </si>
  <si>
    <t>AVA GAM Fixed Income Dollar Fund</t>
  </si>
  <si>
    <t>AXA Mansard Dollar Bond Fund</t>
  </si>
  <si>
    <t>Cordros Dollar Fund</t>
  </si>
  <si>
    <t>FSDH Dollar Fund</t>
  </si>
  <si>
    <t>Guaranty Dollar Fund</t>
  </si>
  <si>
    <t>Lead Dollar Fixed Income Fund</t>
  </si>
  <si>
    <t>Meristem Dollar Fund</t>
  </si>
  <si>
    <t>Nigeria Dollar Income Fund</t>
  </si>
  <si>
    <t>Nova Dollar Fixed Income Fund</t>
  </si>
  <si>
    <t>Stanbic IBTC Dollar Fund</t>
  </si>
  <si>
    <t>United Capital Global Fixed Income Fund</t>
  </si>
  <si>
    <t>RMBN Dollar Fixed Income Fund</t>
  </si>
  <si>
    <t>Zedcrest Dollar Fund</t>
  </si>
  <si>
    <t>REAL ESTATE INVESTMENT TRUSTS</t>
  </si>
  <si>
    <t>Housing Solution Fund</t>
  </si>
  <si>
    <t>Fundco Capital Managers Limited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</si>
  <si>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</si>
  <si>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</si>
  <si>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</si>
  <si>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</si>
  <si>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</si>
  <si>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</si>
  <si>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</si>
  <si>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</si>
  <si>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</si>
  <si>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</si>
  <si>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</si>
  <si>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</si>
  <si>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</si>
  <si>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</si>
  <si>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</si>
  <si>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</si>
  <si>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</si>
  <si>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</si>
  <si>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</si>
  <si>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</si>
  <si>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</si>
  <si>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</si>
  <si>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</si>
  <si>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</si>
  <si>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</si>
  <si>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</si>
  <si>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</si>
  <si>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</si>
  <si>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</si>
  <si>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</si>
  <si>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</si>
  <si>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</si>
  <si>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</si>
  <si>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</si>
  <si>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</si>
  <si>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Women's Balanced Fund</t>
  </si>
  <si>
    <t>ETHICAL FUNDS</t>
  </si>
  <si>
    <t>ARM Ethical Fund</t>
  </si>
  <si>
    <t>ESG Impact Fund</t>
  </si>
  <si>
    <t>Zenith Asset Management Ltd.</t>
  </si>
  <si>
    <t>Stanbic IBTC Ethical Fund</t>
  </si>
  <si>
    <t>SHARI'AH COMPLIANT FUNDS</t>
  </si>
  <si>
    <t>EQUITIES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</si>
  <si>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</si>
  <si>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</si>
  <si>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</si>
  <si>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</si>
  <si>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</si>
  <si>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>Cordros Halal Fixed Income Fund</t>
  </si>
  <si>
    <t>EDC Halal Fund</t>
  </si>
  <si>
    <t>Emerging Africa Halal Fund</t>
  </si>
  <si>
    <t>FBN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</si>
  <si>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</si>
  <si>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</si>
  <si>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</si>
  <si>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</si>
  <si>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</si>
  <si>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</si>
  <si>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</si>
  <si>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</si>
  <si>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BALANCED</t>
  </si>
  <si>
    <t>Lotus Waqf (Endowment) Fund</t>
  </si>
  <si>
    <t>Mutual Funds Total</t>
  </si>
  <si>
    <t>SPECIALISED FUNDS</t>
  </si>
  <si>
    <t>Clean Energy Fund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</si>
  <si>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</si>
  <si>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</si>
  <si>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</si>
  <si>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</si>
  <si>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</si>
  <si>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</si>
  <si>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</si>
  <si>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</si>
  <si>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</si>
  <si>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</si>
  <si>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</si>
  <si>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</si>
  <si>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</si>
  <si>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</si>
  <si>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</si>
  <si>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</si>
  <si>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</si>
  <si>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</si>
  <si>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</si>
  <si>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</si>
  <si>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</si>
  <si>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</si>
  <si>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</si>
  <si>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Note:</t>
  </si>
  <si>
    <t>FUNDS</t>
  </si>
  <si>
    <t>BONDS/FIXED INCOME FUNDS</t>
  </si>
  <si>
    <t>REAL ESTATE INVESTMENT TRUST</t>
  </si>
  <si>
    <t>SHARI'AH COMPLAINT FUNDS</t>
  </si>
  <si>
    <t>dayo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</si>
  <si>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</si>
  <si>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</si>
  <si>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</si>
  <si>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</si>
  <si>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</si>
  <si>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</si>
  <si>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</si>
  <si>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t xml:space="preserve"> </t>
  </si>
  <si>
    <t>NAV, Unit Price and Yield as at Week Ended November 29, 2024</t>
  </si>
  <si>
    <t>0.09%</t>
  </si>
  <si>
    <t>Week Ended November 29, 2024</t>
  </si>
  <si>
    <t>WEEKLY VALUATION REPORT OF COLLECTIVE INVESTMENT SCHEMES AS AT WEEK ENDED FRIDAY, DECEMBER 6, 2024</t>
  </si>
  <si>
    <t>NAV, Unit Price and Yield as at Week Ended December 6, 2024</t>
  </si>
  <si>
    <t>Guaranty Trust Investment Fund 724</t>
  </si>
  <si>
    <t>0.04%</t>
  </si>
  <si>
    <r>
      <t>US$/NG</t>
    </r>
    <r>
      <rPr>
        <b/>
        <strike/>
        <sz val="6"/>
        <color theme="0"/>
        <rFont val="Times New Roman"/>
        <family val="1"/>
      </rPr>
      <t>N</t>
    </r>
    <r>
      <rPr>
        <b/>
        <sz val="6"/>
        <color theme="0"/>
        <rFont val="Times New Roman"/>
        <family val="1"/>
      </rPr>
      <t xml:space="preserve"> I&amp;E as at 6th December, 2024 = N1,533.7600</t>
    </r>
  </si>
  <si>
    <t xml:space="preserve">                  186,150.59 </t>
  </si>
  <si>
    <t>Week Ended December 6, 2024</t>
  </si>
  <si>
    <t>The chart above shows that the Dollar Fund category (Eurobonds and Fixed Income) has the highest share of the Aggregate Net Asset Value (NAV) at 45.68%, followed by Money Market Fund with 42.60%, Bond/Fixed Income Fund at 5.32%, Real Estate Investment Trust at 2.65%.  Next is Balanced Fund at 1.43%, Shari'ah Compliant Fund at 1.37%, Equity Fund at 0.80% and Ethical Fund at 0.15%.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</si>
</sst>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0.0%"/>
  </numFmts>
  <fonts count="59">
    <font>
      <sz val="11"/>
      <color theme="1"/>
      <name val="Calibri"/>
      <charset val="134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sz val="10"/>
      <color rgb="FFFF0000"/>
      <name val="Arial Narrow"/>
      <family val="2"/>
    </font>
    <font>
      <sz val="10"/>
      <color rgb="FFFF0000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Calibri"/>
      <family val="2"/>
      <scheme val="minor"/>
    </font>
    <font>
      <sz val="10"/>
      <color theme="0"/>
      <name val="Arial Narrow"/>
      <family val="2"/>
    </font>
    <font>
      <b/>
      <sz val="8"/>
      <color theme="0"/>
      <name val="Arial Narrow"/>
      <family val="2"/>
    </font>
    <font>
      <sz val="8"/>
      <color theme="0"/>
      <name val="Arial"/>
      <family val="2"/>
    </font>
    <font>
      <b/>
      <sz val="18"/>
      <color theme="0"/>
      <name val="Ebrima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sz val="8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b/>
      <sz val="9"/>
      <color theme="1"/>
      <name val="Arial Narrow"/>
      <family val="2"/>
    </font>
    <font>
      <sz val="8"/>
      <color rgb="FF000000"/>
      <name val="Arial Narrow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Times New Roman"/>
      <family val="1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8"/>
      <color rgb="FFFF0000"/>
      <name val="Arial Narrow"/>
      <family val="2"/>
    </font>
    <font>
      <b/>
      <sz val="12"/>
      <name val="Arial Narrow"/>
      <family val="2"/>
    </font>
    <font>
      <i/>
      <sz val="8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b/>
      <sz val="6"/>
      <color theme="0"/>
      <name val="Times New Roman"/>
      <family val="1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ptos"/>
      <charset val="134"/>
    </font>
    <font>
      <sz val="11"/>
      <color theme="1"/>
      <name val="Aptos"/>
      <charset val="134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charset val="134"/>
    </font>
    <font>
      <b/>
      <sz val="18"/>
      <color theme="3"/>
      <name val="Calibri Light"/>
      <family val="2"/>
      <scheme val="major"/>
    </font>
    <font>
      <b/>
      <strike/>
      <sz val="6"/>
      <color theme="0"/>
      <name val="Times New Roman"/>
      <family val="1"/>
    </font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color theme="1"/>
      <name val="Arial Narrow"/>
      <family val="2"/>
    </font>
    <font>
      <sz val="11"/>
      <color theme="1"/>
      <name val="Aptos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Arial Narrow"/>
      <family val="2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  <font>
      <sz val="8"/>
      <color rgb="FF000000"/>
      <name val="Arial"/>
      <family val="2"/>
    </font>
    <font>
      <b/>
      <sz val="8"/>
      <color theme="4"/>
      <name val="Arial Narrow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rgb="FFFFEB9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1">
    <xf numFmtId="0" fontId="0" fillId="0" borderId="0"/>
    <xf numFmtId="164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8" fillId="5" borderId="0" applyNumberFormat="0" applyBorder="0" applyAlignment="0" applyProtection="0"/>
    <xf numFmtId="0" fontId="8" fillId="17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43" fontId="43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44" fillId="21" borderId="0" applyNumberFormat="0" applyBorder="0" applyAlignment="0" applyProtection="0"/>
    <xf numFmtId="0" fontId="45" fillId="0" borderId="0"/>
    <xf numFmtId="0" fontId="49" fillId="0" borderId="0"/>
    <xf numFmtId="0" fontId="46" fillId="0" borderId="0"/>
    <xf numFmtId="9" fontId="4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47" fillId="0" borderId="0" applyNumberFormat="0" applyFill="0" applyBorder="0" applyAlignment="0" applyProtection="0"/>
    <xf numFmtId="43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43" fontId="52" fillId="0" borderId="0" applyFont="0" applyFill="0" applyBorder="0" applyAlignment="0" applyProtection="0"/>
  </cellStyleXfs>
  <cellXfs count="190">
    <xf numFmtId="0" fontId="0" fillId="0" borderId="0" xfId="0"/>
    <xf numFmtId="0" fontId="1" fillId="0" borderId="1" xfId="0" applyFont="1" applyBorder="1" applyAlignment="1">
      <alignment horizontal="right"/>
    </xf>
    <xf numFmtId="16" fontId="2" fillId="2" borderId="1" xfId="0" applyNumberFormat="1" applyFont="1" applyFill="1" applyBorder="1"/>
    <xf numFmtId="0" fontId="2" fillId="0" borderId="1" xfId="0" applyFont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/>
    <xf numFmtId="4" fontId="4" fillId="2" borderId="1" xfId="0" applyNumberFormat="1" applyFont="1" applyFill="1" applyBorder="1"/>
    <xf numFmtId="164" fontId="3" fillId="2" borderId="1" xfId="1" applyFont="1" applyFill="1" applyBorder="1" applyAlignment="1">
      <alignment horizontal="right" vertical="top" wrapText="1"/>
    </xf>
    <xf numFmtId="0" fontId="5" fillId="3" borderId="1" xfId="0" applyFont="1" applyFill="1" applyBorder="1" applyAlignment="1">
      <alignment horizontal="right"/>
    </xf>
    <xf numFmtId="43" fontId="5" fillId="3" borderId="1" xfId="0" applyNumberFormat="1" applyFont="1" applyFill="1" applyBorder="1"/>
    <xf numFmtId="0" fontId="4" fillId="0" borderId="0" xfId="0" applyFont="1"/>
    <xf numFmtId="164" fontId="4" fillId="0" borderId="0" xfId="1" applyFont="1"/>
    <xf numFmtId="0" fontId="1" fillId="4" borderId="1" xfId="0" applyFont="1" applyFill="1" applyBorder="1" applyAlignment="1">
      <alignment horizontal="right"/>
    </xf>
    <xf numFmtId="43" fontId="1" fillId="4" borderId="1" xfId="0" applyNumberFormat="1" applyFont="1" applyFill="1" applyBorder="1"/>
    <xf numFmtId="164" fontId="1" fillId="4" borderId="1" xfId="1" applyFont="1" applyFill="1" applyBorder="1"/>
    <xf numFmtId="0" fontId="6" fillId="0" borderId="0" xfId="0" applyFont="1"/>
    <xf numFmtId="0" fontId="7" fillId="0" borderId="1" xfId="0" applyFont="1" applyBorder="1" applyAlignment="1">
      <alignment horizontal="right"/>
    </xf>
    <xf numFmtId="164" fontId="3" fillId="0" borderId="1" xfId="1" applyFont="1" applyBorder="1"/>
    <xf numFmtId="164" fontId="6" fillId="0" borderId="0" xfId="1" applyFont="1"/>
    <xf numFmtId="0" fontId="8" fillId="0" borderId="0" xfId="0" applyFont="1"/>
    <xf numFmtId="0" fontId="9" fillId="0" borderId="0" xfId="0" applyFont="1"/>
    <xf numFmtId="0" fontId="10" fillId="0" borderId="0" xfId="0" applyFont="1" applyBorder="1" applyAlignment="1">
      <alignment horizontal="right"/>
    </xf>
    <xf numFmtId="4" fontId="11" fillId="2" borderId="0" xfId="0" applyNumberFormat="1" applyFont="1" applyFill="1" applyBorder="1"/>
    <xf numFmtId="164" fontId="11" fillId="2" borderId="0" xfId="1" applyFont="1" applyFill="1" applyBorder="1" applyAlignment="1">
      <alignment horizontal="right" vertical="top" wrapText="1"/>
    </xf>
    <xf numFmtId="4" fontId="11" fillId="2" borderId="0" xfId="0" applyNumberFormat="1" applyFont="1" applyFill="1" applyBorder="1" applyAlignment="1">
      <alignment horizontal="right"/>
    </xf>
    <xf numFmtId="0" fontId="4" fillId="2" borderId="0" xfId="0" applyFont="1" applyFill="1" applyAlignment="1">
      <alignment wrapText="1"/>
    </xf>
    <xf numFmtId="0" fontId="14" fillId="0" borderId="0" xfId="0" applyFont="1" applyBorder="1" applyAlignment="1">
      <alignment horizontal="right"/>
    </xf>
    <xf numFmtId="16" fontId="14" fillId="2" borderId="0" xfId="0" applyNumberFormat="1" applyFont="1" applyFill="1" applyBorder="1" applyAlignment="1">
      <alignment horizontal="center" wrapText="1"/>
    </xf>
    <xf numFmtId="0" fontId="15" fillId="0" borderId="0" xfId="0" applyFont="1" applyBorder="1"/>
    <xf numFmtId="0" fontId="14" fillId="0" borderId="0" xfId="0" applyFont="1" applyBorder="1" applyAlignment="1">
      <alignment horizontal="right" wrapText="1"/>
    </xf>
    <xf numFmtId="4" fontId="16" fillId="2" borderId="0" xfId="0" applyNumberFormat="1" applyFont="1" applyFill="1" applyBorder="1"/>
    <xf numFmtId="4" fontId="16" fillId="2" borderId="0" xfId="0" applyNumberFormat="1" applyFont="1" applyFill="1" applyBorder="1" applyAlignment="1">
      <alignment horizontal="right"/>
    </xf>
    <xf numFmtId="164" fontId="16" fillId="2" borderId="0" xfId="1" applyFont="1" applyFill="1" applyBorder="1" applyAlignment="1">
      <alignment horizontal="right" vertical="top" wrapText="1"/>
    </xf>
    <xf numFmtId="0" fontId="17" fillId="0" borderId="0" xfId="0" applyFont="1" applyBorder="1" applyAlignment="1">
      <alignment horizontal="right" wrapText="1"/>
    </xf>
    <xf numFmtId="164" fontId="18" fillId="0" borderId="0" xfId="1" applyFont="1" applyBorder="1"/>
    <xf numFmtId="4" fontId="18" fillId="2" borderId="0" xfId="0" applyNumberFormat="1" applyFont="1" applyFill="1" applyBorder="1"/>
    <xf numFmtId="0" fontId="17" fillId="0" borderId="0" xfId="0" applyFont="1" applyBorder="1" applyAlignment="1">
      <alignment horizontal="right"/>
    </xf>
    <xf numFmtId="4" fontId="18" fillId="2" borderId="0" xfId="0" applyNumberFormat="1" applyFont="1" applyFill="1" applyBorder="1" applyAlignment="1">
      <alignment horizontal="right"/>
    </xf>
    <xf numFmtId="164" fontId="18" fillId="2" borderId="0" xfId="1" applyFont="1" applyFill="1" applyBorder="1" applyAlignment="1">
      <alignment horizontal="right" vertical="top" wrapText="1"/>
    </xf>
    <xf numFmtId="0" fontId="10" fillId="0" borderId="0" xfId="0" applyFont="1" applyAlignment="1">
      <alignment horizontal="right"/>
    </xf>
    <xf numFmtId="4" fontId="11" fillId="2" borderId="0" xfId="0" applyNumberFormat="1" applyFont="1" applyFill="1"/>
    <xf numFmtId="0" fontId="7" fillId="0" borderId="0" xfId="0" applyFont="1" applyAlignment="1">
      <alignment horizontal="right"/>
    </xf>
    <xf numFmtId="4" fontId="3" fillId="2" borderId="0" xfId="0" applyNumberFormat="1" applyFont="1" applyFill="1"/>
    <xf numFmtId="0" fontId="0" fillId="7" borderId="1" xfId="0" applyFill="1" applyBorder="1"/>
    <xf numFmtId="0" fontId="20" fillId="8" borderId="1" xfId="0" applyFont="1" applyFill="1" applyBorder="1"/>
    <xf numFmtId="0" fontId="21" fillId="3" borderId="1" xfId="0" applyFont="1" applyFill="1" applyBorder="1" applyAlignment="1">
      <alignment horizontal="center" vertical="top" wrapText="1"/>
    </xf>
    <xf numFmtId="0" fontId="21" fillId="3" borderId="1" xfId="0" applyFont="1" applyFill="1" applyBorder="1" applyAlignment="1">
      <alignment vertical="top" wrapText="1"/>
    </xf>
    <xf numFmtId="0" fontId="20" fillId="3" borderId="1" xfId="0" applyFont="1" applyFill="1" applyBorder="1" applyAlignment="1">
      <alignment vertical="top" wrapText="1"/>
    </xf>
    <xf numFmtId="0" fontId="20" fillId="3" borderId="1" xfId="0" applyFont="1" applyFill="1" applyBorder="1" applyAlignment="1">
      <alignment horizontal="center" vertical="top"/>
    </xf>
    <xf numFmtId="0" fontId="20" fillId="3" borderId="1" xfId="0" applyFont="1" applyFill="1" applyBorder="1" applyAlignment="1">
      <alignment horizontal="center" vertical="top" wrapText="1"/>
    </xf>
    <xf numFmtId="0" fontId="0" fillId="0" borderId="1" xfId="0" applyBorder="1"/>
    <xf numFmtId="164" fontId="24" fillId="2" borderId="1" xfId="10" applyFont="1" applyFill="1" applyBorder="1"/>
    <xf numFmtId="10" fontId="24" fillId="8" borderId="1" xfId="2" applyNumberFormat="1" applyFont="1" applyFill="1" applyBorder="1" applyAlignment="1">
      <alignment horizontal="center"/>
    </xf>
    <xf numFmtId="4" fontId="24" fillId="2" borderId="1" xfId="0" applyNumberFormat="1" applyFont="1" applyFill="1" applyBorder="1" applyAlignment="1">
      <alignment horizontal="right"/>
    </xf>
    <xf numFmtId="164" fontId="24" fillId="10" borderId="1" xfId="1" applyFont="1" applyFill="1" applyBorder="1" applyAlignment="1">
      <alignment horizontal="center"/>
    </xf>
    <xf numFmtId="4" fontId="24" fillId="2" borderId="1" xfId="0" applyNumberFormat="1" applyFont="1" applyFill="1" applyBorder="1"/>
    <xf numFmtId="164" fontId="22" fillId="10" borderId="1" xfId="1" applyFont="1" applyFill="1" applyBorder="1" applyAlignment="1">
      <alignment horizontal="center"/>
    </xf>
    <xf numFmtId="164" fontId="24" fillId="2" borderId="1" xfId="1" applyFont="1" applyFill="1" applyBorder="1"/>
    <xf numFmtId="0" fontId="22" fillId="0" borderId="1" xfId="0" applyFont="1" applyBorder="1"/>
    <xf numFmtId="0" fontId="22" fillId="2" borderId="1" xfId="0" applyFont="1" applyFill="1" applyBorder="1"/>
    <xf numFmtId="0" fontId="21" fillId="2" borderId="1" xfId="0" applyFont="1" applyFill="1" applyBorder="1" applyAlignment="1">
      <alignment horizontal="right"/>
    </xf>
    <xf numFmtId="164" fontId="21" fillId="2" borderId="1" xfId="1" applyFont="1" applyFill="1" applyBorder="1" applyAlignment="1">
      <alignment horizontal="right" vertical="top" wrapText="1"/>
    </xf>
    <xf numFmtId="10" fontId="26" fillId="8" borderId="1" xfId="2" applyNumberFormat="1" applyFont="1" applyFill="1" applyBorder="1" applyAlignment="1">
      <alignment horizontal="center" vertical="top" wrapText="1"/>
    </xf>
    <xf numFmtId="10" fontId="24" fillId="2" borderId="1" xfId="2" applyNumberFormat="1" applyFont="1" applyFill="1" applyBorder="1" applyAlignment="1">
      <alignment horizontal="center" vertical="top" wrapText="1"/>
    </xf>
    <xf numFmtId="4" fontId="24" fillId="2" borderId="1" xfId="1" applyNumberFormat="1" applyFont="1" applyFill="1" applyBorder="1" applyAlignment="1">
      <alignment vertical="top" wrapText="1"/>
    </xf>
    <xf numFmtId="164" fontId="21" fillId="10" borderId="1" xfId="1" applyFont="1" applyFill="1" applyBorder="1" applyAlignment="1">
      <alignment horizontal="center"/>
    </xf>
    <xf numFmtId="0" fontId="24" fillId="2" borderId="1" xfId="0" applyFont="1" applyFill="1" applyBorder="1" applyAlignment="1">
      <alignment horizontal="center" wrapText="1"/>
    </xf>
    <xf numFmtId="164" fontId="24" fillId="2" borderId="1" xfId="10" applyFont="1" applyFill="1" applyBorder="1" applyAlignment="1">
      <alignment horizontal="right"/>
    </xf>
    <xf numFmtId="4" fontId="24" fillId="2" borderId="1" xfId="1" applyNumberFormat="1" applyFont="1" applyFill="1" applyBorder="1" applyAlignment="1">
      <alignment horizontal="right"/>
    </xf>
    <xf numFmtId="164" fontId="24" fillId="10" borderId="1" xfId="1" applyFont="1" applyFill="1" applyBorder="1" applyAlignment="1">
      <alignment horizontal="center" wrapText="1"/>
    </xf>
    <xf numFmtId="164" fontId="24" fillId="2" borderId="1" xfId="10" applyFont="1" applyFill="1" applyBorder="1" applyAlignment="1">
      <alignment horizontal="right" wrapText="1"/>
    </xf>
    <xf numFmtId="164" fontId="21" fillId="2" borderId="1" xfId="1" applyFont="1" applyFill="1" applyBorder="1" applyAlignment="1">
      <alignment horizontal="right"/>
    </xf>
    <xf numFmtId="164" fontId="20" fillId="3" borderId="1" xfId="1" applyFont="1" applyFill="1" applyBorder="1" applyAlignment="1">
      <alignment horizontal="center" vertical="top"/>
    </xf>
    <xf numFmtId="10" fontId="24" fillId="10" borderId="1" xfId="2" applyNumberFormat="1" applyFont="1" applyFill="1" applyBorder="1" applyAlignment="1">
      <alignment horizontal="center"/>
    </xf>
    <xf numFmtId="10" fontId="22" fillId="10" borderId="1" xfId="2" applyNumberFormat="1" applyFont="1" applyFill="1" applyBorder="1" applyAlignment="1">
      <alignment horizontal="center"/>
    </xf>
    <xf numFmtId="10" fontId="24" fillId="10" borderId="1" xfId="2" applyNumberFormat="1" applyFont="1" applyFill="1" applyBorder="1" applyAlignment="1">
      <alignment horizontal="center" vertical="top" wrapText="1"/>
    </xf>
    <xf numFmtId="10" fontId="24" fillId="10" borderId="1" xfId="2" applyNumberFormat="1" applyFont="1" applyFill="1" applyBorder="1" applyAlignment="1">
      <alignment horizontal="center" wrapText="1"/>
    </xf>
    <xf numFmtId="10" fontId="24" fillId="8" borderId="1" xfId="2" applyNumberFormat="1" applyFont="1" applyFill="1" applyBorder="1" applyAlignment="1">
      <alignment horizontal="center" wrapText="1"/>
    </xf>
    <xf numFmtId="10" fontId="24" fillId="10" borderId="1" xfId="1" applyNumberFormat="1" applyFont="1" applyFill="1" applyBorder="1" applyAlignment="1">
      <alignment horizontal="center"/>
    </xf>
    <xf numFmtId="10" fontId="24" fillId="3" borderId="1" xfId="2" applyNumberFormat="1" applyFont="1" applyFill="1" applyBorder="1" applyAlignment="1">
      <alignment horizontal="center" vertical="top" wrapText="1"/>
    </xf>
    <xf numFmtId="10" fontId="22" fillId="3" borderId="1" xfId="2" applyNumberFormat="1" applyFont="1" applyFill="1" applyBorder="1" applyAlignment="1">
      <alignment horizontal="center" vertical="top" wrapText="1"/>
    </xf>
    <xf numFmtId="10" fontId="22" fillId="3" borderId="1" xfId="1" applyNumberFormat="1" applyFont="1" applyFill="1" applyBorder="1" applyAlignment="1">
      <alignment horizontal="center" vertical="top" wrapText="1"/>
    </xf>
    <xf numFmtId="10" fontId="27" fillId="11" borderId="0" xfId="0" applyNumberFormat="1" applyFont="1" applyFill="1" applyAlignment="1">
      <alignment horizontal="right" vertical="center" wrapText="1"/>
    </xf>
    <xf numFmtId="2" fontId="24" fillId="2" borderId="1" xfId="0" applyNumberFormat="1" applyFont="1" applyFill="1" applyBorder="1"/>
    <xf numFmtId="164" fontId="24" fillId="2" borderId="1" xfId="10" applyFont="1" applyFill="1" applyBorder="1" applyAlignment="1">
      <alignment wrapText="1"/>
    </xf>
    <xf numFmtId="164" fontId="24" fillId="12" borderId="1" xfId="1" applyFont="1" applyFill="1" applyBorder="1" applyAlignment="1">
      <alignment horizontal="center"/>
    </xf>
    <xf numFmtId="10" fontId="24" fillId="12" borderId="1" xfId="2" applyNumberFormat="1" applyFont="1" applyFill="1" applyBorder="1" applyAlignment="1">
      <alignment horizontal="center"/>
    </xf>
    <xf numFmtId="10" fontId="24" fillId="7" borderId="1" xfId="2" applyNumberFormat="1" applyFont="1" applyFill="1" applyBorder="1" applyAlignment="1">
      <alignment horizontal="center"/>
    </xf>
    <xf numFmtId="10" fontId="25" fillId="10" borderId="1" xfId="2" applyNumberFormat="1" applyFont="1" applyFill="1" applyBorder="1" applyAlignment="1">
      <alignment horizontal="center" wrapText="1"/>
    </xf>
    <xf numFmtId="4" fontId="0" fillId="0" borderId="0" xfId="0" applyNumberFormat="1"/>
    <xf numFmtId="164" fontId="29" fillId="0" borderId="0" xfId="1" applyFont="1"/>
    <xf numFmtId="4" fontId="30" fillId="0" borderId="0" xfId="0" applyNumberFormat="1" applyFont="1"/>
    <xf numFmtId="2" fontId="0" fillId="0" borderId="0" xfId="0" applyNumberFormat="1"/>
    <xf numFmtId="165" fontId="0" fillId="0" borderId="0" xfId="0" applyNumberFormat="1"/>
    <xf numFmtId="4" fontId="31" fillId="11" borderId="0" xfId="0" applyNumberFormat="1" applyFont="1" applyFill="1" applyAlignment="1">
      <alignment horizontal="right" vertical="center" wrapText="1"/>
    </xf>
    <xf numFmtId="0" fontId="21" fillId="0" borderId="1" xfId="0" applyFont="1" applyBorder="1" applyAlignment="1">
      <alignment horizontal="right"/>
    </xf>
    <xf numFmtId="4" fontId="33" fillId="0" borderId="1" xfId="0" applyNumberFormat="1" applyFont="1" applyFill="1" applyBorder="1" applyAlignment="1" applyProtection="1"/>
    <xf numFmtId="0" fontId="34" fillId="2" borderId="1" xfId="0" applyFont="1" applyFill="1" applyBorder="1"/>
    <xf numFmtId="4" fontId="24" fillId="2" borderId="1" xfId="1" applyNumberFormat="1" applyFont="1" applyFill="1" applyBorder="1" applyAlignment="1">
      <alignment horizontal="right" vertical="top" wrapText="1"/>
    </xf>
    <xf numFmtId="164" fontId="21" fillId="2" borderId="1" xfId="1" applyFont="1" applyFill="1" applyBorder="1"/>
    <xf numFmtId="43" fontId="24" fillId="2" borderId="1" xfId="0" applyNumberFormat="1" applyFont="1" applyFill="1" applyBorder="1"/>
    <xf numFmtId="4" fontId="24" fillId="2" borderId="1" xfId="10" applyNumberFormat="1" applyFont="1" applyFill="1" applyBorder="1" applyAlignment="1">
      <alignment horizontal="right"/>
    </xf>
    <xf numFmtId="4" fontId="24" fillId="2" borderId="1" xfId="0" applyNumberFormat="1" applyFont="1" applyFill="1" applyBorder="1" applyAlignment="1">
      <alignment horizontal="right" wrapText="1"/>
    </xf>
    <xf numFmtId="4" fontId="24" fillId="2" borderId="1" xfId="10" applyNumberFormat="1" applyFont="1" applyFill="1" applyBorder="1" applyAlignment="1">
      <alignment horizontal="right" wrapText="1"/>
    </xf>
    <xf numFmtId="4" fontId="24" fillId="10" borderId="1" xfId="1" applyNumberFormat="1" applyFont="1" applyFill="1" applyBorder="1" applyAlignment="1">
      <alignment horizontal="center"/>
    </xf>
    <xf numFmtId="4" fontId="24" fillId="10" borderId="1" xfId="1" applyNumberFormat="1" applyFont="1" applyFill="1" applyBorder="1" applyAlignment="1">
      <alignment horizontal="center" vertical="top" wrapText="1"/>
    </xf>
    <xf numFmtId="43" fontId="24" fillId="10" borderId="1" xfId="0" applyNumberFormat="1" applyFont="1" applyFill="1" applyBorder="1" applyAlignment="1">
      <alignment horizontal="center"/>
    </xf>
    <xf numFmtId="164" fontId="0" fillId="0" borderId="0" xfId="1" applyFont="1"/>
    <xf numFmtId="4" fontId="21" fillId="10" borderId="1" xfId="1" applyNumberFormat="1" applyFont="1" applyFill="1" applyBorder="1" applyAlignment="1">
      <alignment horizontal="right" vertical="top" wrapText="1"/>
    </xf>
    <xf numFmtId="0" fontId="24" fillId="15" borderId="1" xfId="0" applyFont="1" applyFill="1" applyBorder="1" applyAlignment="1">
      <alignment horizontal="right" vertical="center"/>
    </xf>
    <xf numFmtId="0" fontId="21" fillId="15" borderId="1" xfId="0" applyFont="1" applyFill="1" applyBorder="1" applyAlignment="1">
      <alignment horizontal="right" vertical="center"/>
    </xf>
    <xf numFmtId="164" fontId="21" fillId="15" borderId="1" xfId="1" applyFont="1" applyFill="1" applyBorder="1" applyAlignment="1">
      <alignment horizontal="right" vertical="center" wrapText="1"/>
    </xf>
    <xf numFmtId="10" fontId="24" fillId="15" borderId="1" xfId="1" applyNumberFormat="1" applyFont="1" applyFill="1" applyBorder="1" applyAlignment="1">
      <alignment horizontal="right" vertical="center" wrapText="1"/>
    </xf>
    <xf numFmtId="4" fontId="24" fillId="15" borderId="1" xfId="1" applyNumberFormat="1" applyFont="1" applyFill="1" applyBorder="1" applyAlignment="1">
      <alignment horizontal="right" vertical="center" wrapText="1"/>
    </xf>
    <xf numFmtId="164" fontId="21" fillId="15" borderId="1" xfId="1" applyFont="1" applyFill="1" applyBorder="1" applyAlignment="1">
      <alignment horizontal="right" vertical="top" wrapText="1"/>
    </xf>
    <xf numFmtId="4" fontId="24" fillId="2" borderId="1" xfId="10" applyNumberFormat="1" applyFont="1" applyFill="1" applyBorder="1" applyAlignment="1">
      <alignment horizontal="right" vertical="top" wrapText="1"/>
    </xf>
    <xf numFmtId="164" fontId="36" fillId="15" borderId="1" xfId="1" applyFont="1" applyFill="1" applyBorder="1" applyAlignment="1">
      <alignment horizontal="right" vertical="top" wrapText="1"/>
    </xf>
    <xf numFmtId="4" fontId="24" fillId="15" borderId="1" xfId="1" applyNumberFormat="1" applyFont="1" applyFill="1" applyBorder="1" applyAlignment="1">
      <alignment horizontal="right" vertical="top" wrapText="1"/>
    </xf>
    <xf numFmtId="164" fontId="24" fillId="2" borderId="1" xfId="10" applyFont="1" applyFill="1" applyBorder="1" applyAlignment="1">
      <alignment horizontal="right" vertical="top" wrapText="1"/>
    </xf>
    <xf numFmtId="10" fontId="24" fillId="8" borderId="1" xfId="2" applyNumberFormat="1" applyFont="1" applyFill="1" applyBorder="1" applyAlignment="1">
      <alignment horizontal="center" vertical="top" wrapText="1"/>
    </xf>
    <xf numFmtId="164" fontId="24" fillId="10" borderId="1" xfId="1" applyFont="1" applyFill="1" applyBorder="1" applyAlignment="1">
      <alignment horizontal="center" vertical="top" wrapText="1"/>
    </xf>
    <xf numFmtId="164" fontId="24" fillId="2" borderId="1" xfId="1" applyFont="1" applyFill="1" applyBorder="1" applyAlignment="1">
      <alignment horizontal="right" vertical="top" wrapText="1"/>
    </xf>
    <xf numFmtId="0" fontId="25" fillId="15" borderId="1" xfId="0" applyFont="1" applyFill="1" applyBorder="1" applyAlignment="1">
      <alignment horizontal="right"/>
    </xf>
    <xf numFmtId="0" fontId="37" fillId="15" borderId="1" xfId="0" applyFont="1" applyFill="1" applyBorder="1" applyAlignment="1">
      <alignment horizontal="right"/>
    </xf>
    <xf numFmtId="0" fontId="24" fillId="16" borderId="1" xfId="0" applyFont="1" applyFill="1" applyBorder="1" applyAlignment="1">
      <alignment horizontal="right" vertical="top" wrapText="1"/>
    </xf>
    <xf numFmtId="0" fontId="32" fillId="16" borderId="1" xfId="0" applyFont="1" applyFill="1" applyBorder="1" applyAlignment="1">
      <alignment horizontal="right" vertical="top" wrapText="1"/>
    </xf>
    <xf numFmtId="164" fontId="32" fillId="16" borderId="1" xfId="1" applyFont="1" applyFill="1" applyBorder="1" applyAlignment="1">
      <alignment horizontal="right" vertical="top" wrapText="1"/>
    </xf>
    <xf numFmtId="164" fontId="38" fillId="16" borderId="1" xfId="1" applyFont="1" applyFill="1" applyBorder="1" applyAlignment="1">
      <alignment horizontal="right" vertical="top" wrapText="1"/>
    </xf>
    <xf numFmtId="4" fontId="38" fillId="16" borderId="1" xfId="0" applyNumberFormat="1" applyFont="1" applyFill="1" applyBorder="1" applyAlignment="1">
      <alignment horizontal="right"/>
    </xf>
    <xf numFmtId="0" fontId="39" fillId="6" borderId="1" xfId="0" applyFont="1" applyFill="1" applyBorder="1" applyAlignment="1">
      <alignment horizontal="right" vertical="center"/>
    </xf>
    <xf numFmtId="0" fontId="8" fillId="6" borderId="1" xfId="0" applyFont="1" applyFill="1" applyBorder="1"/>
    <xf numFmtId="0" fontId="40" fillId="0" borderId="0" xfId="0" applyFont="1"/>
    <xf numFmtId="43" fontId="0" fillId="0" borderId="0" xfId="0" applyNumberFormat="1"/>
    <xf numFmtId="0" fontId="41" fillId="0" borderId="0" xfId="0" applyFont="1"/>
    <xf numFmtId="0" fontId="34" fillId="2" borderId="0" xfId="0" applyFont="1" applyFill="1" applyAlignment="1">
      <alignment wrapText="1"/>
    </xf>
    <xf numFmtId="43" fontId="41" fillId="0" borderId="0" xfId="11" applyFont="1" applyBorder="1"/>
    <xf numFmtId="2" fontId="41" fillId="0" borderId="0" xfId="0" applyNumberFormat="1" applyFont="1"/>
    <xf numFmtId="9" fontId="24" fillId="15" borderId="1" xfId="2" applyFont="1" applyFill="1" applyBorder="1" applyAlignment="1">
      <alignment horizontal="center" vertical="center" wrapText="1"/>
    </xf>
    <xf numFmtId="4" fontId="24" fillId="15" borderId="1" xfId="1" applyNumberFormat="1" applyFont="1" applyFill="1" applyBorder="1" applyAlignment="1">
      <alignment horizontal="center" vertical="center" wrapText="1"/>
    </xf>
    <xf numFmtId="4" fontId="24" fillId="15" borderId="1" xfId="1" applyNumberFormat="1" applyFont="1" applyFill="1" applyBorder="1" applyAlignment="1">
      <alignment horizontal="center" vertical="top" wrapText="1"/>
    </xf>
    <xf numFmtId="9" fontId="38" fillId="16" borderId="1" xfId="2" applyFont="1" applyFill="1" applyBorder="1" applyAlignment="1">
      <alignment horizontal="center"/>
    </xf>
    <xf numFmtId="4" fontId="38" fillId="16" borderId="1" xfId="0" applyNumberFormat="1" applyFont="1" applyFill="1" applyBorder="1" applyAlignment="1">
      <alignment horizontal="center"/>
    </xf>
    <xf numFmtId="10" fontId="41" fillId="0" borderId="0" xfId="2" applyNumberFormat="1" applyFont="1" applyBorder="1"/>
    <xf numFmtId="10" fontId="42" fillId="0" borderId="0" xfId="2" applyNumberFormat="1" applyFont="1" applyBorder="1"/>
    <xf numFmtId="10" fontId="22" fillId="15" borderId="1" xfId="2" applyNumberFormat="1" applyFont="1" applyFill="1" applyBorder="1" applyAlignment="1">
      <alignment horizontal="center" vertical="top" wrapText="1"/>
    </xf>
    <xf numFmtId="166" fontId="22" fillId="15" borderId="1" xfId="2" applyNumberFormat="1" applyFont="1" applyFill="1" applyBorder="1" applyAlignment="1">
      <alignment horizontal="center" vertical="top" wrapText="1"/>
    </xf>
    <xf numFmtId="10" fontId="22" fillId="15" borderId="1" xfId="1" applyNumberFormat="1" applyFont="1" applyFill="1" applyBorder="1" applyAlignment="1">
      <alignment horizontal="center" vertical="top" wrapText="1"/>
    </xf>
    <xf numFmtId="10" fontId="38" fillId="16" borderId="1" xfId="2" applyNumberFormat="1" applyFont="1" applyFill="1" applyBorder="1" applyAlignment="1">
      <alignment horizontal="center" vertical="top" wrapText="1"/>
    </xf>
    <xf numFmtId="166" fontId="38" fillId="16" borderId="1" xfId="2" applyNumberFormat="1" applyFont="1" applyFill="1" applyBorder="1" applyAlignment="1">
      <alignment horizontal="center" vertical="top" wrapText="1"/>
    </xf>
    <xf numFmtId="166" fontId="24" fillId="16" borderId="1" xfId="2" applyNumberFormat="1" applyFont="1" applyFill="1" applyBorder="1" applyAlignment="1">
      <alignment horizontal="center" vertical="top" wrapText="1"/>
    </xf>
    <xf numFmtId="43" fontId="1" fillId="4" borderId="1" xfId="0" quotePrefix="1" applyNumberFormat="1" applyFont="1" applyFill="1" applyBorder="1" applyAlignment="1">
      <alignment horizontal="center"/>
    </xf>
    <xf numFmtId="164" fontId="50" fillId="2" borderId="1" xfId="10" applyFont="1" applyFill="1" applyBorder="1"/>
    <xf numFmtId="0" fontId="51" fillId="3" borderId="1" xfId="0" applyFont="1" applyFill="1" applyBorder="1" applyAlignment="1">
      <alignment horizontal="center" vertical="top" wrapText="1"/>
    </xf>
    <xf numFmtId="10" fontId="50" fillId="10" borderId="1" xfId="2" applyNumberFormat="1" applyFont="1" applyFill="1" applyBorder="1" applyAlignment="1">
      <alignment horizontal="center"/>
    </xf>
    <xf numFmtId="164" fontId="3" fillId="2" borderId="0" xfId="1" applyFont="1" applyFill="1" applyBorder="1" applyAlignment="1">
      <alignment horizontal="right" vertical="top" wrapText="1"/>
    </xf>
    <xf numFmtId="0" fontId="8" fillId="0" borderId="0" xfId="0" applyFont="1" applyBorder="1"/>
    <xf numFmtId="4" fontId="3" fillId="2" borderId="0" xfId="0" applyNumberFormat="1" applyFont="1" applyFill="1" applyAlignment="1">
      <alignment horizontal="right"/>
    </xf>
    <xf numFmtId="0" fontId="54" fillId="0" borderId="0" xfId="0" applyFont="1" applyBorder="1" applyAlignment="1">
      <alignment horizontal="right"/>
    </xf>
    <xf numFmtId="16" fontId="10" fillId="2" borderId="0" xfId="0" applyNumberFormat="1" applyFont="1" applyFill="1" applyBorder="1"/>
    <xf numFmtId="164" fontId="8" fillId="0" borderId="0" xfId="1" applyFont="1" applyBorder="1"/>
    <xf numFmtId="0" fontId="53" fillId="0" borderId="0" xfId="0" applyFont="1"/>
    <xf numFmtId="16" fontId="55" fillId="2" borderId="0" xfId="0" applyNumberFormat="1" applyFont="1" applyFill="1"/>
    <xf numFmtId="164" fontId="56" fillId="0" borderId="0" xfId="1" applyFont="1"/>
    <xf numFmtId="43" fontId="56" fillId="0" borderId="0" xfId="0" applyNumberFormat="1" applyFont="1"/>
    <xf numFmtId="4" fontId="56" fillId="0" borderId="0" xfId="0" applyNumberFormat="1" applyFont="1"/>
    <xf numFmtId="0" fontId="39" fillId="6" borderId="1" xfId="0" applyFont="1" applyFill="1" applyBorder="1" applyAlignment="1">
      <alignment horizontal="left"/>
    </xf>
    <xf numFmtId="0" fontId="57" fillId="0" borderId="0" xfId="0" applyFont="1"/>
    <xf numFmtId="0" fontId="24" fillId="0" borderId="1" xfId="0" applyFont="1" applyBorder="1" applyAlignment="1">
      <alignment horizontal="center" vertical="center"/>
    </xf>
    <xf numFmtId="4" fontId="24" fillId="2" borderId="1" xfId="0" applyNumberFormat="1" applyFont="1" applyFill="1" applyBorder="1" applyAlignment="1">
      <alignment wrapText="1"/>
    </xf>
    <xf numFmtId="0" fontId="24" fillId="2" borderId="1" xfId="0" applyFont="1" applyFill="1" applyBorder="1" applyAlignment="1">
      <alignment wrapText="1"/>
    </xf>
    <xf numFmtId="0" fontId="24" fillId="0" borderId="1" xfId="0" applyFont="1" applyBorder="1" applyAlignment="1">
      <alignment horizontal="center"/>
    </xf>
    <xf numFmtId="49" fontId="24" fillId="0" borderId="1" xfId="0" applyNumberFormat="1" applyFont="1" applyBorder="1" applyAlignment="1">
      <alignment wrapText="1"/>
    </xf>
    <xf numFmtId="0" fontId="58" fillId="8" borderId="1" xfId="0" applyFont="1" applyFill="1" applyBorder="1"/>
    <xf numFmtId="0" fontId="24" fillId="2" borderId="1" xfId="0" applyFont="1" applyFill="1" applyBorder="1" applyAlignment="1">
      <alignment horizontal="left" wrapText="1"/>
    </xf>
    <xf numFmtId="0" fontId="19" fillId="6" borderId="1" xfId="0" applyFont="1" applyFill="1" applyBorder="1" applyAlignment="1">
      <alignment horizontal="center"/>
    </xf>
    <xf numFmtId="0" fontId="20" fillId="8" borderId="1" xfId="0" applyFont="1" applyFill="1" applyBorder="1" applyAlignment="1">
      <alignment horizontal="center" vertical="top" wrapText="1"/>
    </xf>
    <xf numFmtId="0" fontId="22" fillId="2" borderId="1" xfId="0" applyFont="1" applyFill="1" applyBorder="1" applyAlignment="1">
      <alignment horizontal="center" vertical="top" wrapText="1"/>
    </xf>
    <xf numFmtId="0" fontId="23" fillId="9" borderId="1" xfId="0" applyFont="1" applyFill="1" applyBorder="1" applyAlignment="1">
      <alignment horizontal="center"/>
    </xf>
    <xf numFmtId="0" fontId="24" fillId="2" borderId="1" xfId="0" applyFont="1" applyFill="1" applyBorder="1" applyAlignment="1">
      <alignment horizontal="center" wrapText="1"/>
    </xf>
    <xf numFmtId="0" fontId="28" fillId="13" borderId="1" xfId="0" applyFont="1" applyFill="1" applyBorder="1" applyAlignment="1">
      <alignment horizontal="center"/>
    </xf>
    <xf numFmtId="0" fontId="32" fillId="9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32" fillId="14" borderId="1" xfId="0" applyFont="1" applyFill="1" applyBorder="1" applyAlignment="1">
      <alignment horizontal="center" wrapText="1"/>
    </xf>
    <xf numFmtId="0" fontId="35" fillId="9" borderId="1" xfId="0" applyFont="1" applyFill="1" applyBorder="1" applyAlignment="1">
      <alignment horizontal="center"/>
    </xf>
    <xf numFmtId="0" fontId="22" fillId="2" borderId="1" xfId="0" applyFont="1" applyFill="1" applyBorder="1" applyAlignment="1">
      <alignment horizontal="center"/>
    </xf>
    <xf numFmtId="0" fontId="12" fillId="5" borderId="0" xfId="0" applyFont="1" applyFill="1" applyAlignment="1">
      <alignment horizontal="center" wrapText="1"/>
    </xf>
    <xf numFmtId="0" fontId="13" fillId="5" borderId="0" xfId="0" applyFont="1" applyFill="1" applyAlignment="1">
      <alignment horizontal="center" wrapText="1"/>
    </xf>
    <xf numFmtId="4" fontId="24" fillId="0" borderId="1" xfId="0" applyNumberFormat="1" applyFont="1" applyBorder="1" applyAlignment="1">
      <alignment wrapText="1"/>
    </xf>
    <xf numFmtId="0" fontId="24" fillId="2" borderId="1" xfId="0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/>
    </xf>
  </cellXfs>
  <cellStyles count="31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14" xfId="28"/>
    <cellStyle name="Comma 15" xfId="30"/>
    <cellStyle name="Comma 2" xfId="11"/>
    <cellStyle name="Comma 2 2" xfId="12"/>
    <cellStyle name="Comma 3" xfId="13"/>
    <cellStyle name="Comma 3 2" xfId="14"/>
    <cellStyle name="Comma 3 2 2" xfId="15"/>
    <cellStyle name="Comma 4" xfId="16"/>
    <cellStyle name="Comma 5" xfId="17"/>
    <cellStyle name="Comma 6" xfId="18"/>
    <cellStyle name="Comma 8" xfId="19"/>
    <cellStyle name="Neutral 2" xfId="20"/>
    <cellStyle name="Normal" xfId="0" builtinId="0"/>
    <cellStyle name="Normal 2" xfId="21"/>
    <cellStyle name="Normal 2 2" xfId="22"/>
    <cellStyle name="Normal 27 2" xfId="23"/>
    <cellStyle name="Percent" xfId="2" builtinId="5"/>
    <cellStyle name="Percent 13" xfId="29"/>
    <cellStyle name="Percent 2 2" xfId="24"/>
    <cellStyle name="Percent 5" xfId="25"/>
    <cellStyle name="Percent 6" xfId="26"/>
    <cellStyle name="Title 2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November 29, 2024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Comparison'!$A$4:$A$10</c:f>
              <c:strCache>
                <c:ptCount val="7"/>
                <c:pt idx="0">
                  <c:v>MONEY MARKET FUNDS</c:v>
                </c:pt>
                <c:pt idx="1">
                  <c:v>BONDS/FIXED INCOME FUNDS</c:v>
                </c:pt>
                <c:pt idx="2">
                  <c:v>DOLLAR FUNDS</c:v>
                </c:pt>
                <c:pt idx="3">
                  <c:v>REAL ESTATE INVESTMENT TRUST</c:v>
                </c:pt>
                <c:pt idx="4">
                  <c:v>BALANCED FUNDS</c:v>
                </c:pt>
                <c:pt idx="5">
                  <c:v>ETHICAL FUNDS</c:v>
                </c:pt>
                <c:pt idx="6">
                  <c:v>SHARI'AH COMPLAINT FUNDS</c:v>
                </c:pt>
              </c:strCache>
            </c:strRef>
          </c:cat>
          <c:val>
            <c:numRef>
              <c:f>'NAV Comparison'!$B$4:$B$10</c:f>
              <c:numCache>
                <c:formatCode>#,##0.00</c:formatCode>
                <c:ptCount val="7"/>
                <c:pt idx="0">
                  <c:v>1581.147259519779</c:v>
                </c:pt>
                <c:pt idx="1">
                  <c:v>211.81708627375338</c:v>
                </c:pt>
                <c:pt idx="2">
                  <c:v>1817.8268801037505</c:v>
                </c:pt>
                <c:pt idx="3">
                  <c:v>99.287613486429763</c:v>
                </c:pt>
                <c:pt idx="4" formatCode="_-* #,##0.00_-;\-* #,##0.00_-;_-* &quot;-&quot;??_-;_-@_-">
                  <c:v>53.277880968774504</c:v>
                </c:pt>
                <c:pt idx="5">
                  <c:v>5.6453872829300007</c:v>
                </c:pt>
                <c:pt idx="6">
                  <c:v>51.417030730333892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C4-4569-86DB-18C6F766F1CB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December 6, 2024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Comparison'!$A$4:$A$10</c:f>
              <c:strCache>
                <c:ptCount val="7"/>
                <c:pt idx="0">
                  <c:v>MONEY MARKET FUNDS</c:v>
                </c:pt>
                <c:pt idx="1">
                  <c:v>BONDS/FIXED INCOME FUNDS</c:v>
                </c:pt>
                <c:pt idx="2">
                  <c:v>DOLLAR FUNDS</c:v>
                </c:pt>
                <c:pt idx="3">
                  <c:v>REAL ESTATE INVESTMENT TRUST</c:v>
                </c:pt>
                <c:pt idx="4">
                  <c:v>BALANCED FUNDS</c:v>
                </c:pt>
                <c:pt idx="5">
                  <c:v>ETHICAL FUNDS</c:v>
                </c:pt>
                <c:pt idx="6">
                  <c:v>SHARI'AH COMPLAINT FUNDS</c:v>
                </c:pt>
              </c:strCache>
            </c:strRef>
          </c:cat>
          <c:val>
            <c:numRef>
              <c:f>'NAV Comparison'!$C$4:$C$10</c:f>
              <c:numCache>
                <c:formatCode>#,##0.00</c:formatCode>
                <c:ptCount val="7"/>
                <c:pt idx="0">
                  <c:v>1605.1471654078784</c:v>
                </c:pt>
                <c:pt idx="1">
                  <c:v>200.48940085013456</c:v>
                </c:pt>
                <c:pt idx="2">
                  <c:v>1721.2274038896946</c:v>
                </c:pt>
                <c:pt idx="3">
                  <c:v>99.753756571315762</c:v>
                </c:pt>
                <c:pt idx="4" formatCode="_-* #,##0.00_-;\-* #,##0.00_-;_-* &quot;-&quot;??_-;_-@_-">
                  <c:v>53.833340267497753</c:v>
                </c:pt>
                <c:pt idx="5">
                  <c:v>5.7460852203999995</c:v>
                </c:pt>
                <c:pt idx="6">
                  <c:v>51.477005540102269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C4-4569-86DB-18C6F766F1C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6TH DECEMBER, 2024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3407699914128499"/>
          <c:y val="3.1719518867076697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6-Dec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6C1-41E2-BD65-8D78AE0E5F1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6C1-41E2-BD65-8D78AE0E5F1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6C1-41E2-BD65-8D78AE0E5F1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6C1-41E2-BD65-8D78AE0E5F1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6C1-41E2-BD65-8D78AE0E5F1E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6C1-41E2-BD65-8D78AE0E5F1E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6C1-41E2-BD65-8D78AE0E5F1E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6C1-41E2-BD65-8D78AE0E5F1E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599855860808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6C1-41E2-BD65-8D78AE0E5F1E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6C1-41E2-BD65-8D78AE0E5F1E}"/>
                </c:ext>
              </c:extLst>
            </c:dLbl>
            <c:dLbl>
              <c:idx val="2"/>
              <c:layout>
                <c:manualLayout>
                  <c:x val="-2.65269710991878E-2"/>
                  <c:y val="-9.75631175571893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6C1-41E2-BD65-8D78AE0E5F1E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6C1-41E2-BD65-8D78AE0E5F1E}"/>
                </c:ext>
              </c:extLst>
            </c:dLbl>
            <c:dLbl>
              <c:idx val="4"/>
              <c:layout>
                <c:manualLayout>
                  <c:x val="-2.2105334402515699E-2"/>
                  <c:y val="-0.1021892063928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6C1-41E2-BD65-8D78AE0E5F1E}"/>
                </c:ext>
              </c:extLst>
            </c:dLbl>
            <c:dLbl>
              <c:idx val="5"/>
              <c:layout>
                <c:manualLayout>
                  <c:x val="0.17345977414073499"/>
                  <c:y val="7.18087014623515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6C1-41E2-BD65-8D78AE0E5F1E}"/>
                </c:ext>
              </c:extLst>
            </c:dLbl>
            <c:dLbl>
              <c:idx val="6"/>
              <c:layout>
                <c:manualLayout>
                  <c:x val="-0.11676596925004"/>
                  <c:y val="0.11599855860808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6C1-41E2-BD65-8D78AE0E5F1E}"/>
                </c:ext>
              </c:extLst>
            </c:dLbl>
            <c:dLbl>
              <c:idx val="7"/>
              <c:layout>
                <c:manualLayout>
                  <c:x val="-0.23297582723395899"/>
                  <c:y val="-0.328662582722912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6C1-41E2-BD65-8D78AE0E5F1E}"/>
                </c:ext>
              </c:extLst>
            </c:dLbl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SHARI'AH COMPLAINT FUNDS</c:v>
                </c:pt>
                <c:pt idx="3">
                  <c:v>BALANCED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MONEY MARKET FUNDS</c:v>
                </c:pt>
                <c:pt idx="7">
                  <c:v>DOLLAR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5746085220.3999996</c:v>
                </c:pt>
                <c:pt idx="1">
                  <c:v>30290917801.960003</c:v>
                </c:pt>
                <c:pt idx="2" formatCode="_-* #,##0.00_-;\-* #,##0.00_-;_-* &quot;-&quot;??_-;_-@_-">
                  <c:v>51477005540.102272</c:v>
                </c:pt>
                <c:pt idx="3">
                  <c:v>53833340267.497757</c:v>
                </c:pt>
                <c:pt idx="4">
                  <c:v>99753756571.315765</c:v>
                </c:pt>
                <c:pt idx="5">
                  <c:v>200489400850.13455</c:v>
                </c:pt>
                <c:pt idx="6">
                  <c:v>1605147165407.8784</c:v>
                </c:pt>
                <c:pt idx="7">
                  <c:v>1721227403889.6946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6C1-41E2-BD65-8D78AE0E5F1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45583</c:v>
                </c:pt>
                <c:pt idx="1">
                  <c:v>45590</c:v>
                </c:pt>
                <c:pt idx="2">
                  <c:v>45597</c:v>
                </c:pt>
                <c:pt idx="3">
                  <c:v>45604</c:v>
                </c:pt>
                <c:pt idx="4">
                  <c:v>45611</c:v>
                </c:pt>
                <c:pt idx="5">
                  <c:v>45618</c:v>
                </c:pt>
                <c:pt idx="6">
                  <c:v>45625</c:v>
                </c:pt>
                <c:pt idx="7">
                  <c:v>45632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3649.8560176552623</c:v>
                </c:pt>
                <c:pt idx="1">
                  <c:v>3681.0930784539851</c:v>
                </c:pt>
                <c:pt idx="2">
                  <c:v>3756.0739614136678</c:v>
                </c:pt>
                <c:pt idx="3">
                  <c:v>3781.6039580427923</c:v>
                </c:pt>
                <c:pt idx="4">
                  <c:v>3775.5209725078448</c:v>
                </c:pt>
                <c:pt idx="5">
                  <c:v>3826.7471799710661</c:v>
                </c:pt>
                <c:pt idx="6">
                  <c:v>3850.3823617505013</c:v>
                </c:pt>
                <c:pt idx="7">
                  <c:v>3767.9650755489829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8B-4464-8D73-A29E32154D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17563183"/>
        <c:axId val="917583983"/>
      </c:lineChart>
      <c:dateAx>
        <c:axId val="91756318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83983"/>
        <c:crosses val="autoZero"/>
        <c:auto val="1"/>
        <c:lblOffset val="100"/>
        <c:baseTimeUnit val="days"/>
      </c:dateAx>
      <c:valAx>
        <c:axId val="917583983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63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/>
              <a:t>AGGREGATE </a:t>
            </a:r>
            <a:r>
              <a:rPr lang="en-US" sz="14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45583</c:v>
                </c:pt>
                <c:pt idx="1">
                  <c:v>45590</c:v>
                </c:pt>
                <c:pt idx="2">
                  <c:v>45597</c:v>
                </c:pt>
                <c:pt idx="3">
                  <c:v>45604</c:v>
                </c:pt>
                <c:pt idx="4">
                  <c:v>45611</c:v>
                </c:pt>
                <c:pt idx="5">
                  <c:v>45618</c:v>
                </c:pt>
                <c:pt idx="6">
                  <c:v>45625</c:v>
                </c:pt>
                <c:pt idx="7">
                  <c:v>45632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12.701048297550301</c:v>
                </c:pt>
                <c:pt idx="1">
                  <c:v>12.789155111611999</c:v>
                </c:pt>
                <c:pt idx="2">
                  <c:v>13.1600670153069</c:v>
                </c:pt>
                <c:pt idx="3">
                  <c:v>12.888080361994271</c:v>
                </c:pt>
                <c:pt idx="4">
                  <c:v>12.879805353681869</c:v>
                </c:pt>
                <c:pt idx="5">
                  <c:v>12.922326068600094</c:v>
                </c:pt>
                <c:pt idx="6">
                  <c:v>12.578926303585625</c:v>
                </c:pt>
                <c:pt idx="7">
                  <c:v>12.480727319636602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E-4C32-8EA2-A8782F52023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02158223"/>
        <c:axId val="602149103"/>
      </c:lineChart>
      <c:dateAx>
        <c:axId val="60215822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49103"/>
        <c:crosses val="autoZero"/>
        <c:auto val="1"/>
        <c:lblOffset val="100"/>
        <c:baseTimeUnit val="days"/>
      </c:dateAx>
      <c:valAx>
        <c:axId val="602149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58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510540</xdr:colOff>
      <xdr:row>22</xdr:row>
      <xdr:rowOff>127635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514575</xdr:colOff>
      <xdr:row>30</xdr:row>
      <xdr:rowOff>156883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19</xdr:row>
      <xdr:rowOff>8659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38099</xdr:colOff>
      <xdr:row>18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239"/>
  <sheetViews>
    <sheetView tabSelected="1" view="pageBreakPreview" zoomScale="120" zoomScaleNormal="160" zoomScaleSheetLayoutView="120" workbookViewId="0">
      <selection sqref="A1:V1"/>
    </sheetView>
  </sheetViews>
  <sheetFormatPr defaultColWidth="9" defaultRowHeight="14.4"/>
  <cols>
    <col min="1" max="1" width="6" customWidth="1"/>
    <col min="2" max="2" width="39.109375" customWidth="1"/>
    <col min="3" max="3" width="36.109375" customWidth="1"/>
    <col min="4" max="4" width="21" customWidth="1"/>
    <col min="8" max="8" width="9.88671875" customWidth="1"/>
    <col min="11" max="11" width="20.5546875" customWidth="1"/>
    <col min="13" max="13" width="10" customWidth="1"/>
    <col min="14" max="14" width="10.109375" customWidth="1"/>
    <col min="15" max="15" width="9.88671875" customWidth="1"/>
    <col min="17" max="17" width="9.109375" customWidth="1"/>
    <col min="20" max="20" width="8.33203125" customWidth="1"/>
    <col min="24" max="24" width="18.88671875" customWidth="1"/>
    <col min="25" max="25" width="11.33203125" customWidth="1"/>
    <col min="26" max="26" width="15.88671875" customWidth="1"/>
    <col min="27" max="27" width="17.33203125" customWidth="1"/>
  </cols>
  <sheetData>
    <row r="1" spans="1:25" ht="27">
      <c r="A1" s="174" t="s">
        <v>297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</row>
    <row r="2" spans="1:25" ht="15" customHeight="1">
      <c r="A2" s="43"/>
      <c r="B2" s="44"/>
      <c r="C2" s="172"/>
      <c r="D2" s="175" t="s">
        <v>294</v>
      </c>
      <c r="E2" s="175"/>
      <c r="F2" s="175"/>
      <c r="G2" s="175"/>
      <c r="H2" s="175"/>
      <c r="I2" s="175"/>
      <c r="J2" s="175"/>
      <c r="K2" s="175" t="s">
        <v>298</v>
      </c>
      <c r="L2" s="175"/>
      <c r="M2" s="175"/>
      <c r="N2" s="175"/>
      <c r="O2" s="175"/>
      <c r="P2" s="175"/>
      <c r="Q2" s="175"/>
      <c r="R2" s="175" t="s">
        <v>0</v>
      </c>
      <c r="S2" s="175"/>
      <c r="T2" s="175"/>
      <c r="U2" s="175" t="s">
        <v>1</v>
      </c>
      <c r="V2" s="175"/>
    </row>
    <row r="3" spans="1:25" ht="20.399999999999999">
      <c r="A3" s="45" t="s">
        <v>2</v>
      </c>
      <c r="B3" s="46" t="s">
        <v>3</v>
      </c>
      <c r="C3" s="47" t="s">
        <v>4</v>
      </c>
      <c r="D3" s="48" t="s">
        <v>5</v>
      </c>
      <c r="E3" s="49" t="s">
        <v>6</v>
      </c>
      <c r="F3" s="152" t="s">
        <v>293</v>
      </c>
      <c r="G3" s="49" t="s">
        <v>8</v>
      </c>
      <c r="H3" s="49" t="s">
        <v>9</v>
      </c>
      <c r="I3" s="49" t="s">
        <v>10</v>
      </c>
      <c r="J3" s="49" t="s">
        <v>11</v>
      </c>
      <c r="K3" s="72" t="s">
        <v>5</v>
      </c>
      <c r="L3" s="49" t="s">
        <v>6</v>
      </c>
      <c r="M3" s="49" t="s">
        <v>7</v>
      </c>
      <c r="N3" s="49" t="s">
        <v>8</v>
      </c>
      <c r="O3" s="49" t="s">
        <v>9</v>
      </c>
      <c r="P3" s="49" t="s">
        <v>10</v>
      </c>
      <c r="Q3" s="49" t="s">
        <v>11</v>
      </c>
      <c r="R3" s="48" t="s">
        <v>12</v>
      </c>
      <c r="S3" s="49" t="s">
        <v>13</v>
      </c>
      <c r="T3" s="49" t="s">
        <v>14</v>
      </c>
      <c r="U3" s="49" t="s">
        <v>15</v>
      </c>
      <c r="V3" s="49" t="s">
        <v>16</v>
      </c>
    </row>
    <row r="4" spans="1:25" ht="5.25" customHeight="1">
      <c r="A4" s="50"/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</row>
    <row r="5" spans="1:25" ht="15" customHeight="1">
      <c r="A5" s="177" t="s">
        <v>17</v>
      </c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</row>
    <row r="6" spans="1:25">
      <c r="A6" s="167">
        <v>1</v>
      </c>
      <c r="B6" s="168" t="s">
        <v>18</v>
      </c>
      <c r="C6" s="169" t="s">
        <v>19</v>
      </c>
      <c r="D6" s="51">
        <v>1202941396.47</v>
      </c>
      <c r="E6" s="52">
        <f t="shared" ref="E6:E23" si="0">(D6/$D$24)</f>
        <v>4.0147262563287697E-2</v>
      </c>
      <c r="F6" s="53">
        <v>376.67360000000002</v>
      </c>
      <c r="G6" s="53">
        <v>376.67360000000002</v>
      </c>
      <c r="H6" s="54">
        <v>1948</v>
      </c>
      <c r="I6" s="73">
        <v>2.5000000000000001E-3</v>
      </c>
      <c r="J6" s="73">
        <v>0.25140000000000001</v>
      </c>
      <c r="K6" s="51">
        <v>1258437673.1099999</v>
      </c>
      <c r="L6" s="52">
        <f>(K6/$K$24)</f>
        <v>4.1545049289611537E-2</v>
      </c>
      <c r="M6" s="53">
        <v>389.70499999999998</v>
      </c>
      <c r="N6" s="53">
        <v>389.70499999999998</v>
      </c>
      <c r="O6" s="54">
        <v>1948</v>
      </c>
      <c r="P6" s="73">
        <v>3.4599999999999999E-2</v>
      </c>
      <c r="Q6" s="73">
        <v>0.29349999999999998</v>
      </c>
      <c r="R6" s="79">
        <f>((K6-D6)/D6)</f>
        <v>4.6133815664547113E-2</v>
      </c>
      <c r="S6" s="79">
        <f>((N6-G6)/G6)</f>
        <v>3.4596000356807488E-2</v>
      </c>
      <c r="T6" s="79">
        <f>((O6-H6)/H6)</f>
        <v>0</v>
      </c>
      <c r="U6" s="80">
        <f>P6-I6</f>
        <v>3.2099999999999997E-2</v>
      </c>
      <c r="V6" s="81">
        <f>Q6-J6</f>
        <v>4.2099999999999971E-2</v>
      </c>
    </row>
    <row r="7" spans="1:25">
      <c r="A7" s="167">
        <v>2</v>
      </c>
      <c r="B7" s="168" t="s">
        <v>20</v>
      </c>
      <c r="C7" s="169" t="s">
        <v>21</v>
      </c>
      <c r="D7" s="55">
        <v>632443230.50999999</v>
      </c>
      <c r="E7" s="52">
        <f t="shared" si="0"/>
        <v>2.1107316205234671E-2</v>
      </c>
      <c r="F7" s="55">
        <v>243.0078</v>
      </c>
      <c r="G7" s="55">
        <v>245.8203</v>
      </c>
      <c r="H7" s="54">
        <v>459</v>
      </c>
      <c r="I7" s="73">
        <v>-3.48E-4</v>
      </c>
      <c r="J7" s="73">
        <v>0.25609999999999999</v>
      </c>
      <c r="K7" s="55">
        <v>658845244.32000005</v>
      </c>
      <c r="L7" s="52">
        <f t="shared" ref="L7:L23" si="1">(K7/$K$24)</f>
        <v>2.1750587044852394E-2</v>
      </c>
      <c r="M7" s="55">
        <v>249.4581</v>
      </c>
      <c r="N7" s="55">
        <v>252.32210000000001</v>
      </c>
      <c r="O7" s="54">
        <v>460</v>
      </c>
      <c r="P7" s="73">
        <v>3.79E-4</v>
      </c>
      <c r="Q7" s="73">
        <v>0.28949999999999998</v>
      </c>
      <c r="R7" s="79">
        <f t="shared" ref="R7:R24" si="2">((K7-D7)/D7)</f>
        <v>4.1746061205698369E-2</v>
      </c>
      <c r="S7" s="79">
        <f t="shared" ref="S7:S24" si="3">((N7-G7)/G7)</f>
        <v>2.6449402266615095E-2</v>
      </c>
      <c r="T7" s="79">
        <f t="shared" ref="T7:T24" si="4">((O7-H7)/H7)</f>
        <v>2.1786492374727671E-3</v>
      </c>
      <c r="U7" s="80">
        <f t="shared" ref="U7:U24" si="5">P7-I7</f>
        <v>7.27E-4</v>
      </c>
      <c r="V7" s="81">
        <f t="shared" ref="V7:V24" si="6">Q7-J7</f>
        <v>3.3399999999999985E-2</v>
      </c>
    </row>
    <row r="8" spans="1:25">
      <c r="A8" s="167">
        <v>3</v>
      </c>
      <c r="B8" s="168" t="s">
        <v>22</v>
      </c>
      <c r="C8" s="169" t="s">
        <v>23</v>
      </c>
      <c r="D8" s="55">
        <v>3874020429.3800001</v>
      </c>
      <c r="E8" s="52">
        <f t="shared" si="0"/>
        <v>0.12929251234537442</v>
      </c>
      <c r="F8" s="55">
        <v>35.076500000000003</v>
      </c>
      <c r="G8" s="55">
        <v>36.134099999999997</v>
      </c>
      <c r="H8" s="56">
        <v>6616</v>
      </c>
      <c r="I8" s="74">
        <v>-3.9300000000000002E-2</v>
      </c>
      <c r="J8" s="74">
        <v>0.16239999999999999</v>
      </c>
      <c r="K8" s="55">
        <v>3910439313.9400001</v>
      </c>
      <c r="L8" s="52">
        <f t="shared" si="1"/>
        <v>0.12909609868892685</v>
      </c>
      <c r="M8" s="55">
        <v>35.410200000000003</v>
      </c>
      <c r="N8" s="55">
        <v>36.477800000000002</v>
      </c>
      <c r="O8" s="56">
        <v>6616</v>
      </c>
      <c r="P8" s="74">
        <v>0.49730000000000002</v>
      </c>
      <c r="Q8" s="74">
        <v>0.17080000000000001</v>
      </c>
      <c r="R8" s="79">
        <f t="shared" si="2"/>
        <v>9.4007982724625006E-3</v>
      </c>
      <c r="S8" s="79">
        <f t="shared" si="3"/>
        <v>9.5117908014868361E-3</v>
      </c>
      <c r="T8" s="79">
        <f t="shared" si="4"/>
        <v>0</v>
      </c>
      <c r="U8" s="80">
        <f t="shared" si="5"/>
        <v>0.53659999999999997</v>
      </c>
      <c r="V8" s="81">
        <f t="shared" si="6"/>
        <v>8.4000000000000186E-3</v>
      </c>
      <c r="X8" s="82"/>
      <c r="Y8" s="82"/>
    </row>
    <row r="9" spans="1:25">
      <c r="A9" s="167">
        <v>4</v>
      </c>
      <c r="B9" s="168" t="s">
        <v>24</v>
      </c>
      <c r="C9" s="169" t="s">
        <v>25</v>
      </c>
      <c r="D9" s="55">
        <v>576701516.57000005</v>
      </c>
      <c r="E9" s="52">
        <f t="shared" si="0"/>
        <v>1.924697850977931E-2</v>
      </c>
      <c r="F9" s="55">
        <v>210.14420000000001</v>
      </c>
      <c r="G9" s="55">
        <v>210.14420000000001</v>
      </c>
      <c r="H9" s="54">
        <v>1848</v>
      </c>
      <c r="I9" s="73">
        <v>1.5E-3</v>
      </c>
      <c r="J9" s="73">
        <v>0.2099</v>
      </c>
      <c r="K9" s="55">
        <v>581210645.63999999</v>
      </c>
      <c r="L9" s="52">
        <f t="shared" si="1"/>
        <v>1.9187620838692191E-2</v>
      </c>
      <c r="M9" s="55">
        <v>211.16409999999999</v>
      </c>
      <c r="N9" s="55">
        <v>211.16409999999999</v>
      </c>
      <c r="O9" s="54">
        <v>1851</v>
      </c>
      <c r="P9" s="73">
        <v>4.8999999999999998E-3</v>
      </c>
      <c r="Q9" s="73">
        <v>0.21490000000000001</v>
      </c>
      <c r="R9" s="79">
        <f t="shared" si="2"/>
        <v>7.8188264473769854E-3</v>
      </c>
      <c r="S9" s="79">
        <f t="shared" si="3"/>
        <v>4.8533340439563801E-3</v>
      </c>
      <c r="T9" s="79">
        <f t="shared" si="4"/>
        <v>1.6233766233766235E-3</v>
      </c>
      <c r="U9" s="80">
        <f t="shared" si="5"/>
        <v>3.3999999999999998E-3</v>
      </c>
      <c r="V9" s="81">
        <f t="shared" si="6"/>
        <v>5.0000000000000044E-3</v>
      </c>
    </row>
    <row r="10" spans="1:25">
      <c r="A10" s="167">
        <v>5</v>
      </c>
      <c r="B10" s="168" t="s">
        <v>26</v>
      </c>
      <c r="C10" s="169" t="s">
        <v>27</v>
      </c>
      <c r="D10" s="55">
        <v>912278717.23000002</v>
      </c>
      <c r="E10" s="52">
        <f t="shared" si="0"/>
        <v>3.0446614688802508E-2</v>
      </c>
      <c r="F10" s="55">
        <v>1.1651</v>
      </c>
      <c r="G10" s="55">
        <v>1.1765000000000001</v>
      </c>
      <c r="H10" s="54">
        <v>506</v>
      </c>
      <c r="I10" s="73">
        <v>-2.0999999999999999E-3</v>
      </c>
      <c r="J10" s="73">
        <v>0.17080000000000001</v>
      </c>
      <c r="K10" s="55">
        <v>917620670.95000005</v>
      </c>
      <c r="L10" s="52">
        <f t="shared" si="1"/>
        <v>3.0293590869360336E-2</v>
      </c>
      <c r="M10" s="55">
        <v>1.1733</v>
      </c>
      <c r="N10" s="55">
        <v>1.1848000000000001</v>
      </c>
      <c r="O10" s="54">
        <v>506</v>
      </c>
      <c r="P10" s="73">
        <v>7.1000000000000004E-3</v>
      </c>
      <c r="Q10" s="73">
        <v>0.17910000000000001</v>
      </c>
      <c r="R10" s="79">
        <f t="shared" si="2"/>
        <v>5.855615854132917E-3</v>
      </c>
      <c r="S10" s="79">
        <f t="shared" si="3"/>
        <v>7.0548236294092417E-3</v>
      </c>
      <c r="T10" s="79">
        <f t="shared" si="4"/>
        <v>0</v>
      </c>
      <c r="U10" s="80">
        <f t="shared" si="5"/>
        <v>9.1999999999999998E-3</v>
      </c>
      <c r="V10" s="81">
        <f t="shared" si="6"/>
        <v>8.3000000000000018E-3</v>
      </c>
    </row>
    <row r="11" spans="1:25">
      <c r="A11" s="167">
        <v>6</v>
      </c>
      <c r="B11" s="168" t="s">
        <v>28</v>
      </c>
      <c r="C11" s="169" t="s">
        <v>29</v>
      </c>
      <c r="D11" s="57">
        <v>93557363.230000004</v>
      </c>
      <c r="E11" s="52">
        <f t="shared" si="0"/>
        <v>3.1224064924075131E-3</v>
      </c>
      <c r="F11" s="55">
        <v>167.8306</v>
      </c>
      <c r="G11" s="55">
        <v>168.38220000000001</v>
      </c>
      <c r="H11" s="56">
        <v>94</v>
      </c>
      <c r="I11" s="74">
        <v>2.0900000000000001E-4</v>
      </c>
      <c r="J11" s="74">
        <v>0.20979999999999999</v>
      </c>
      <c r="K11" s="57">
        <v>94461547.650000006</v>
      </c>
      <c r="L11" s="52">
        <f t="shared" si="1"/>
        <v>3.1184775670246539E-3</v>
      </c>
      <c r="M11" s="55">
        <v>169.10140000000001</v>
      </c>
      <c r="N11" s="55">
        <v>169.66030000000001</v>
      </c>
      <c r="O11" s="56">
        <v>62</v>
      </c>
      <c r="P11" s="74">
        <v>1.196E-3</v>
      </c>
      <c r="Q11" s="74">
        <v>0.2152</v>
      </c>
      <c r="R11" s="79">
        <f t="shared" si="2"/>
        <v>9.6644923369331014E-3</v>
      </c>
      <c r="S11" s="79">
        <f t="shared" si="3"/>
        <v>7.5904697764965345E-3</v>
      </c>
      <c r="T11" s="79">
        <f t="shared" si="4"/>
        <v>-0.34042553191489361</v>
      </c>
      <c r="U11" s="80">
        <f t="shared" si="5"/>
        <v>9.8700000000000003E-4</v>
      </c>
      <c r="V11" s="81">
        <f t="shared" si="6"/>
        <v>5.4000000000000159E-3</v>
      </c>
    </row>
    <row r="12" spans="1:25">
      <c r="A12" s="167">
        <v>7</v>
      </c>
      <c r="B12" s="168" t="s">
        <v>30</v>
      </c>
      <c r="C12" s="169" t="s">
        <v>31</v>
      </c>
      <c r="D12" s="55">
        <v>1077468093.75</v>
      </c>
      <c r="E12" s="52">
        <f t="shared" si="0"/>
        <v>3.5959685642446108E-2</v>
      </c>
      <c r="F12" s="55">
        <v>299.68</v>
      </c>
      <c r="G12" s="55">
        <v>303.86</v>
      </c>
      <c r="H12" s="56">
        <v>1638</v>
      </c>
      <c r="I12" s="74">
        <v>-2.8999999999999998E-3</v>
      </c>
      <c r="J12" s="74">
        <v>0.33500000000000002</v>
      </c>
      <c r="K12" s="55">
        <v>1084482559.21</v>
      </c>
      <c r="L12" s="52">
        <f t="shared" si="1"/>
        <v>3.5802235056074383E-2</v>
      </c>
      <c r="M12" s="55">
        <v>301.76</v>
      </c>
      <c r="N12" s="55">
        <v>305.98</v>
      </c>
      <c r="O12" s="56">
        <v>1638</v>
      </c>
      <c r="P12" s="74">
        <v>7.0000000000000001E-3</v>
      </c>
      <c r="Q12" s="74">
        <v>0.34339999999999998</v>
      </c>
      <c r="R12" s="79">
        <f t="shared" si="2"/>
        <v>6.5101375165430861E-3</v>
      </c>
      <c r="S12" s="79">
        <f t="shared" si="3"/>
        <v>6.976897255314962E-3</v>
      </c>
      <c r="T12" s="79">
        <f t="shared" si="4"/>
        <v>0</v>
      </c>
      <c r="U12" s="80">
        <f t="shared" si="5"/>
        <v>9.8999999999999991E-3</v>
      </c>
      <c r="V12" s="81">
        <f t="shared" si="6"/>
        <v>8.3999999999999631E-3</v>
      </c>
    </row>
    <row r="13" spans="1:25">
      <c r="A13" s="167">
        <v>8</v>
      </c>
      <c r="B13" s="168" t="s">
        <v>32</v>
      </c>
      <c r="C13" s="169" t="s">
        <v>33</v>
      </c>
      <c r="D13" s="51">
        <v>404992542.31</v>
      </c>
      <c r="E13" s="52">
        <f t="shared" si="0"/>
        <v>1.351632089477142E-2</v>
      </c>
      <c r="F13" s="55">
        <v>203.17</v>
      </c>
      <c r="G13" s="55">
        <v>212.18</v>
      </c>
      <c r="H13" s="54">
        <v>2465</v>
      </c>
      <c r="I13" s="73">
        <v>1.01E-2</v>
      </c>
      <c r="J13" s="73">
        <v>0.61619999999999997</v>
      </c>
      <c r="K13" s="51">
        <v>410241784.10000002</v>
      </c>
      <c r="L13" s="52">
        <f t="shared" si="1"/>
        <v>1.3543392338988651E-2</v>
      </c>
      <c r="M13" s="55">
        <v>205.81</v>
      </c>
      <c r="N13" s="55">
        <v>214.99</v>
      </c>
      <c r="O13" s="54">
        <v>2465</v>
      </c>
      <c r="P13" s="73">
        <v>1.2999999999999999E-2</v>
      </c>
      <c r="Q13" s="73">
        <v>0.63719999999999999</v>
      </c>
      <c r="R13" s="79">
        <f t="shared" si="2"/>
        <v>1.296132951006789E-2</v>
      </c>
      <c r="S13" s="79">
        <f t="shared" si="3"/>
        <v>1.3243472523329259E-2</v>
      </c>
      <c r="T13" s="79">
        <f t="shared" si="4"/>
        <v>0</v>
      </c>
      <c r="U13" s="80">
        <f t="shared" si="5"/>
        <v>2.8999999999999998E-3</v>
      </c>
      <c r="V13" s="81">
        <f t="shared" si="6"/>
        <v>2.1000000000000019E-2</v>
      </c>
    </row>
    <row r="14" spans="1:25">
      <c r="A14" s="167">
        <v>9</v>
      </c>
      <c r="B14" s="168" t="s">
        <v>34</v>
      </c>
      <c r="C14" s="169" t="s">
        <v>35</v>
      </c>
      <c r="D14" s="57">
        <v>56937494.689999998</v>
      </c>
      <c r="E14" s="52">
        <f t="shared" si="0"/>
        <v>1.9002459768390192E-3</v>
      </c>
      <c r="F14" s="55">
        <v>202.79</v>
      </c>
      <c r="G14" s="55">
        <v>209.18</v>
      </c>
      <c r="H14" s="54">
        <v>16</v>
      </c>
      <c r="I14" s="73">
        <v>-5.1999999999999998E-3</v>
      </c>
      <c r="J14" s="73">
        <v>0.12570000000000001</v>
      </c>
      <c r="K14" s="57">
        <v>57854253.119999997</v>
      </c>
      <c r="L14" s="52">
        <f t="shared" si="1"/>
        <v>1.909953785429918E-3</v>
      </c>
      <c r="M14" s="55">
        <v>206.05</v>
      </c>
      <c r="N14" s="55">
        <v>212.55</v>
      </c>
      <c r="O14" s="54">
        <v>16</v>
      </c>
      <c r="P14" s="73">
        <v>1.61E-2</v>
      </c>
      <c r="Q14" s="73">
        <v>0.14380000000000001</v>
      </c>
      <c r="R14" s="79">
        <f t="shared" si="2"/>
        <v>1.6101137484031434E-2</v>
      </c>
      <c r="S14" s="79">
        <f t="shared" si="3"/>
        <v>1.6110526819007574E-2</v>
      </c>
      <c r="T14" s="79">
        <f t="shared" si="4"/>
        <v>0</v>
      </c>
      <c r="U14" s="80">
        <f t="shared" si="5"/>
        <v>2.1299999999999999E-2</v>
      </c>
      <c r="V14" s="81">
        <f t="shared" si="6"/>
        <v>1.8100000000000005E-2</v>
      </c>
    </row>
    <row r="15" spans="1:25" ht="14.25" customHeight="1">
      <c r="A15" s="167">
        <v>10</v>
      </c>
      <c r="B15" s="168" t="s">
        <v>36</v>
      </c>
      <c r="C15" s="169" t="s">
        <v>37</v>
      </c>
      <c r="D15" s="51">
        <v>575271382.72000003</v>
      </c>
      <c r="E15" s="52">
        <f t="shared" si="0"/>
        <v>1.9199248870293062E-2</v>
      </c>
      <c r="F15" s="55">
        <v>1.971538</v>
      </c>
      <c r="G15" s="55">
        <v>2.0050150000000002</v>
      </c>
      <c r="H15" s="54">
        <v>472</v>
      </c>
      <c r="I15" s="73">
        <v>-1.1073357229634199E-2</v>
      </c>
      <c r="J15" s="73">
        <v>0.16335516610609499</v>
      </c>
      <c r="K15" s="51">
        <v>581169060.99000001</v>
      </c>
      <c r="L15" s="52">
        <f t="shared" si="1"/>
        <v>1.9186247996499959E-2</v>
      </c>
      <c r="M15" s="55">
        <v>1.9916799999999999</v>
      </c>
      <c r="N15" s="55">
        <v>2.02637</v>
      </c>
      <c r="O15" s="54">
        <v>472</v>
      </c>
      <c r="P15" s="73">
        <v>1.0200000000000001E-2</v>
      </c>
      <c r="Q15" s="73">
        <v>0.17519999999999999</v>
      </c>
      <c r="R15" s="79">
        <f t="shared" si="2"/>
        <v>1.0251993141245024E-2</v>
      </c>
      <c r="S15" s="79">
        <f t="shared" si="3"/>
        <v>1.0650793136210845E-2</v>
      </c>
      <c r="T15" s="79">
        <f t="shared" si="4"/>
        <v>0</v>
      </c>
      <c r="U15" s="80">
        <f t="shared" si="5"/>
        <v>2.12733572296342E-2</v>
      </c>
      <c r="V15" s="81">
        <f t="shared" si="6"/>
        <v>1.1844833893905005E-2</v>
      </c>
    </row>
    <row r="16" spans="1:25" ht="14.25" customHeight="1">
      <c r="A16" s="167">
        <v>11</v>
      </c>
      <c r="B16" s="168" t="s">
        <v>38</v>
      </c>
      <c r="C16" s="169" t="s">
        <v>39</v>
      </c>
      <c r="D16" s="51">
        <v>14574905.789999999</v>
      </c>
      <c r="E16" s="52">
        <f t="shared" si="0"/>
        <v>4.8642649700425772E-4</v>
      </c>
      <c r="F16" s="55">
        <v>12.6</v>
      </c>
      <c r="G16" s="55">
        <v>13.32</v>
      </c>
      <c r="H16" s="54">
        <v>28</v>
      </c>
      <c r="I16" s="73">
        <v>8.8400000000000006E-2</v>
      </c>
      <c r="J16" s="73">
        <v>0.85270000000000001</v>
      </c>
      <c r="K16" s="51">
        <v>14564480.6</v>
      </c>
      <c r="L16" s="52">
        <f t="shared" si="1"/>
        <v>4.8082004960105869E-4</v>
      </c>
      <c r="M16" s="55">
        <v>12.9</v>
      </c>
      <c r="N16" s="55">
        <v>13.33</v>
      </c>
      <c r="O16" s="54">
        <v>28</v>
      </c>
      <c r="P16" s="73">
        <v>1.6999999999999999E-3</v>
      </c>
      <c r="Q16" s="73">
        <v>0.85070000000000001</v>
      </c>
      <c r="R16" s="79">
        <f t="shared" ref="R16" si="7">((K16-D16)/D16)</f>
        <v>-7.1528352568510692E-4</v>
      </c>
      <c r="S16" s="79">
        <f t="shared" ref="S16" si="8">((N16-G16)/G16)</f>
        <v>7.507507507507347E-4</v>
      </c>
      <c r="T16" s="79">
        <f t="shared" ref="T16" si="9">((O16-H16)/H16)</f>
        <v>0</v>
      </c>
      <c r="U16" s="80">
        <f t="shared" ref="U16" si="10">P16-I16</f>
        <v>-8.6700000000000013E-2</v>
      </c>
      <c r="V16" s="81">
        <f t="shared" ref="V16" si="11">Q16-J16</f>
        <v>-2.0000000000000018E-3</v>
      </c>
    </row>
    <row r="17" spans="1:22">
      <c r="A17" s="167">
        <v>12</v>
      </c>
      <c r="B17" s="168" t="s">
        <v>40</v>
      </c>
      <c r="C17" s="169" t="s">
        <v>41</v>
      </c>
      <c r="D17" s="51">
        <v>1713908039.3099999</v>
      </c>
      <c r="E17" s="52">
        <f t="shared" si="0"/>
        <v>5.720038920052594E-2</v>
      </c>
      <c r="F17" s="55">
        <v>3.49</v>
      </c>
      <c r="G17" s="55">
        <v>3.56</v>
      </c>
      <c r="H17" s="54">
        <v>3661</v>
      </c>
      <c r="I17" s="73">
        <v>-1.3599999999999999E-2</v>
      </c>
      <c r="J17" s="73">
        <v>0.25879999999999997</v>
      </c>
      <c r="K17" s="51">
        <v>1748968455.99</v>
      </c>
      <c r="L17" s="52">
        <f t="shared" si="1"/>
        <v>5.7739038064961876E-2</v>
      </c>
      <c r="M17" s="55">
        <v>3.56</v>
      </c>
      <c r="N17" s="55">
        <v>3.63</v>
      </c>
      <c r="O17" s="54">
        <v>3661</v>
      </c>
      <c r="P17" s="73">
        <v>9.7999999999999997E-3</v>
      </c>
      <c r="Q17" s="73">
        <v>0.28449999999999998</v>
      </c>
      <c r="R17" s="79">
        <f t="shared" si="2"/>
        <v>2.0456416491350958E-2</v>
      </c>
      <c r="S17" s="79">
        <f t="shared" si="3"/>
        <v>1.9662921348314561E-2</v>
      </c>
      <c r="T17" s="79">
        <f t="shared" si="4"/>
        <v>0</v>
      </c>
      <c r="U17" s="80">
        <f t="shared" si="5"/>
        <v>2.3399999999999997E-2</v>
      </c>
      <c r="V17" s="81">
        <f t="shared" si="6"/>
        <v>2.5700000000000001E-2</v>
      </c>
    </row>
    <row r="18" spans="1:22">
      <c r="A18" s="167">
        <v>13</v>
      </c>
      <c r="B18" s="168" t="s">
        <v>42</v>
      </c>
      <c r="C18" s="169" t="s">
        <v>43</v>
      </c>
      <c r="D18" s="55">
        <v>667615825.75</v>
      </c>
      <c r="E18" s="52">
        <f t="shared" si="0"/>
        <v>2.2281175065089559E-2</v>
      </c>
      <c r="F18" s="55">
        <v>22.447818000000002</v>
      </c>
      <c r="G18" s="55">
        <v>22.571918</v>
      </c>
      <c r="H18" s="54">
        <v>350</v>
      </c>
      <c r="I18" s="73">
        <v>-2.4193570965473899E-3</v>
      </c>
      <c r="J18" s="73">
        <v>0.27713632092667401</v>
      </c>
      <c r="K18" s="55">
        <v>699108039.55999994</v>
      </c>
      <c r="L18" s="52">
        <f t="shared" si="1"/>
        <v>2.3079790587090216E-2</v>
      </c>
      <c r="M18" s="55">
        <v>23.357286999999999</v>
      </c>
      <c r="N18" s="55">
        <v>23.488603999999999</v>
      </c>
      <c r="O18" s="54">
        <v>352</v>
      </c>
      <c r="P18" s="73">
        <v>4.0514806383408652E-2</v>
      </c>
      <c r="Q18" s="73">
        <v>0.32667252479250308</v>
      </c>
      <c r="R18" s="79">
        <f t="shared" si="2"/>
        <v>4.7171161310655831E-2</v>
      </c>
      <c r="S18" s="79">
        <f t="shared" si="3"/>
        <v>4.0611790278522124E-2</v>
      </c>
      <c r="T18" s="79">
        <f t="shared" si="4"/>
        <v>5.7142857142857143E-3</v>
      </c>
      <c r="U18" s="80">
        <f t="shared" si="5"/>
        <v>4.2934163479956045E-2</v>
      </c>
      <c r="V18" s="81">
        <f t="shared" si="6"/>
        <v>4.9536203865829076E-2</v>
      </c>
    </row>
    <row r="19" spans="1:22">
      <c r="A19" s="167">
        <v>14</v>
      </c>
      <c r="B19" s="168" t="s">
        <v>44</v>
      </c>
      <c r="C19" s="169" t="s">
        <v>45</v>
      </c>
      <c r="D19" s="55">
        <v>128245497.19</v>
      </c>
      <c r="E19" s="52">
        <f t="shared" si="0"/>
        <v>4.2800968221353474E-3</v>
      </c>
      <c r="F19" s="55">
        <v>1.3854610000000001</v>
      </c>
      <c r="G19" s="55">
        <v>1.4352590000000001</v>
      </c>
      <c r="H19" s="54">
        <v>22</v>
      </c>
      <c r="I19" s="73">
        <v>6.8999999999999999E-3</v>
      </c>
      <c r="J19" s="73">
        <v>-0.3503</v>
      </c>
      <c r="K19" s="55">
        <v>130338096.09999999</v>
      </c>
      <c r="L19" s="52">
        <f t="shared" si="1"/>
        <v>4.3028770852088982E-3</v>
      </c>
      <c r="M19" s="55">
        <v>1.4080680000000001</v>
      </c>
      <c r="N19" s="55">
        <v>1.458491</v>
      </c>
      <c r="O19" s="54">
        <v>22</v>
      </c>
      <c r="P19" s="73">
        <v>6.3E-3</v>
      </c>
      <c r="Q19" s="73">
        <v>-0.3397</v>
      </c>
      <c r="R19" s="79">
        <f t="shared" si="2"/>
        <v>1.6317133590271329E-2</v>
      </c>
      <c r="S19" s="79">
        <f t="shared" si="3"/>
        <v>1.6186625549813601E-2</v>
      </c>
      <c r="T19" s="79">
        <f t="shared" si="4"/>
        <v>0</v>
      </c>
      <c r="U19" s="80">
        <f t="shared" si="5"/>
        <v>-5.9999999999999984E-4</v>
      </c>
      <c r="V19" s="81">
        <f t="shared" si="6"/>
        <v>1.0599999999999998E-2</v>
      </c>
    </row>
    <row r="20" spans="1:22">
      <c r="A20" s="167">
        <v>15</v>
      </c>
      <c r="B20" s="168" t="s">
        <v>46</v>
      </c>
      <c r="C20" s="169" t="s">
        <v>47</v>
      </c>
      <c r="D20" s="51">
        <v>1651111995.1800001</v>
      </c>
      <c r="E20" s="52">
        <f t="shared" si="0"/>
        <v>5.5104618551165149E-2</v>
      </c>
      <c r="F20" s="55">
        <v>29.19</v>
      </c>
      <c r="G20" s="55">
        <v>29.77</v>
      </c>
      <c r="H20" s="54">
        <v>8834</v>
      </c>
      <c r="I20" s="73">
        <v>-2E-3</v>
      </c>
      <c r="J20" s="73">
        <v>0.15959999999999999</v>
      </c>
      <c r="K20" s="51">
        <v>1674717530.8599999</v>
      </c>
      <c r="L20" s="52">
        <f t="shared" si="1"/>
        <v>5.5287777736191132E-2</v>
      </c>
      <c r="M20" s="55">
        <v>29.61</v>
      </c>
      <c r="N20" s="55">
        <v>30.2</v>
      </c>
      <c r="O20" s="54">
        <v>8944</v>
      </c>
      <c r="P20" s="73">
        <v>2.07E-2</v>
      </c>
      <c r="Q20" s="73">
        <v>0.2152</v>
      </c>
      <c r="R20" s="79">
        <f t="shared" si="2"/>
        <v>1.429675015923218E-2</v>
      </c>
      <c r="S20" s="79">
        <f t="shared" si="3"/>
        <v>1.4444071212630156E-2</v>
      </c>
      <c r="T20" s="79">
        <f t="shared" si="4"/>
        <v>1.2451890423364274E-2</v>
      </c>
      <c r="U20" s="80">
        <f t="shared" si="5"/>
        <v>2.2699999999999998E-2</v>
      </c>
      <c r="V20" s="81">
        <f t="shared" si="6"/>
        <v>5.5600000000000011E-2</v>
      </c>
    </row>
    <row r="21" spans="1:22" ht="12.75" customHeight="1">
      <c r="A21" s="167">
        <v>16</v>
      </c>
      <c r="B21" s="168" t="s">
        <v>48</v>
      </c>
      <c r="C21" s="169" t="s">
        <v>49</v>
      </c>
      <c r="D21" s="55">
        <v>709654326.03999996</v>
      </c>
      <c r="E21" s="52">
        <f t="shared" si="0"/>
        <v>2.3684178331800702E-2</v>
      </c>
      <c r="F21" s="55">
        <v>7512.72</v>
      </c>
      <c r="G21" s="55">
        <v>7612.44</v>
      </c>
      <c r="H21" s="54">
        <v>19</v>
      </c>
      <c r="I21" s="73">
        <v>-7.1000000000000004E-3</v>
      </c>
      <c r="J21" s="73">
        <v>0.39739999999999998</v>
      </c>
      <c r="K21" s="55">
        <v>717429420.07000005</v>
      </c>
      <c r="L21" s="52">
        <f t="shared" si="1"/>
        <v>2.3684637908976732E-2</v>
      </c>
      <c r="M21" s="55">
        <v>7594.89</v>
      </c>
      <c r="N21" s="55">
        <v>7695.94</v>
      </c>
      <c r="O21" s="54">
        <v>19</v>
      </c>
      <c r="P21" s="73">
        <v>1.0999999999999999E-2</v>
      </c>
      <c r="Q21" s="73">
        <v>0.41270000000000001</v>
      </c>
      <c r="R21" s="79">
        <f t="shared" si="2"/>
        <v>1.0956170835153684E-2</v>
      </c>
      <c r="S21" s="79">
        <f t="shared" si="3"/>
        <v>1.0968887767916727E-2</v>
      </c>
      <c r="T21" s="79">
        <f t="shared" si="4"/>
        <v>0</v>
      </c>
      <c r="U21" s="80">
        <f t="shared" si="5"/>
        <v>1.8099999999999998E-2</v>
      </c>
      <c r="V21" s="81">
        <f t="shared" si="6"/>
        <v>1.5300000000000036E-2</v>
      </c>
    </row>
    <row r="22" spans="1:22">
      <c r="A22" s="167">
        <v>17</v>
      </c>
      <c r="B22" s="168" t="s">
        <v>50</v>
      </c>
      <c r="C22" s="169" t="s">
        <v>49</v>
      </c>
      <c r="D22" s="55">
        <v>12151769051.15</v>
      </c>
      <c r="E22" s="52">
        <f t="shared" si="0"/>
        <v>0.40555613443561389</v>
      </c>
      <c r="F22" s="55">
        <v>24151.37</v>
      </c>
      <c r="G22" s="55">
        <v>24520.2</v>
      </c>
      <c r="H22" s="54">
        <v>17448</v>
      </c>
      <c r="I22" s="73">
        <v>-3.3E-3</v>
      </c>
      <c r="J22" s="73">
        <v>0.33529999999999999</v>
      </c>
      <c r="K22" s="55">
        <v>12179341627.85</v>
      </c>
      <c r="L22" s="52">
        <f t="shared" si="1"/>
        <v>0.40207898973143441</v>
      </c>
      <c r="M22" s="55">
        <v>24218.92</v>
      </c>
      <c r="N22" s="55">
        <v>24587.86</v>
      </c>
      <c r="O22" s="54">
        <v>17452</v>
      </c>
      <c r="P22" s="73">
        <v>2.8E-3</v>
      </c>
      <c r="Q22" s="73">
        <v>0.33900000000000002</v>
      </c>
      <c r="R22" s="79">
        <f t="shared" si="2"/>
        <v>2.2690175055122032E-3</v>
      </c>
      <c r="S22" s="79">
        <f t="shared" si="3"/>
        <v>2.7593575908842444E-3</v>
      </c>
      <c r="T22" s="79">
        <f t="shared" si="4"/>
        <v>2.2925263640531865E-4</v>
      </c>
      <c r="U22" s="80">
        <f t="shared" si="5"/>
        <v>6.0999999999999995E-3</v>
      </c>
      <c r="V22" s="81">
        <f t="shared" si="6"/>
        <v>3.7000000000000366E-3</v>
      </c>
    </row>
    <row r="23" spans="1:22">
      <c r="A23" s="167">
        <v>18</v>
      </c>
      <c r="B23" s="169" t="s">
        <v>51</v>
      </c>
      <c r="C23" s="169" t="s">
        <v>52</v>
      </c>
      <c r="D23" s="55">
        <v>3519731577.48</v>
      </c>
      <c r="E23" s="52">
        <f t="shared" si="0"/>
        <v>0.11746838890742954</v>
      </c>
      <c r="F23" s="55">
        <v>1.4105000000000001</v>
      </c>
      <c r="G23" s="53">
        <v>1.4239999999999999</v>
      </c>
      <c r="H23" s="54">
        <v>4464</v>
      </c>
      <c r="I23" s="73">
        <v>3.5999999999999999E-3</v>
      </c>
      <c r="J23" s="73">
        <v>0.25800000000000001</v>
      </c>
      <c r="K23" s="55">
        <v>3571687397.9000001</v>
      </c>
      <c r="L23" s="52">
        <f t="shared" si="1"/>
        <v>0.11791281536107469</v>
      </c>
      <c r="M23" s="55">
        <v>1.4259999999999999</v>
      </c>
      <c r="N23" s="53">
        <v>1.4396</v>
      </c>
      <c r="O23" s="54">
        <v>4489</v>
      </c>
      <c r="P23" s="73">
        <v>1.09E-2</v>
      </c>
      <c r="Q23" s="73">
        <v>0.26939999999999997</v>
      </c>
      <c r="R23" s="79">
        <f t="shared" si="2"/>
        <v>1.4761301899390452E-2</v>
      </c>
      <c r="S23" s="79">
        <f t="shared" si="3"/>
        <v>1.0955056179775323E-2</v>
      </c>
      <c r="T23" s="79">
        <f t="shared" si="4"/>
        <v>5.600358422939068E-3</v>
      </c>
      <c r="U23" s="80">
        <f t="shared" si="5"/>
        <v>7.3000000000000001E-3</v>
      </c>
      <c r="V23" s="81">
        <f t="shared" si="6"/>
        <v>1.1399999999999966E-2</v>
      </c>
    </row>
    <row r="24" spans="1:22">
      <c r="A24" s="58"/>
      <c r="B24" s="59"/>
      <c r="C24" s="60" t="s">
        <v>53</v>
      </c>
      <c r="D24" s="61">
        <f>SUM(D6:D23)</f>
        <v>29963223384.749996</v>
      </c>
      <c r="E24" s="62">
        <f>(D24/$D$207)</f>
        <v>7.7818825689633065E-3</v>
      </c>
      <c r="F24" s="63"/>
      <c r="G24" s="64"/>
      <c r="H24" s="65">
        <f>SUM(H6:H23)</f>
        <v>50888</v>
      </c>
      <c r="I24" s="75"/>
      <c r="J24" s="54">
        <v>0</v>
      </c>
      <c r="K24" s="61">
        <f>SUM(K6:K23)</f>
        <v>30290917801.960003</v>
      </c>
      <c r="L24" s="62">
        <f>(K24/$K$207)</f>
        <v>8.0390654357502759E-3</v>
      </c>
      <c r="M24" s="63"/>
      <c r="N24" s="64"/>
      <c r="O24" s="65">
        <f>SUM(O6:O23)</f>
        <v>51001</v>
      </c>
      <c r="P24" s="75"/>
      <c r="Q24" s="65"/>
      <c r="R24" s="79">
        <f t="shared" si="2"/>
        <v>1.093655422189287E-2</v>
      </c>
      <c r="S24" s="79" t="e">
        <f t="shared" si="3"/>
        <v>#DIV/0!</v>
      </c>
      <c r="T24" s="79">
        <f t="shared" si="4"/>
        <v>2.2205628045904734E-3</v>
      </c>
      <c r="U24" s="80">
        <f t="shared" si="5"/>
        <v>0</v>
      </c>
      <c r="V24" s="81">
        <f t="shared" si="6"/>
        <v>0</v>
      </c>
    </row>
    <row r="25" spans="1:22" ht="4.5" customHeight="1">
      <c r="A25" s="58"/>
      <c r="B25" s="178"/>
      <c r="C25" s="178"/>
      <c r="D25" s="178"/>
      <c r="E25" s="178"/>
      <c r="F25" s="178"/>
      <c r="G25" s="178"/>
      <c r="H25" s="178"/>
      <c r="I25" s="178"/>
      <c r="J25" s="178"/>
      <c r="K25" s="178"/>
      <c r="L25" s="178"/>
      <c r="M25" s="178"/>
      <c r="N25" s="178"/>
      <c r="O25" s="178"/>
      <c r="P25" s="178"/>
      <c r="Q25" s="178"/>
      <c r="R25" s="178"/>
      <c r="S25" s="178"/>
      <c r="T25" s="178"/>
      <c r="U25" s="178"/>
      <c r="V25" s="178"/>
    </row>
    <row r="26" spans="1:22" ht="15" customHeight="1">
      <c r="A26" s="177" t="s">
        <v>54</v>
      </c>
      <c r="B26" s="177"/>
      <c r="C26" s="177"/>
      <c r="D26" s="177"/>
      <c r="E26" s="177"/>
      <c r="F26" s="177"/>
      <c r="G26" s="177"/>
      <c r="H26" s="177"/>
      <c r="I26" s="177"/>
      <c r="J26" s="177"/>
      <c r="K26" s="177"/>
      <c r="L26" s="177"/>
      <c r="M26" s="177"/>
      <c r="N26" s="177"/>
      <c r="O26" s="177"/>
      <c r="P26" s="177"/>
      <c r="Q26" s="177"/>
      <c r="R26" s="177"/>
      <c r="S26" s="177"/>
      <c r="T26" s="177"/>
      <c r="U26" s="177"/>
      <c r="V26" s="177"/>
    </row>
    <row r="27" spans="1:22">
      <c r="A27" s="170">
        <v>19</v>
      </c>
      <c r="B27" s="168" t="s">
        <v>55</v>
      </c>
      <c r="C27" s="169" t="s">
        <v>19</v>
      </c>
      <c r="D27" s="67">
        <v>1553452918.73</v>
      </c>
      <c r="E27" s="52">
        <f>(D27/$K$64)</f>
        <v>9.6779469958149127E-4</v>
      </c>
      <c r="F27" s="53">
        <v>100</v>
      </c>
      <c r="G27" s="53">
        <v>100</v>
      </c>
      <c r="H27" s="54">
        <v>876</v>
      </c>
      <c r="I27" s="73">
        <v>0.21010000000000001</v>
      </c>
      <c r="J27" s="73">
        <v>0.21010000000000001</v>
      </c>
      <c r="K27" s="67">
        <v>1629726542.54</v>
      </c>
      <c r="L27" s="52">
        <f t="shared" ref="L27:L63" si="12">(K27/$K$64)</f>
        <v>1.0153128496014729E-3</v>
      </c>
      <c r="M27" s="53">
        <v>100</v>
      </c>
      <c r="N27" s="53">
        <v>100</v>
      </c>
      <c r="O27" s="54">
        <v>876</v>
      </c>
      <c r="P27" s="73">
        <v>0.22339999999999999</v>
      </c>
      <c r="Q27" s="73">
        <v>0.22339999999999999</v>
      </c>
      <c r="R27" s="79">
        <f>((K27-D27)/D27)</f>
        <v>4.9099411311645157E-2</v>
      </c>
      <c r="S27" s="79">
        <f>((N27-G27)/G27)</f>
        <v>0</v>
      </c>
      <c r="T27" s="79">
        <f>((O27-H27)/H27)</f>
        <v>0</v>
      </c>
      <c r="U27" s="80">
        <f>P27-I27</f>
        <v>1.3299999999999979E-2</v>
      </c>
      <c r="V27" s="81">
        <f>Q27-J27</f>
        <v>1.3299999999999979E-2</v>
      </c>
    </row>
    <row r="28" spans="1:22">
      <c r="A28" s="170">
        <v>20</v>
      </c>
      <c r="B28" s="168" t="s">
        <v>56</v>
      </c>
      <c r="C28" s="169" t="s">
        <v>57</v>
      </c>
      <c r="D28" s="67">
        <v>9887160419.5400009</v>
      </c>
      <c r="E28" s="52">
        <f t="shared" ref="E28:E63" si="13">(D28/$K$64)</f>
        <v>6.1596597699050282E-3</v>
      </c>
      <c r="F28" s="53">
        <v>100</v>
      </c>
      <c r="G28" s="53">
        <v>100</v>
      </c>
      <c r="H28" s="54">
        <v>1851</v>
      </c>
      <c r="I28" s="73">
        <v>0.23100699999999999</v>
      </c>
      <c r="J28" s="73">
        <v>0.23100699999999999</v>
      </c>
      <c r="K28" s="67">
        <v>10065838459.450001</v>
      </c>
      <c r="L28" s="52">
        <f t="shared" si="12"/>
        <v>6.2709754447295213E-3</v>
      </c>
      <c r="M28" s="53">
        <v>100</v>
      </c>
      <c r="N28" s="53">
        <v>100</v>
      </c>
      <c r="O28" s="54">
        <v>1872</v>
      </c>
      <c r="P28" s="73">
        <v>0.22354099999999999</v>
      </c>
      <c r="Q28" s="73">
        <v>0.22354099999999999</v>
      </c>
      <c r="R28" s="79">
        <f t="shared" ref="R28:R64" si="14">((K28-D28)/D28)</f>
        <v>1.8071724572899447E-2</v>
      </c>
      <c r="S28" s="79">
        <f t="shared" ref="S28:S64" si="15">((N28-G28)/G28)</f>
        <v>0</v>
      </c>
      <c r="T28" s="79">
        <f t="shared" ref="T28:T64" si="16">((O28-H28)/H28)</f>
        <v>1.1345218800648298E-2</v>
      </c>
      <c r="U28" s="80">
        <f t="shared" ref="U28:U64" si="17">P28-I28</f>
        <v>-7.4660000000000004E-3</v>
      </c>
      <c r="V28" s="81">
        <f t="shared" ref="V28:V64" si="18">Q28-J28</f>
        <v>-7.4660000000000004E-3</v>
      </c>
    </row>
    <row r="29" spans="1:22">
      <c r="A29" s="170">
        <v>21</v>
      </c>
      <c r="B29" s="168" t="s">
        <v>58</v>
      </c>
      <c r="C29" s="169" t="s">
        <v>21</v>
      </c>
      <c r="D29" s="67">
        <v>1015458514.92</v>
      </c>
      <c r="E29" s="52">
        <f t="shared" si="13"/>
        <v>6.3262642628905946E-4</v>
      </c>
      <c r="F29" s="53">
        <v>100</v>
      </c>
      <c r="G29" s="53">
        <v>100</v>
      </c>
      <c r="H29" s="54">
        <v>1779</v>
      </c>
      <c r="I29" s="73">
        <v>0.21379999999999999</v>
      </c>
      <c r="J29" s="73">
        <v>0.21379999999999999</v>
      </c>
      <c r="K29" s="67">
        <v>1047044045.83</v>
      </c>
      <c r="L29" s="52">
        <f t="shared" si="12"/>
        <v>6.5230408051958236E-4</v>
      </c>
      <c r="M29" s="53">
        <v>100</v>
      </c>
      <c r="N29" s="53">
        <v>100</v>
      </c>
      <c r="O29" s="54">
        <v>1786</v>
      </c>
      <c r="P29" s="73">
        <v>0.221</v>
      </c>
      <c r="Q29" s="73">
        <v>0.221</v>
      </c>
      <c r="R29" s="79">
        <f t="shared" si="14"/>
        <v>3.1104698464701399E-2</v>
      </c>
      <c r="S29" s="79">
        <f t="shared" si="15"/>
        <v>0</v>
      </c>
      <c r="T29" s="79">
        <f t="shared" si="16"/>
        <v>3.9347948285553686E-3</v>
      </c>
      <c r="U29" s="80">
        <f t="shared" si="17"/>
        <v>7.2000000000000119E-3</v>
      </c>
      <c r="V29" s="81">
        <f t="shared" si="18"/>
        <v>7.2000000000000119E-3</v>
      </c>
    </row>
    <row r="30" spans="1:22">
      <c r="A30" s="170">
        <v>22</v>
      </c>
      <c r="B30" s="168" t="s">
        <v>59</v>
      </c>
      <c r="C30" s="169" t="s">
        <v>23</v>
      </c>
      <c r="D30" s="67">
        <v>113347259247.42</v>
      </c>
      <c r="E30" s="52">
        <f t="shared" si="13"/>
        <v>7.0614870517880346E-2</v>
      </c>
      <c r="F30" s="53">
        <v>1</v>
      </c>
      <c r="G30" s="53">
        <v>1</v>
      </c>
      <c r="H30" s="54">
        <v>63257</v>
      </c>
      <c r="I30" s="73">
        <v>0.2162</v>
      </c>
      <c r="J30" s="73">
        <v>0.2162</v>
      </c>
      <c r="K30" s="67">
        <v>113779738260.7</v>
      </c>
      <c r="L30" s="52">
        <f t="shared" si="12"/>
        <v>7.0884303142252886E-2</v>
      </c>
      <c r="M30" s="53">
        <v>1</v>
      </c>
      <c r="N30" s="53">
        <v>1</v>
      </c>
      <c r="O30" s="54">
        <v>63426</v>
      </c>
      <c r="P30" s="73">
        <v>0.21709999999999999</v>
      </c>
      <c r="Q30" s="73">
        <v>0.21709999999999999</v>
      </c>
      <c r="R30" s="79">
        <f t="shared" si="14"/>
        <v>3.8155224586062749E-3</v>
      </c>
      <c r="S30" s="79">
        <f t="shared" si="15"/>
        <v>0</v>
      </c>
      <c r="T30" s="79">
        <f t="shared" si="16"/>
        <v>2.671641083200278E-3</v>
      </c>
      <c r="U30" s="80">
        <f t="shared" si="17"/>
        <v>8.9999999999998415E-4</v>
      </c>
      <c r="V30" s="81">
        <f t="shared" si="18"/>
        <v>8.9999999999998415E-4</v>
      </c>
    </row>
    <row r="31" spans="1:22">
      <c r="A31" s="170">
        <v>23</v>
      </c>
      <c r="B31" s="168" t="s">
        <v>60</v>
      </c>
      <c r="C31" s="169" t="s">
        <v>25</v>
      </c>
      <c r="D31" s="67">
        <v>76747703878.529999</v>
      </c>
      <c r="E31" s="52">
        <f t="shared" si="13"/>
        <v>4.7813499928542627E-2</v>
      </c>
      <c r="F31" s="53">
        <v>1</v>
      </c>
      <c r="G31" s="53">
        <v>1</v>
      </c>
      <c r="H31" s="54">
        <v>30235</v>
      </c>
      <c r="I31" s="73">
        <v>0.20799999999999999</v>
      </c>
      <c r="J31" s="73">
        <v>0.20799999999999999</v>
      </c>
      <c r="K31" s="67">
        <v>76459453275.490005</v>
      </c>
      <c r="L31" s="52">
        <f t="shared" si="12"/>
        <v>4.763392100316307E-2</v>
      </c>
      <c r="M31" s="53">
        <v>1</v>
      </c>
      <c r="N31" s="53">
        <v>1</v>
      </c>
      <c r="O31" s="54">
        <v>30288</v>
      </c>
      <c r="P31" s="73">
        <v>0.2097</v>
      </c>
      <c r="Q31" s="73">
        <v>0.2097</v>
      </c>
      <c r="R31" s="79">
        <f t="shared" si="14"/>
        <v>-3.7558205454095773E-3</v>
      </c>
      <c r="S31" s="79">
        <f t="shared" si="15"/>
        <v>0</v>
      </c>
      <c r="T31" s="79">
        <f t="shared" si="16"/>
        <v>1.7529353398379362E-3</v>
      </c>
      <c r="U31" s="80">
        <f t="shared" si="17"/>
        <v>1.7000000000000071E-3</v>
      </c>
      <c r="V31" s="81">
        <f t="shared" si="18"/>
        <v>1.7000000000000071E-3</v>
      </c>
    </row>
    <row r="32" spans="1:22" ht="15" customHeight="1">
      <c r="A32" s="170">
        <v>24</v>
      </c>
      <c r="B32" s="168" t="s">
        <v>61</v>
      </c>
      <c r="C32" s="169" t="s">
        <v>47</v>
      </c>
      <c r="D32" s="67">
        <v>10036180168</v>
      </c>
      <c r="E32" s="52">
        <f t="shared" si="13"/>
        <v>6.2524984526572932E-3</v>
      </c>
      <c r="F32" s="53">
        <v>100</v>
      </c>
      <c r="G32" s="53">
        <v>100</v>
      </c>
      <c r="H32" s="54">
        <v>2891</v>
      </c>
      <c r="I32" s="73">
        <v>0.221</v>
      </c>
      <c r="J32" s="73">
        <v>0.221</v>
      </c>
      <c r="K32" s="67">
        <v>13638397395.25</v>
      </c>
      <c r="L32" s="52">
        <f t="shared" si="12"/>
        <v>8.4966647851160704E-3</v>
      </c>
      <c r="M32" s="53">
        <v>100</v>
      </c>
      <c r="N32" s="53">
        <v>100</v>
      </c>
      <c r="O32" s="54">
        <v>2083</v>
      </c>
      <c r="P32" s="73">
        <v>0.19270000000000001</v>
      </c>
      <c r="Q32" s="73">
        <v>0.19270000000000001</v>
      </c>
      <c r="R32" s="79">
        <f t="shared" si="14"/>
        <v>0.35892313280061872</v>
      </c>
      <c r="S32" s="79">
        <f t="shared" si="15"/>
        <v>0</v>
      </c>
      <c r="T32" s="79">
        <f t="shared" si="16"/>
        <v>-0.27948806641300589</v>
      </c>
      <c r="U32" s="80">
        <f t="shared" si="17"/>
        <v>-2.8299999999999992E-2</v>
      </c>
      <c r="V32" s="81">
        <f t="shared" si="18"/>
        <v>-2.8299999999999992E-2</v>
      </c>
    </row>
    <row r="33" spans="1:22" ht="15" customHeight="1">
      <c r="A33" s="170">
        <v>25</v>
      </c>
      <c r="B33" s="168" t="s">
        <v>62</v>
      </c>
      <c r="C33" s="169" t="s">
        <v>63</v>
      </c>
      <c r="D33" s="67">
        <v>327472505.52999997</v>
      </c>
      <c r="E33" s="52">
        <f t="shared" si="13"/>
        <v>2.0401400730554639E-4</v>
      </c>
      <c r="F33" s="53">
        <v>1</v>
      </c>
      <c r="G33" s="53">
        <v>1</v>
      </c>
      <c r="H33" s="54">
        <v>279</v>
      </c>
      <c r="I33" s="73">
        <v>0.21049999999999999</v>
      </c>
      <c r="J33" s="73">
        <v>0.21049999999999999</v>
      </c>
      <c r="K33" s="67">
        <v>333422675.01999998</v>
      </c>
      <c r="L33" s="52">
        <f t="shared" si="12"/>
        <v>2.0772093812050879E-4</v>
      </c>
      <c r="M33" s="53">
        <v>1</v>
      </c>
      <c r="N33" s="53">
        <v>1</v>
      </c>
      <c r="O33" s="54">
        <v>279</v>
      </c>
      <c r="P33" s="73">
        <v>0.21049999999999999</v>
      </c>
      <c r="Q33" s="73">
        <v>0.21049999999999999</v>
      </c>
      <c r="R33" s="79">
        <f t="shared" si="14"/>
        <v>1.8169981874875021E-2</v>
      </c>
      <c r="S33" s="79">
        <f t="shared" si="15"/>
        <v>0</v>
      </c>
      <c r="T33" s="79">
        <f t="shared" si="16"/>
        <v>0</v>
      </c>
      <c r="U33" s="80">
        <f t="shared" si="17"/>
        <v>0</v>
      </c>
      <c r="V33" s="81">
        <f t="shared" si="18"/>
        <v>0</v>
      </c>
    </row>
    <row r="34" spans="1:22">
      <c r="A34" s="170">
        <v>26</v>
      </c>
      <c r="B34" s="168" t="s">
        <v>64</v>
      </c>
      <c r="C34" s="169" t="s">
        <v>65</v>
      </c>
      <c r="D34" s="67">
        <v>31161435873.220001</v>
      </c>
      <c r="E34" s="52">
        <f t="shared" si="13"/>
        <v>1.9413444788597734E-2</v>
      </c>
      <c r="F34" s="53">
        <v>100</v>
      </c>
      <c r="G34" s="53">
        <v>100</v>
      </c>
      <c r="H34" s="54">
        <v>3192</v>
      </c>
      <c r="I34" s="73">
        <v>0.23280320533870499</v>
      </c>
      <c r="J34" s="73">
        <v>0.23280320533870499</v>
      </c>
      <c r="K34" s="67">
        <v>31933920487.080002</v>
      </c>
      <c r="L34" s="52">
        <f t="shared" si="12"/>
        <v>1.9894699486302479E-2</v>
      </c>
      <c r="M34" s="53">
        <v>100</v>
      </c>
      <c r="N34" s="53">
        <v>100</v>
      </c>
      <c r="O34" s="54">
        <v>3216</v>
      </c>
      <c r="P34" s="73">
        <v>0.234638966447305</v>
      </c>
      <c r="Q34" s="73">
        <v>0.234638966447305</v>
      </c>
      <c r="R34" s="79">
        <f t="shared" si="14"/>
        <v>2.4789763122689427E-2</v>
      </c>
      <c r="S34" s="79">
        <f t="shared" si="15"/>
        <v>0</v>
      </c>
      <c r="T34" s="79">
        <f t="shared" si="16"/>
        <v>7.5187969924812026E-3</v>
      </c>
      <c r="U34" s="80">
        <f t="shared" si="17"/>
        <v>1.8357611086000092E-3</v>
      </c>
      <c r="V34" s="81">
        <f t="shared" si="18"/>
        <v>1.8357611086000092E-3</v>
      </c>
    </row>
    <row r="35" spans="1:22">
      <c r="A35" s="170">
        <v>27</v>
      </c>
      <c r="B35" s="168" t="s">
        <v>66</v>
      </c>
      <c r="C35" s="169" t="s">
        <v>67</v>
      </c>
      <c r="D35" s="67">
        <v>13668914500.93</v>
      </c>
      <c r="E35" s="52">
        <f t="shared" si="13"/>
        <v>8.5156768148773702E-3</v>
      </c>
      <c r="F35" s="53">
        <v>100</v>
      </c>
      <c r="G35" s="53">
        <v>100</v>
      </c>
      <c r="H35" s="54">
        <v>6427</v>
      </c>
      <c r="I35" s="73">
        <v>0.22969999999999999</v>
      </c>
      <c r="J35" s="73">
        <v>0.22969999999999999</v>
      </c>
      <c r="K35" s="67">
        <v>13096168408.93</v>
      </c>
      <c r="L35" s="52">
        <f t="shared" si="12"/>
        <v>8.1588583845532813E-3</v>
      </c>
      <c r="M35" s="53">
        <v>100</v>
      </c>
      <c r="N35" s="53">
        <v>100</v>
      </c>
      <c r="O35" s="54">
        <v>6446</v>
      </c>
      <c r="P35" s="73">
        <v>0.22819999999999999</v>
      </c>
      <c r="Q35" s="73">
        <v>0.22819999999999999</v>
      </c>
      <c r="R35" s="79">
        <f t="shared" si="14"/>
        <v>-4.1901358879743653E-2</v>
      </c>
      <c r="S35" s="79">
        <f t="shared" si="15"/>
        <v>0</v>
      </c>
      <c r="T35" s="79">
        <f t="shared" si="16"/>
        <v>2.9562782013381047E-3</v>
      </c>
      <c r="U35" s="80">
        <f t="shared" si="17"/>
        <v>-1.5000000000000013E-3</v>
      </c>
      <c r="V35" s="81">
        <f t="shared" si="18"/>
        <v>-1.5000000000000013E-3</v>
      </c>
    </row>
    <row r="36" spans="1:22">
      <c r="A36" s="170">
        <v>28</v>
      </c>
      <c r="B36" s="168" t="s">
        <v>68</v>
      </c>
      <c r="C36" s="169" t="s">
        <v>69</v>
      </c>
      <c r="D36" s="67">
        <v>44514190.369999997</v>
      </c>
      <c r="E36" s="52">
        <f t="shared" si="13"/>
        <v>2.7732155237422514E-5</v>
      </c>
      <c r="F36" s="53">
        <v>100</v>
      </c>
      <c r="G36" s="53">
        <v>100</v>
      </c>
      <c r="H36" s="54">
        <v>0</v>
      </c>
      <c r="I36" s="73">
        <v>0</v>
      </c>
      <c r="J36" s="73">
        <v>0</v>
      </c>
      <c r="K36" s="67">
        <v>44514190.369999997</v>
      </c>
      <c r="L36" s="52">
        <f t="shared" si="12"/>
        <v>2.7732155237422514E-5</v>
      </c>
      <c r="M36" s="53">
        <v>100</v>
      </c>
      <c r="N36" s="53">
        <v>100</v>
      </c>
      <c r="O36" s="54">
        <v>0</v>
      </c>
      <c r="P36" s="73">
        <v>0</v>
      </c>
      <c r="Q36" s="73">
        <v>0</v>
      </c>
      <c r="R36" s="79">
        <f t="shared" si="14"/>
        <v>0</v>
      </c>
      <c r="S36" s="79">
        <f t="shared" si="15"/>
        <v>0</v>
      </c>
      <c r="T36" s="79" t="e">
        <f t="shared" si="16"/>
        <v>#DIV/0!</v>
      </c>
      <c r="U36" s="80">
        <f t="shared" si="17"/>
        <v>0</v>
      </c>
      <c r="V36" s="81">
        <f t="shared" si="18"/>
        <v>0</v>
      </c>
    </row>
    <row r="37" spans="1:22">
      <c r="A37" s="170">
        <v>29</v>
      </c>
      <c r="B37" s="168" t="s">
        <v>70</v>
      </c>
      <c r="C37" s="169" t="s">
        <v>71</v>
      </c>
      <c r="D37" s="67">
        <v>8156546240.2799997</v>
      </c>
      <c r="E37" s="52">
        <f t="shared" si="13"/>
        <v>5.0814943427367094E-3</v>
      </c>
      <c r="F37" s="53">
        <v>1</v>
      </c>
      <c r="G37" s="53">
        <v>1</v>
      </c>
      <c r="H37" s="54">
        <v>3250</v>
      </c>
      <c r="I37" s="73">
        <v>0.22289999999999999</v>
      </c>
      <c r="J37" s="73">
        <v>0.22289999999999999</v>
      </c>
      <c r="K37" s="67">
        <v>8932352557.4099998</v>
      </c>
      <c r="L37" s="52">
        <f t="shared" si="12"/>
        <v>5.5648184477466471E-3</v>
      </c>
      <c r="M37" s="53">
        <v>1</v>
      </c>
      <c r="N37" s="53">
        <v>1</v>
      </c>
      <c r="O37" s="54">
        <v>3314</v>
      </c>
      <c r="P37" s="73">
        <v>0.20649999999999999</v>
      </c>
      <c r="Q37" s="73">
        <v>0.20649999999999999</v>
      </c>
      <c r="R37" s="79">
        <f t="shared" si="14"/>
        <v>9.5114561270894973E-2</v>
      </c>
      <c r="S37" s="79">
        <f t="shared" si="15"/>
        <v>0</v>
      </c>
      <c r="T37" s="79">
        <f t="shared" si="16"/>
        <v>1.9692307692307693E-2</v>
      </c>
      <c r="U37" s="80">
        <f t="shared" si="17"/>
        <v>-1.6399999999999998E-2</v>
      </c>
      <c r="V37" s="81">
        <f t="shared" si="18"/>
        <v>-1.6399999999999998E-2</v>
      </c>
    </row>
    <row r="38" spans="1:22">
      <c r="A38" s="170">
        <v>30</v>
      </c>
      <c r="B38" s="168" t="s">
        <v>72</v>
      </c>
      <c r="C38" s="169" t="s">
        <v>73</v>
      </c>
      <c r="D38" s="67">
        <v>29458877757.650002</v>
      </c>
      <c r="E38" s="52">
        <f t="shared" si="13"/>
        <v>1.8352758172279056E-2</v>
      </c>
      <c r="F38" s="68">
        <v>100</v>
      </c>
      <c r="G38" s="68">
        <v>100</v>
      </c>
      <c r="H38" s="54">
        <v>3042</v>
      </c>
      <c r="I38" s="73">
        <v>0.2109</v>
      </c>
      <c r="J38" s="73">
        <v>0.2109</v>
      </c>
      <c r="K38" s="67">
        <v>28293271321.25</v>
      </c>
      <c r="L38" s="52">
        <f t="shared" si="12"/>
        <v>1.7626590216144135E-2</v>
      </c>
      <c r="M38" s="68">
        <v>100</v>
      </c>
      <c r="N38" s="68">
        <v>100</v>
      </c>
      <c r="O38" s="54">
        <v>3009</v>
      </c>
      <c r="P38" s="73">
        <v>0.21490000000000001</v>
      </c>
      <c r="Q38" s="73">
        <v>0.21490000000000001</v>
      </c>
      <c r="R38" s="79">
        <f t="shared" si="14"/>
        <v>-3.956723830381869E-2</v>
      </c>
      <c r="S38" s="79">
        <f t="shared" si="15"/>
        <v>0</v>
      </c>
      <c r="T38" s="79">
        <f t="shared" si="16"/>
        <v>-1.0848126232741617E-2</v>
      </c>
      <c r="U38" s="80">
        <f t="shared" si="17"/>
        <v>4.0000000000000036E-3</v>
      </c>
      <c r="V38" s="81">
        <f t="shared" si="18"/>
        <v>4.0000000000000036E-3</v>
      </c>
    </row>
    <row r="39" spans="1:22">
      <c r="A39" s="170">
        <v>31</v>
      </c>
      <c r="B39" s="168" t="s">
        <v>74</v>
      </c>
      <c r="C39" s="169" t="s">
        <v>73</v>
      </c>
      <c r="D39" s="67">
        <v>1400380491.6199999</v>
      </c>
      <c r="E39" s="52">
        <f t="shared" si="13"/>
        <v>8.7243121490617587E-4</v>
      </c>
      <c r="F39" s="68">
        <v>1000000</v>
      </c>
      <c r="G39" s="68">
        <v>1000000</v>
      </c>
      <c r="H39" s="54">
        <v>6</v>
      </c>
      <c r="I39" s="73">
        <v>0.2089</v>
      </c>
      <c r="J39" s="73">
        <v>0.2089</v>
      </c>
      <c r="K39" s="67">
        <v>1479007117.1300001</v>
      </c>
      <c r="L39" s="52">
        <f t="shared" si="12"/>
        <v>9.2141527518704164E-4</v>
      </c>
      <c r="M39" s="68">
        <v>1000000</v>
      </c>
      <c r="N39" s="68">
        <v>1000000</v>
      </c>
      <c r="O39" s="54">
        <v>4</v>
      </c>
      <c r="P39" s="73">
        <v>0.21879999999999999</v>
      </c>
      <c r="Q39" s="73">
        <v>0.21879999999999999</v>
      </c>
      <c r="R39" s="79">
        <f t="shared" si="14"/>
        <v>5.6146615852269349E-2</v>
      </c>
      <c r="S39" s="79">
        <f t="shared" si="15"/>
        <v>0</v>
      </c>
      <c r="T39" s="79">
        <f t="shared" si="16"/>
        <v>-0.33333333333333331</v>
      </c>
      <c r="U39" s="80">
        <f t="shared" si="17"/>
        <v>9.8999999999999921E-3</v>
      </c>
      <c r="V39" s="81">
        <f t="shared" si="18"/>
        <v>9.8999999999999921E-3</v>
      </c>
    </row>
    <row r="40" spans="1:22">
      <c r="A40" s="170">
        <v>32</v>
      </c>
      <c r="B40" s="168" t="s">
        <v>75</v>
      </c>
      <c r="C40" s="169" t="s">
        <v>76</v>
      </c>
      <c r="D40" s="67">
        <v>3636122834.9000001</v>
      </c>
      <c r="E40" s="52">
        <f t="shared" si="13"/>
        <v>2.2652893848372074E-3</v>
      </c>
      <c r="F40" s="53">
        <v>1</v>
      </c>
      <c r="G40" s="53">
        <v>1</v>
      </c>
      <c r="H40" s="54">
        <v>685</v>
      </c>
      <c r="I40" s="73">
        <v>0.20899999999999999</v>
      </c>
      <c r="J40" s="73">
        <v>0.20899999999999999</v>
      </c>
      <c r="K40" s="67">
        <v>3500604683.5999999</v>
      </c>
      <c r="L40" s="52">
        <f t="shared" si="12"/>
        <v>2.1808621408931517E-3</v>
      </c>
      <c r="M40" s="53">
        <v>1</v>
      </c>
      <c r="N40" s="53">
        <v>1</v>
      </c>
      <c r="O40" s="54">
        <v>671</v>
      </c>
      <c r="P40" s="73">
        <v>0.22439999999999999</v>
      </c>
      <c r="Q40" s="73">
        <v>0.22439999999999999</v>
      </c>
      <c r="R40" s="79">
        <f t="shared" si="14"/>
        <v>-3.7269959639228523E-2</v>
      </c>
      <c r="S40" s="79">
        <f t="shared" si="15"/>
        <v>0</v>
      </c>
      <c r="T40" s="79">
        <f t="shared" si="16"/>
        <v>-2.0437956204379562E-2</v>
      </c>
      <c r="U40" s="80">
        <f t="shared" si="17"/>
        <v>1.5399999999999997E-2</v>
      </c>
      <c r="V40" s="81">
        <f t="shared" si="18"/>
        <v>1.5399999999999997E-2</v>
      </c>
    </row>
    <row r="41" spans="1:22">
      <c r="A41" s="170">
        <v>33</v>
      </c>
      <c r="B41" s="168" t="s">
        <v>77</v>
      </c>
      <c r="C41" s="169" t="s">
        <v>31</v>
      </c>
      <c r="D41" s="67">
        <v>338711176691.63</v>
      </c>
      <c r="E41" s="52">
        <f t="shared" si="13"/>
        <v>0.21101565263990063</v>
      </c>
      <c r="F41" s="53">
        <v>100</v>
      </c>
      <c r="G41" s="53">
        <v>100</v>
      </c>
      <c r="H41" s="54">
        <v>15756</v>
      </c>
      <c r="I41" s="73">
        <v>0.2606</v>
      </c>
      <c r="J41" s="73">
        <v>0.2606</v>
      </c>
      <c r="K41" s="67">
        <v>340360559121.84003</v>
      </c>
      <c r="L41" s="52">
        <f t="shared" si="12"/>
        <v>0.21204321102567078</v>
      </c>
      <c r="M41" s="53">
        <v>100</v>
      </c>
      <c r="N41" s="53">
        <v>100</v>
      </c>
      <c r="O41" s="54">
        <v>15858</v>
      </c>
      <c r="P41" s="73">
        <v>0.2288</v>
      </c>
      <c r="Q41" s="73">
        <v>0.2288</v>
      </c>
      <c r="R41" s="79">
        <f t="shared" si="14"/>
        <v>4.8695837153069667E-3</v>
      </c>
      <c r="S41" s="79">
        <f t="shared" si="15"/>
        <v>0</v>
      </c>
      <c r="T41" s="79">
        <f t="shared" si="16"/>
        <v>6.4737242955064736E-3</v>
      </c>
      <c r="U41" s="80">
        <f t="shared" si="17"/>
        <v>-3.1799999999999995E-2</v>
      </c>
      <c r="V41" s="81">
        <f t="shared" si="18"/>
        <v>-3.1799999999999995E-2</v>
      </c>
    </row>
    <row r="42" spans="1:22">
      <c r="A42" s="170">
        <v>34</v>
      </c>
      <c r="B42" s="168" t="s">
        <v>78</v>
      </c>
      <c r="C42" s="169" t="s">
        <v>79</v>
      </c>
      <c r="D42" s="67">
        <v>677330633.75999999</v>
      </c>
      <c r="E42" s="52">
        <f t="shared" si="13"/>
        <v>4.2197416433644314E-4</v>
      </c>
      <c r="F42" s="53">
        <v>1</v>
      </c>
      <c r="G42" s="53">
        <v>1</v>
      </c>
      <c r="H42" s="69">
        <v>752</v>
      </c>
      <c r="I42" s="76">
        <v>0.22869999999999999</v>
      </c>
      <c r="J42" s="76">
        <v>0.22869999999999999</v>
      </c>
      <c r="K42" s="67">
        <v>675200228.84000003</v>
      </c>
      <c r="L42" s="52">
        <f t="shared" si="12"/>
        <v>4.2064693094257639E-4</v>
      </c>
      <c r="M42" s="53">
        <v>1</v>
      </c>
      <c r="N42" s="53">
        <v>1</v>
      </c>
      <c r="O42" s="69">
        <v>763</v>
      </c>
      <c r="P42" s="76">
        <v>0.2243</v>
      </c>
      <c r="Q42" s="76">
        <v>0.2243</v>
      </c>
      <c r="R42" s="79">
        <f t="shared" si="14"/>
        <v>-3.1452953901902332E-3</v>
      </c>
      <c r="S42" s="79">
        <f t="shared" si="15"/>
        <v>0</v>
      </c>
      <c r="T42" s="79">
        <f t="shared" si="16"/>
        <v>1.4627659574468085E-2</v>
      </c>
      <c r="U42" s="80">
        <f t="shared" si="17"/>
        <v>-4.3999999999999873E-3</v>
      </c>
      <c r="V42" s="81">
        <f t="shared" si="18"/>
        <v>-4.3999999999999873E-3</v>
      </c>
    </row>
    <row r="43" spans="1:22">
      <c r="A43" s="170">
        <v>35</v>
      </c>
      <c r="B43" s="168" t="s">
        <v>80</v>
      </c>
      <c r="C43" s="169" t="s">
        <v>81</v>
      </c>
      <c r="D43" s="67">
        <v>731554941.22000003</v>
      </c>
      <c r="E43" s="52">
        <f t="shared" si="13"/>
        <v>4.5575568208669958E-4</v>
      </c>
      <c r="F43" s="53">
        <v>10</v>
      </c>
      <c r="G43" s="53">
        <v>10</v>
      </c>
      <c r="H43" s="54">
        <v>398</v>
      </c>
      <c r="I43" s="73">
        <v>0.1903</v>
      </c>
      <c r="J43" s="73">
        <v>0.1903</v>
      </c>
      <c r="K43" s="67">
        <v>732397841.61000001</v>
      </c>
      <c r="L43" s="52">
        <f t="shared" si="12"/>
        <v>4.5628080551971879E-4</v>
      </c>
      <c r="M43" s="53">
        <v>10</v>
      </c>
      <c r="N43" s="53">
        <v>10</v>
      </c>
      <c r="O43" s="54">
        <v>400</v>
      </c>
      <c r="P43" s="73">
        <v>0.19020000000000001</v>
      </c>
      <c r="Q43" s="73">
        <v>0.19020000000000001</v>
      </c>
      <c r="R43" s="79">
        <f t="shared" si="14"/>
        <v>1.152203809319225E-3</v>
      </c>
      <c r="S43" s="79">
        <f t="shared" si="15"/>
        <v>0</v>
      </c>
      <c r="T43" s="79">
        <f t="shared" si="16"/>
        <v>5.0251256281407036E-3</v>
      </c>
      <c r="U43" s="80">
        <f t="shared" si="17"/>
        <v>-9.9999999999988987E-5</v>
      </c>
      <c r="V43" s="81">
        <f t="shared" si="18"/>
        <v>-9.9999999999988987E-5</v>
      </c>
    </row>
    <row r="44" spans="1:22">
      <c r="A44" s="170">
        <v>36</v>
      </c>
      <c r="B44" s="168" t="s">
        <v>82</v>
      </c>
      <c r="C44" s="169" t="s">
        <v>83</v>
      </c>
      <c r="D44" s="67">
        <v>4837169819.3999996</v>
      </c>
      <c r="E44" s="52">
        <f t="shared" si="13"/>
        <v>3.0135366548592092E-3</v>
      </c>
      <c r="F44" s="53">
        <v>100</v>
      </c>
      <c r="G44" s="53">
        <v>100</v>
      </c>
      <c r="H44" s="54">
        <v>702</v>
      </c>
      <c r="I44" s="73">
        <v>0.2049</v>
      </c>
      <c r="J44" s="73">
        <v>0.2049</v>
      </c>
      <c r="K44" s="67">
        <v>4962028941.1899996</v>
      </c>
      <c r="L44" s="52">
        <f t="shared" si="12"/>
        <v>3.0913233678041699E-3</v>
      </c>
      <c r="M44" s="53">
        <v>100</v>
      </c>
      <c r="N44" s="53">
        <v>100</v>
      </c>
      <c r="O44" s="54">
        <v>702</v>
      </c>
      <c r="P44" s="73">
        <v>0.20810000000000001</v>
      </c>
      <c r="Q44" s="73">
        <v>0.20810000000000001</v>
      </c>
      <c r="R44" s="79">
        <f t="shared" si="14"/>
        <v>2.5812432982865056E-2</v>
      </c>
      <c r="S44" s="79">
        <f t="shared" si="15"/>
        <v>0</v>
      </c>
      <c r="T44" s="79">
        <f t="shared" si="16"/>
        <v>0</v>
      </c>
      <c r="U44" s="80">
        <f t="shared" si="17"/>
        <v>3.2000000000000084E-3</v>
      </c>
      <c r="V44" s="81">
        <f t="shared" si="18"/>
        <v>3.2000000000000084E-3</v>
      </c>
    </row>
    <row r="45" spans="1:22">
      <c r="A45" s="170">
        <v>37</v>
      </c>
      <c r="B45" s="168" t="s">
        <v>84</v>
      </c>
      <c r="C45" s="168" t="s">
        <v>85</v>
      </c>
      <c r="D45" s="55">
        <v>63613752.619999997</v>
      </c>
      <c r="E45" s="52">
        <f t="shared" ref="E45" si="19">(D45/$D$177)</f>
        <v>1.193999300709486E-3</v>
      </c>
      <c r="F45" s="55">
        <v>1</v>
      </c>
      <c r="G45" s="55">
        <v>1</v>
      </c>
      <c r="H45" s="54">
        <v>41</v>
      </c>
      <c r="I45" s="73">
        <v>0.1847</v>
      </c>
      <c r="J45" s="73">
        <v>0.1847</v>
      </c>
      <c r="K45" s="55">
        <v>67281663.909999996</v>
      </c>
      <c r="L45" s="77">
        <f t="shared" ref="L45" si="20">(K45/$K$177)</f>
        <v>1.2498140292925824E-3</v>
      </c>
      <c r="M45" s="55">
        <v>1</v>
      </c>
      <c r="N45" s="55">
        <v>1</v>
      </c>
      <c r="O45" s="54">
        <v>44</v>
      </c>
      <c r="P45" s="73">
        <v>0.1426</v>
      </c>
      <c r="Q45" s="73">
        <v>0.1426</v>
      </c>
      <c r="R45" s="80">
        <f t="shared" si="14"/>
        <v>5.7659093182420074E-2</v>
      </c>
      <c r="S45" s="80">
        <f t="shared" si="15"/>
        <v>0</v>
      </c>
      <c r="T45" s="80">
        <f t="shared" si="16"/>
        <v>7.3170731707317069E-2</v>
      </c>
      <c r="U45" s="80">
        <f t="shared" si="17"/>
        <v>-4.2099999999999999E-2</v>
      </c>
      <c r="V45" s="81">
        <f t="shared" si="18"/>
        <v>-4.2099999999999999E-2</v>
      </c>
    </row>
    <row r="46" spans="1:22">
      <c r="A46" s="170">
        <v>38</v>
      </c>
      <c r="B46" s="168" t="s">
        <v>299</v>
      </c>
      <c r="C46" s="169" t="s">
        <v>37</v>
      </c>
      <c r="D46" s="67">
        <v>0</v>
      </c>
      <c r="E46" s="52">
        <f t="shared" ref="E46" si="21">(D46/$K$64)</f>
        <v>0</v>
      </c>
      <c r="F46" s="53">
        <v>0</v>
      </c>
      <c r="G46" s="53">
        <v>0</v>
      </c>
      <c r="H46" s="54">
        <v>0</v>
      </c>
      <c r="I46" s="73">
        <v>0</v>
      </c>
      <c r="J46" s="73">
        <v>0</v>
      </c>
      <c r="K46" s="67">
        <v>155736896.5</v>
      </c>
      <c r="L46" s="52">
        <f t="shared" ref="L46" si="22">(K46/$K$64)</f>
        <v>9.7023438010075688E-5</v>
      </c>
      <c r="M46" s="53">
        <v>1</v>
      </c>
      <c r="N46" s="53">
        <v>1</v>
      </c>
      <c r="O46" s="54">
        <v>172</v>
      </c>
      <c r="P46" s="73">
        <v>0.18759999999999999</v>
      </c>
      <c r="Q46" s="73">
        <v>0.18759999999999999</v>
      </c>
      <c r="R46" s="79" t="e">
        <f t="shared" ref="R46" si="23">((K46-D46)/D46)</f>
        <v>#DIV/0!</v>
      </c>
      <c r="S46" s="79" t="e">
        <f t="shared" ref="S46" si="24">((N46-G46)/G46)</f>
        <v>#DIV/0!</v>
      </c>
      <c r="T46" s="79" t="e">
        <f t="shared" ref="T46" si="25">((O46-H46)/H46)</f>
        <v>#DIV/0!</v>
      </c>
      <c r="U46" s="80">
        <f t="shared" ref="U46" si="26">P46-I46</f>
        <v>0.18759999999999999</v>
      </c>
      <c r="V46" s="81">
        <f t="shared" ref="V46" si="27">Q46-J46</f>
        <v>0.18759999999999999</v>
      </c>
    </row>
    <row r="47" spans="1:22">
      <c r="A47" s="170">
        <v>39</v>
      </c>
      <c r="B47" s="168" t="s">
        <v>86</v>
      </c>
      <c r="C47" s="169" t="s">
        <v>37</v>
      </c>
      <c r="D47" s="67">
        <v>40366072779.370003</v>
      </c>
      <c r="E47" s="52">
        <f t="shared" si="13"/>
        <v>2.514789525178068E-2</v>
      </c>
      <c r="F47" s="53">
        <v>100</v>
      </c>
      <c r="G47" s="53">
        <v>100</v>
      </c>
      <c r="H47" s="54">
        <v>12780</v>
      </c>
      <c r="I47" s="73">
        <v>0.21859999999999999</v>
      </c>
      <c r="J47" s="73">
        <v>0.21859999999999999</v>
      </c>
      <c r="K47" s="67">
        <v>40150718711.169998</v>
      </c>
      <c r="L47" s="52">
        <f t="shared" si="12"/>
        <v>2.5013730564055439E-2</v>
      </c>
      <c r="M47" s="53">
        <v>100</v>
      </c>
      <c r="N47" s="53">
        <v>100</v>
      </c>
      <c r="O47" s="54">
        <v>12841</v>
      </c>
      <c r="P47" s="73">
        <v>0.17399999999999999</v>
      </c>
      <c r="Q47" s="73">
        <v>0.17399999999999999</v>
      </c>
      <c r="R47" s="79">
        <f t="shared" si="14"/>
        <v>-5.3350265054782874E-3</v>
      </c>
      <c r="S47" s="79">
        <f t="shared" si="15"/>
        <v>0</v>
      </c>
      <c r="T47" s="79">
        <f t="shared" si="16"/>
        <v>4.7730829420970268E-3</v>
      </c>
      <c r="U47" s="80">
        <f t="shared" si="17"/>
        <v>-4.4600000000000001E-2</v>
      </c>
      <c r="V47" s="81">
        <f t="shared" si="18"/>
        <v>-4.4600000000000001E-2</v>
      </c>
    </row>
    <row r="48" spans="1:22">
      <c r="A48" s="170">
        <v>40</v>
      </c>
      <c r="B48" s="168" t="s">
        <v>87</v>
      </c>
      <c r="C48" s="169" t="s">
        <v>41</v>
      </c>
      <c r="D48" s="67">
        <v>7186671083.1199999</v>
      </c>
      <c r="E48" s="52">
        <f t="shared" si="13"/>
        <v>4.477266158516886E-3</v>
      </c>
      <c r="F48" s="53">
        <v>1</v>
      </c>
      <c r="G48" s="53">
        <v>1</v>
      </c>
      <c r="H48" s="54">
        <v>1134</v>
      </c>
      <c r="I48" s="73">
        <v>0.22389999999999999</v>
      </c>
      <c r="J48" s="73">
        <v>0.22389999999999999</v>
      </c>
      <c r="K48" s="67">
        <v>7843704824.8400002</v>
      </c>
      <c r="L48" s="52">
        <f t="shared" si="12"/>
        <v>4.886595443631403E-3</v>
      </c>
      <c r="M48" s="53">
        <v>1</v>
      </c>
      <c r="N48" s="53">
        <v>1</v>
      </c>
      <c r="O48" s="54">
        <v>1139</v>
      </c>
      <c r="P48" s="73">
        <v>0.224</v>
      </c>
      <c r="Q48" s="73">
        <v>0.224</v>
      </c>
      <c r="R48" s="79">
        <f t="shared" si="14"/>
        <v>9.1423933852105219E-2</v>
      </c>
      <c r="S48" s="79">
        <f t="shared" si="15"/>
        <v>0</v>
      </c>
      <c r="T48" s="79">
        <f t="shared" si="16"/>
        <v>4.4091710758377423E-3</v>
      </c>
      <c r="U48" s="80">
        <f t="shared" si="17"/>
        <v>1.0000000000001674E-4</v>
      </c>
      <c r="V48" s="81">
        <f t="shared" si="18"/>
        <v>1.0000000000001674E-4</v>
      </c>
    </row>
    <row r="49" spans="1:22">
      <c r="A49" s="188">
        <v>41</v>
      </c>
      <c r="B49" s="168" t="s">
        <v>88</v>
      </c>
      <c r="C49" s="169" t="s">
        <v>43</v>
      </c>
      <c r="D49" s="70">
        <v>15872290129.9</v>
      </c>
      <c r="E49" s="52">
        <f t="shared" si="13"/>
        <v>9.8883706565726301E-3</v>
      </c>
      <c r="F49" s="53">
        <v>10</v>
      </c>
      <c r="G49" s="53">
        <v>10</v>
      </c>
      <c r="H49" s="54">
        <v>3002</v>
      </c>
      <c r="I49" s="73">
        <v>0.24460000000000001</v>
      </c>
      <c r="J49" s="73">
        <v>0.24460000000000001</v>
      </c>
      <c r="K49" s="70">
        <v>17022038676.689999</v>
      </c>
      <c r="L49" s="52">
        <f t="shared" si="12"/>
        <v>1.060465921351491E-2</v>
      </c>
      <c r="M49" s="53">
        <v>10</v>
      </c>
      <c r="N49" s="53">
        <v>10</v>
      </c>
      <c r="O49" s="54">
        <v>3049</v>
      </c>
      <c r="P49" s="73">
        <v>0.24640000000000001</v>
      </c>
      <c r="Q49" s="73">
        <v>0.24640000000000001</v>
      </c>
      <c r="R49" s="79">
        <f t="shared" si="14"/>
        <v>7.2437470420485747E-2</v>
      </c>
      <c r="S49" s="79">
        <f t="shared" si="15"/>
        <v>0</v>
      </c>
      <c r="T49" s="79">
        <f t="shared" si="16"/>
        <v>1.5656229180546301E-2</v>
      </c>
      <c r="U49" s="80">
        <f t="shared" si="17"/>
        <v>1.799999999999996E-3</v>
      </c>
      <c r="V49" s="81">
        <f t="shared" si="18"/>
        <v>1.799999999999996E-3</v>
      </c>
    </row>
    <row r="50" spans="1:22">
      <c r="A50" s="170">
        <v>42</v>
      </c>
      <c r="B50" s="168" t="s">
        <v>89</v>
      </c>
      <c r="C50" s="169" t="s">
        <v>90</v>
      </c>
      <c r="D50" s="67">
        <v>11882958865.639999</v>
      </c>
      <c r="E50" s="52">
        <f t="shared" si="13"/>
        <v>7.403033891051642E-3</v>
      </c>
      <c r="F50" s="53">
        <v>100</v>
      </c>
      <c r="G50" s="53">
        <v>100</v>
      </c>
      <c r="H50" s="54">
        <v>3109</v>
      </c>
      <c r="I50" s="73">
        <v>0.21840000000000001</v>
      </c>
      <c r="J50" s="73">
        <v>0.21840000000000001</v>
      </c>
      <c r="K50" s="67">
        <v>11980944166</v>
      </c>
      <c r="L50" s="52">
        <f t="shared" si="12"/>
        <v>7.4640783251519269E-3</v>
      </c>
      <c r="M50" s="53">
        <v>100</v>
      </c>
      <c r="N50" s="53">
        <v>100</v>
      </c>
      <c r="O50" s="54">
        <v>3142</v>
      </c>
      <c r="P50" s="73">
        <v>0.22059999999999999</v>
      </c>
      <c r="Q50" s="73">
        <v>0.22059999999999999</v>
      </c>
      <c r="R50" s="79">
        <f t="shared" si="14"/>
        <v>8.245867167253151E-3</v>
      </c>
      <c r="S50" s="79">
        <f t="shared" si="15"/>
        <v>0</v>
      </c>
      <c r="T50" s="79">
        <f t="shared" si="16"/>
        <v>1.061434544869733E-2</v>
      </c>
      <c r="U50" s="80">
        <f t="shared" si="17"/>
        <v>2.1999999999999797E-3</v>
      </c>
      <c r="V50" s="81">
        <f t="shared" si="18"/>
        <v>2.1999999999999797E-3</v>
      </c>
    </row>
    <row r="51" spans="1:22">
      <c r="A51" s="170">
        <v>43</v>
      </c>
      <c r="B51" s="168" t="s">
        <v>91</v>
      </c>
      <c r="C51" s="169" t="s">
        <v>92</v>
      </c>
      <c r="D51" s="67">
        <v>194188677.05000001</v>
      </c>
      <c r="E51" s="52">
        <f t="shared" si="13"/>
        <v>1.2097873717432968E-4</v>
      </c>
      <c r="F51" s="53">
        <v>1</v>
      </c>
      <c r="G51" s="53">
        <v>1</v>
      </c>
      <c r="H51" s="54">
        <v>83</v>
      </c>
      <c r="I51" s="73">
        <v>0.1807</v>
      </c>
      <c r="J51" s="73">
        <v>0.1807</v>
      </c>
      <c r="K51" s="67">
        <v>199505420.63</v>
      </c>
      <c r="L51" s="52">
        <f t="shared" si="12"/>
        <v>1.2429104628503291E-4</v>
      </c>
      <c r="M51" s="53">
        <v>1</v>
      </c>
      <c r="N51" s="53">
        <v>1</v>
      </c>
      <c r="O51" s="54">
        <v>84</v>
      </c>
      <c r="P51" s="73">
        <v>0.17910000000000001</v>
      </c>
      <c r="Q51" s="73">
        <v>0.17910000000000001</v>
      </c>
      <c r="R51" s="79">
        <f t="shared" si="14"/>
        <v>2.7379266704778155E-2</v>
      </c>
      <c r="S51" s="79">
        <f t="shared" si="15"/>
        <v>0</v>
      </c>
      <c r="T51" s="79">
        <f t="shared" si="16"/>
        <v>1.2048192771084338E-2</v>
      </c>
      <c r="U51" s="80">
        <f t="shared" si="17"/>
        <v>-1.5999999999999903E-3</v>
      </c>
      <c r="V51" s="81">
        <f t="shared" si="18"/>
        <v>-1.5999999999999903E-3</v>
      </c>
    </row>
    <row r="52" spans="1:22">
      <c r="A52" s="170">
        <v>44</v>
      </c>
      <c r="B52" s="168" t="s">
        <v>93</v>
      </c>
      <c r="C52" s="169" t="s">
        <v>45</v>
      </c>
      <c r="D52" s="70">
        <v>956639052.73000002</v>
      </c>
      <c r="E52" s="52">
        <f t="shared" si="13"/>
        <v>5.9598214627685662E-4</v>
      </c>
      <c r="F52" s="53">
        <v>10</v>
      </c>
      <c r="G52" s="53">
        <v>10</v>
      </c>
      <c r="H52" s="54">
        <v>736</v>
      </c>
      <c r="I52" s="73">
        <v>0.18099999999999999</v>
      </c>
      <c r="J52" s="153">
        <v>0.18099999999999999</v>
      </c>
      <c r="K52" s="70">
        <v>937618438.86000001</v>
      </c>
      <c r="L52" s="52">
        <f t="shared" si="12"/>
        <v>5.8413238304024602E-4</v>
      </c>
      <c r="M52" s="53">
        <v>10</v>
      </c>
      <c r="N52" s="53">
        <v>10</v>
      </c>
      <c r="O52" s="54">
        <v>734</v>
      </c>
      <c r="P52" s="73">
        <v>0.17430000000000001</v>
      </c>
      <c r="Q52" s="153">
        <v>0.17430000000000001</v>
      </c>
      <c r="R52" s="79">
        <f t="shared" si="14"/>
        <v>-1.9882748687417788E-2</v>
      </c>
      <c r="S52" s="79">
        <f t="shared" si="15"/>
        <v>0</v>
      </c>
      <c r="T52" s="79">
        <f t="shared" si="16"/>
        <v>-2.717391304347826E-3</v>
      </c>
      <c r="U52" s="80">
        <f t="shared" si="17"/>
        <v>-6.6999999999999837E-3</v>
      </c>
      <c r="V52" s="81">
        <f t="shared" si="18"/>
        <v>-6.6999999999999837E-3</v>
      </c>
    </row>
    <row r="53" spans="1:22">
      <c r="A53" s="170">
        <v>45</v>
      </c>
      <c r="B53" s="168" t="s">
        <v>94</v>
      </c>
      <c r="C53" s="169" t="s">
        <v>95</v>
      </c>
      <c r="D53" s="70">
        <v>703973381.51999998</v>
      </c>
      <c r="E53" s="52">
        <f t="shared" si="13"/>
        <v>4.3857248524693104E-4</v>
      </c>
      <c r="F53" s="53">
        <v>1</v>
      </c>
      <c r="G53" s="53">
        <v>1</v>
      </c>
      <c r="H53" s="54">
        <v>61</v>
      </c>
      <c r="I53" s="73">
        <v>0.2099</v>
      </c>
      <c r="J53" s="73">
        <v>0.2099</v>
      </c>
      <c r="K53" s="70">
        <v>703879625.17999995</v>
      </c>
      <c r="L53" s="52">
        <f t="shared" si="12"/>
        <v>4.3851407543752508E-4</v>
      </c>
      <c r="M53" s="53">
        <v>1</v>
      </c>
      <c r="N53" s="53">
        <v>1</v>
      </c>
      <c r="O53" s="54">
        <v>61</v>
      </c>
      <c r="P53" s="73">
        <v>0.20660000000000001</v>
      </c>
      <c r="Q53" s="73">
        <v>0.20660000000000001</v>
      </c>
      <c r="R53" s="79">
        <f t="shared" si="14"/>
        <v>-1.3318165496200619E-4</v>
      </c>
      <c r="S53" s="79">
        <f t="shared" si="15"/>
        <v>0</v>
      </c>
      <c r="T53" s="79">
        <f t="shared" si="16"/>
        <v>0</v>
      </c>
      <c r="U53" s="80">
        <f t="shared" si="17"/>
        <v>-3.2999999999999974E-3</v>
      </c>
      <c r="V53" s="81">
        <f t="shared" si="18"/>
        <v>-3.2999999999999974E-3</v>
      </c>
    </row>
    <row r="54" spans="1:22">
      <c r="A54" s="170">
        <v>46</v>
      </c>
      <c r="B54" s="168" t="s">
        <v>96</v>
      </c>
      <c r="C54" s="169" t="s">
        <v>97</v>
      </c>
      <c r="D54" s="70">
        <v>5757944222.0093002</v>
      </c>
      <c r="E54" s="52">
        <f t="shared" si="13"/>
        <v>3.5871752734561065E-3</v>
      </c>
      <c r="F54" s="53">
        <v>100</v>
      </c>
      <c r="G54" s="53">
        <v>100</v>
      </c>
      <c r="H54" s="54">
        <v>75</v>
      </c>
      <c r="I54" s="73">
        <v>0.2329</v>
      </c>
      <c r="J54" s="73">
        <v>0.2329</v>
      </c>
      <c r="K54" s="70">
        <v>5682898077.0093002</v>
      </c>
      <c r="L54" s="52">
        <f t="shared" si="12"/>
        <v>3.5404218376233676E-3</v>
      </c>
      <c r="M54" s="53">
        <v>100</v>
      </c>
      <c r="N54" s="53">
        <v>100</v>
      </c>
      <c r="O54" s="54">
        <v>77</v>
      </c>
      <c r="P54" s="73">
        <v>0.2334</v>
      </c>
      <c r="Q54" s="73">
        <v>0.2334</v>
      </c>
      <c r="R54" s="79">
        <f t="shared" si="14"/>
        <v>-1.3033496349815593E-2</v>
      </c>
      <c r="S54" s="79">
        <f t="shared" si="15"/>
        <v>0</v>
      </c>
      <c r="T54" s="79">
        <f t="shared" si="16"/>
        <v>2.6666666666666668E-2</v>
      </c>
      <c r="U54" s="80">
        <f t="shared" si="17"/>
        <v>5.0000000000000044E-4</v>
      </c>
      <c r="V54" s="81">
        <f t="shared" si="18"/>
        <v>5.0000000000000044E-4</v>
      </c>
    </row>
    <row r="55" spans="1:22">
      <c r="A55" s="170">
        <v>47</v>
      </c>
      <c r="B55" s="168" t="s">
        <v>98</v>
      </c>
      <c r="C55" s="169" t="s">
        <v>99</v>
      </c>
      <c r="D55" s="70">
        <v>57601346.350000001</v>
      </c>
      <c r="E55" s="52">
        <f t="shared" si="13"/>
        <v>3.5885398916281375E-5</v>
      </c>
      <c r="F55" s="53">
        <v>1000</v>
      </c>
      <c r="G55" s="53">
        <v>1000</v>
      </c>
      <c r="H55" s="54">
        <v>21</v>
      </c>
      <c r="I55" s="73">
        <v>0.19400000000000001</v>
      </c>
      <c r="J55" s="73">
        <v>0.19400000000000001</v>
      </c>
      <c r="K55" s="70">
        <v>57693337.579999998</v>
      </c>
      <c r="L55" s="52">
        <f t="shared" si="12"/>
        <v>3.5942709069507492E-5</v>
      </c>
      <c r="M55" s="53">
        <v>1000</v>
      </c>
      <c r="N55" s="53">
        <v>1000</v>
      </c>
      <c r="O55" s="54">
        <v>21</v>
      </c>
      <c r="P55" s="73">
        <v>0.19400000000000001</v>
      </c>
      <c r="Q55" s="73">
        <v>0.19400000000000001</v>
      </c>
      <c r="R55" s="79">
        <f t="shared" si="14"/>
        <v>1.5970326360261668E-3</v>
      </c>
      <c r="S55" s="79">
        <f t="shared" si="15"/>
        <v>0</v>
      </c>
      <c r="T55" s="79">
        <f t="shared" si="16"/>
        <v>0</v>
      </c>
      <c r="U55" s="80">
        <f t="shared" si="17"/>
        <v>0</v>
      </c>
      <c r="V55" s="81">
        <f t="shared" si="18"/>
        <v>0</v>
      </c>
    </row>
    <row r="56" spans="1:22">
      <c r="A56" s="170">
        <v>48</v>
      </c>
      <c r="B56" s="168" t="s">
        <v>100</v>
      </c>
      <c r="C56" s="169" t="s">
        <v>49</v>
      </c>
      <c r="D56" s="67">
        <v>728451199703.51001</v>
      </c>
      <c r="E56" s="52">
        <f t="shared" si="13"/>
        <v>0.45382206404632425</v>
      </c>
      <c r="F56" s="53">
        <v>100</v>
      </c>
      <c r="G56" s="53">
        <v>100</v>
      </c>
      <c r="H56" s="54">
        <v>144216</v>
      </c>
      <c r="I56" s="73">
        <v>0.2064</v>
      </c>
      <c r="J56" s="73">
        <v>0.2064</v>
      </c>
      <c r="K56" s="67">
        <v>740104294548.38</v>
      </c>
      <c r="L56" s="52">
        <f t="shared" si="12"/>
        <v>0.46108189360962093</v>
      </c>
      <c r="M56" s="53">
        <v>100</v>
      </c>
      <c r="N56" s="53">
        <v>100</v>
      </c>
      <c r="O56" s="54">
        <v>145191</v>
      </c>
      <c r="P56" s="73">
        <v>0.20710000000000001</v>
      </c>
      <c r="Q56" s="73">
        <v>0.20710000000000001</v>
      </c>
      <c r="R56" s="79">
        <f t="shared" si="14"/>
        <v>1.5997083743719512E-2</v>
      </c>
      <c r="S56" s="79">
        <f t="shared" si="15"/>
        <v>0</v>
      </c>
      <c r="T56" s="79">
        <f t="shared" si="16"/>
        <v>6.7606922948909966E-3</v>
      </c>
      <c r="U56" s="80">
        <f t="shared" si="17"/>
        <v>7.0000000000000617E-4</v>
      </c>
      <c r="V56" s="81">
        <f t="shared" si="18"/>
        <v>7.0000000000000617E-4</v>
      </c>
    </row>
    <row r="57" spans="1:22">
      <c r="A57" s="170">
        <v>49</v>
      </c>
      <c r="B57" s="168" t="s">
        <v>101</v>
      </c>
      <c r="C57" s="168" t="s">
        <v>102</v>
      </c>
      <c r="D57" s="67">
        <v>1563098194.28</v>
      </c>
      <c r="E57" s="52">
        <f t="shared" si="13"/>
        <v>9.7380366608491409E-4</v>
      </c>
      <c r="F57" s="53">
        <v>100</v>
      </c>
      <c r="G57" s="53">
        <v>100</v>
      </c>
      <c r="H57" s="54">
        <v>300</v>
      </c>
      <c r="I57" s="73">
        <v>0.22059999999999999</v>
      </c>
      <c r="J57" s="73">
        <v>0.22059999999999999</v>
      </c>
      <c r="K57" s="67">
        <v>1552959532.95</v>
      </c>
      <c r="L57" s="52">
        <f t="shared" si="12"/>
        <v>9.6748732229507621E-4</v>
      </c>
      <c r="M57" s="53">
        <v>100</v>
      </c>
      <c r="N57" s="53">
        <v>100</v>
      </c>
      <c r="O57" s="54">
        <v>312</v>
      </c>
      <c r="P57" s="73">
        <v>0.219</v>
      </c>
      <c r="Q57" s="73">
        <v>0.219</v>
      </c>
      <c r="R57" s="79">
        <f t="shared" si="14"/>
        <v>-6.4862600232674641E-3</v>
      </c>
      <c r="S57" s="79">
        <f t="shared" si="15"/>
        <v>0</v>
      </c>
      <c r="T57" s="79">
        <f t="shared" si="16"/>
        <v>0.04</v>
      </c>
      <c r="U57" s="80">
        <f t="shared" si="17"/>
        <v>-1.5999999999999903E-3</v>
      </c>
      <c r="V57" s="81">
        <f t="shared" si="18"/>
        <v>-1.5999999999999903E-3</v>
      </c>
    </row>
    <row r="58" spans="1:22">
      <c r="A58" s="170">
        <v>50</v>
      </c>
      <c r="B58" s="168" t="s">
        <v>103</v>
      </c>
      <c r="C58" s="169" t="s">
        <v>104</v>
      </c>
      <c r="D58" s="67">
        <v>3485175497.9699998</v>
      </c>
      <c r="E58" s="52">
        <f t="shared" si="13"/>
        <v>2.1712498224948701E-3</v>
      </c>
      <c r="F58" s="53">
        <v>1</v>
      </c>
      <c r="G58" s="53">
        <v>1</v>
      </c>
      <c r="H58" s="54">
        <v>388</v>
      </c>
      <c r="I58" s="73">
        <v>0.20599648549999999</v>
      </c>
      <c r="J58" s="73">
        <v>0.20599648549999999</v>
      </c>
      <c r="K58" s="67">
        <v>3383458400.1300001</v>
      </c>
      <c r="L58" s="52">
        <f t="shared" si="12"/>
        <v>2.1078804941042531E-3</v>
      </c>
      <c r="M58" s="53">
        <v>1</v>
      </c>
      <c r="N58" s="53">
        <v>1</v>
      </c>
      <c r="O58" s="54">
        <v>393</v>
      </c>
      <c r="P58" s="73">
        <v>0.21629399999999999</v>
      </c>
      <c r="Q58" s="73">
        <v>0.21629399999999999</v>
      </c>
      <c r="R58" s="79">
        <f t="shared" si="14"/>
        <v>-2.918564585893782E-2</v>
      </c>
      <c r="S58" s="79">
        <f t="shared" si="15"/>
        <v>0</v>
      </c>
      <c r="T58" s="79">
        <f t="shared" si="16"/>
        <v>1.2886597938144329E-2</v>
      </c>
      <c r="U58" s="80">
        <f t="shared" si="17"/>
        <v>1.0297514499999993E-2</v>
      </c>
      <c r="V58" s="81">
        <f t="shared" si="18"/>
        <v>1.0297514499999993E-2</v>
      </c>
    </row>
    <row r="59" spans="1:22">
      <c r="A59" s="170">
        <v>51</v>
      </c>
      <c r="B59" s="168" t="s">
        <v>105</v>
      </c>
      <c r="C59" s="169" t="s">
        <v>52</v>
      </c>
      <c r="D59" s="67">
        <v>64559193713.040001</v>
      </c>
      <c r="E59" s="52">
        <f t="shared" si="13"/>
        <v>4.0220108850041229E-2</v>
      </c>
      <c r="F59" s="53">
        <v>1</v>
      </c>
      <c r="G59" s="53">
        <v>1</v>
      </c>
      <c r="H59" s="54">
        <v>37851</v>
      </c>
      <c r="I59" s="73">
        <v>0.21990000000000001</v>
      </c>
      <c r="J59" s="73">
        <v>0.21990000000000001</v>
      </c>
      <c r="K59" s="67">
        <v>68841724758.880005</v>
      </c>
      <c r="L59" s="52">
        <f t="shared" si="12"/>
        <v>4.2888107858563153E-2</v>
      </c>
      <c r="M59" s="53">
        <v>1</v>
      </c>
      <c r="N59" s="53">
        <v>1</v>
      </c>
      <c r="O59" s="54">
        <v>39524</v>
      </c>
      <c r="P59" s="73">
        <v>0.21029999999999999</v>
      </c>
      <c r="Q59" s="73">
        <v>0.21029999999999999</v>
      </c>
      <c r="R59" s="79">
        <f t="shared" si="14"/>
        <v>6.6334952460457952E-2</v>
      </c>
      <c r="S59" s="79">
        <f t="shared" si="15"/>
        <v>0</v>
      </c>
      <c r="T59" s="79">
        <f t="shared" si="16"/>
        <v>4.4199624844786137E-2</v>
      </c>
      <c r="U59" s="80">
        <f t="shared" si="17"/>
        <v>-9.6000000000000252E-3</v>
      </c>
      <c r="V59" s="81">
        <f t="shared" si="18"/>
        <v>-9.6000000000000252E-3</v>
      </c>
    </row>
    <row r="60" spans="1:22">
      <c r="A60" s="170">
        <v>52</v>
      </c>
      <c r="B60" s="168" t="s">
        <v>106</v>
      </c>
      <c r="C60" s="169" t="s">
        <v>107</v>
      </c>
      <c r="D60" s="67">
        <v>1193179992.22</v>
      </c>
      <c r="E60" s="52">
        <f t="shared" si="13"/>
        <v>7.4334616659077805E-4</v>
      </c>
      <c r="F60" s="53">
        <v>1</v>
      </c>
      <c r="G60" s="53">
        <v>1</v>
      </c>
      <c r="H60" s="54">
        <v>131</v>
      </c>
      <c r="I60" s="73">
        <v>0.22209999999999999</v>
      </c>
      <c r="J60" s="73">
        <v>0.22209999999999999</v>
      </c>
      <c r="K60" s="67">
        <v>1207301595.6600001</v>
      </c>
      <c r="L60" s="52">
        <f t="shared" si="12"/>
        <v>7.521438667296384E-4</v>
      </c>
      <c r="M60" s="53">
        <v>1</v>
      </c>
      <c r="N60" s="53">
        <v>1</v>
      </c>
      <c r="O60" s="54">
        <v>133</v>
      </c>
      <c r="P60" s="73">
        <v>0.22570000000000001</v>
      </c>
      <c r="Q60" s="73">
        <v>0.22570000000000001</v>
      </c>
      <c r="R60" s="79">
        <f t="shared" si="14"/>
        <v>1.1835266709195958E-2</v>
      </c>
      <c r="S60" s="79">
        <f t="shared" si="15"/>
        <v>0</v>
      </c>
      <c r="T60" s="79">
        <f t="shared" si="16"/>
        <v>1.5267175572519083E-2</v>
      </c>
      <c r="U60" s="80">
        <f t="shared" si="17"/>
        <v>3.6000000000000199E-3</v>
      </c>
      <c r="V60" s="81">
        <f t="shared" si="18"/>
        <v>3.6000000000000199E-3</v>
      </c>
    </row>
    <row r="61" spans="1:22">
      <c r="A61" s="170">
        <v>53</v>
      </c>
      <c r="B61" s="168" t="s">
        <v>108</v>
      </c>
      <c r="C61" s="169" t="s">
        <v>109</v>
      </c>
      <c r="D61" s="67">
        <v>2959464901.1700001</v>
      </c>
      <c r="E61" s="52">
        <f t="shared" si="13"/>
        <v>1.8437343098182406E-3</v>
      </c>
      <c r="F61" s="53">
        <v>1</v>
      </c>
      <c r="G61" s="53">
        <v>1</v>
      </c>
      <c r="H61" s="54">
        <v>325</v>
      </c>
      <c r="I61" s="73">
        <v>0.2044</v>
      </c>
      <c r="J61" s="73">
        <v>0.2044</v>
      </c>
      <c r="K61" s="67">
        <v>3117196867.7199998</v>
      </c>
      <c r="L61" s="52">
        <f t="shared" si="12"/>
        <v>1.9420006681617255E-3</v>
      </c>
      <c r="M61" s="53">
        <v>1</v>
      </c>
      <c r="N61" s="53">
        <v>1</v>
      </c>
      <c r="O61" s="54">
        <v>333</v>
      </c>
      <c r="P61" s="73">
        <v>0.16439999999999999</v>
      </c>
      <c r="Q61" s="73">
        <v>0.16439999999999999</v>
      </c>
      <c r="R61" s="79">
        <f t="shared" si="14"/>
        <v>5.3297461472728291E-2</v>
      </c>
      <c r="S61" s="79">
        <f t="shared" si="15"/>
        <v>0</v>
      </c>
      <c r="T61" s="79">
        <f t="shared" si="16"/>
        <v>2.4615384615384615E-2</v>
      </c>
      <c r="U61" s="80">
        <f t="shared" si="17"/>
        <v>-4.0000000000000008E-2</v>
      </c>
      <c r="V61" s="81">
        <f t="shared" si="18"/>
        <v>-4.0000000000000008E-2</v>
      </c>
    </row>
    <row r="62" spans="1:22">
      <c r="A62" s="170">
        <v>54</v>
      </c>
      <c r="B62" s="168" t="s">
        <v>110</v>
      </c>
      <c r="C62" s="169" t="s">
        <v>111</v>
      </c>
      <c r="D62" s="67">
        <v>2640510697.1300001</v>
      </c>
      <c r="E62" s="52">
        <f t="shared" si="13"/>
        <v>1.6450271688696089E-3</v>
      </c>
      <c r="F62" s="53">
        <v>1</v>
      </c>
      <c r="G62" s="53">
        <v>1</v>
      </c>
      <c r="H62" s="54">
        <v>1667</v>
      </c>
      <c r="I62" s="73">
        <v>0.2339</v>
      </c>
      <c r="J62" s="73">
        <v>0.2339</v>
      </c>
      <c r="K62" s="67">
        <v>2759580712.1300001</v>
      </c>
      <c r="L62" s="52">
        <f t="shared" si="12"/>
        <v>1.7192072923910204E-3</v>
      </c>
      <c r="M62" s="53">
        <v>1</v>
      </c>
      <c r="N62" s="53">
        <v>1</v>
      </c>
      <c r="O62" s="54">
        <v>1710</v>
      </c>
      <c r="P62" s="73">
        <v>0.23039999999999999</v>
      </c>
      <c r="Q62" s="73">
        <v>0.23039999999999999</v>
      </c>
      <c r="R62" s="79">
        <f t="shared" si="14"/>
        <v>4.5093555246497767E-2</v>
      </c>
      <c r="S62" s="79">
        <f t="shared" si="15"/>
        <v>0</v>
      </c>
      <c r="T62" s="79">
        <f t="shared" si="16"/>
        <v>2.579484103179364E-2</v>
      </c>
      <c r="U62" s="80">
        <f t="shared" si="17"/>
        <v>-3.5000000000000031E-3</v>
      </c>
      <c r="V62" s="81">
        <f t="shared" si="18"/>
        <v>-3.5000000000000031E-3</v>
      </c>
    </row>
    <row r="63" spans="1:22">
      <c r="A63" s="170">
        <v>55</v>
      </c>
      <c r="B63" s="168" t="s">
        <v>112</v>
      </c>
      <c r="C63" s="169" t="s">
        <v>113</v>
      </c>
      <c r="D63" s="67">
        <v>47854771902.5</v>
      </c>
      <c r="E63" s="52">
        <f t="shared" si="13"/>
        <v>2.9813323621538334E-2</v>
      </c>
      <c r="F63" s="53">
        <v>1</v>
      </c>
      <c r="G63" s="53">
        <v>1</v>
      </c>
      <c r="H63" s="54">
        <v>4181</v>
      </c>
      <c r="I63" s="73">
        <v>0.22059999999999999</v>
      </c>
      <c r="J63" s="73">
        <v>0.22059999999999999</v>
      </c>
      <c r="K63" s="67">
        <v>48414983600.129997</v>
      </c>
      <c r="L63" s="52">
        <f t="shared" si="12"/>
        <v>3.0162333176364818E-2</v>
      </c>
      <c r="M63" s="53">
        <v>1</v>
      </c>
      <c r="N63" s="53">
        <v>1</v>
      </c>
      <c r="O63" s="54">
        <v>4192</v>
      </c>
      <c r="P63" s="73">
        <v>0.22189999999999999</v>
      </c>
      <c r="Q63" s="73">
        <v>0.22189999999999999</v>
      </c>
      <c r="R63" s="79">
        <f t="shared" si="14"/>
        <v>1.1706496037038492E-2</v>
      </c>
      <c r="S63" s="79">
        <f t="shared" si="15"/>
        <v>0</v>
      </c>
      <c r="T63" s="79">
        <f t="shared" si="16"/>
        <v>2.6309495336044007E-3</v>
      </c>
      <c r="U63" s="80">
        <f t="shared" si="17"/>
        <v>1.2999999999999956E-3</v>
      </c>
      <c r="V63" s="81">
        <f t="shared" si="18"/>
        <v>1.2999999999999956E-3</v>
      </c>
    </row>
    <row r="64" spans="1:22">
      <c r="A64" s="58"/>
      <c r="B64" s="59"/>
      <c r="C64" s="60" t="s">
        <v>53</v>
      </c>
      <c r="D64" s="71">
        <f>SUM(D27:D63)</f>
        <v>1581147259519.7791</v>
      </c>
      <c r="E64" s="62">
        <f>(D64/$D$207)</f>
        <v>0.41064681659328534</v>
      </c>
      <c r="F64" s="63"/>
      <c r="G64" s="68"/>
      <c r="H64" s="65">
        <f>SUM(H27:H63)</f>
        <v>345479</v>
      </c>
      <c r="I64" s="78"/>
      <c r="J64" s="78"/>
      <c r="K64" s="71">
        <f>SUM(K27:K63)</f>
        <v>1605147165407.8784</v>
      </c>
      <c r="L64" s="62">
        <f>(K64/$K$207)</f>
        <v>0.42599841909999991</v>
      </c>
      <c r="M64" s="63"/>
      <c r="N64" s="68"/>
      <c r="O64" s="65">
        <f>SUM(O27:O63)</f>
        <v>348145</v>
      </c>
      <c r="P64" s="78"/>
      <c r="Q64" s="78"/>
      <c r="R64" s="79">
        <f t="shared" si="14"/>
        <v>1.5178792325383115E-2</v>
      </c>
      <c r="S64" s="79" t="e">
        <f t="shared" si="15"/>
        <v>#DIV/0!</v>
      </c>
      <c r="T64" s="79">
        <f t="shared" si="16"/>
        <v>7.7168221512740279E-3</v>
      </c>
      <c r="U64" s="80">
        <f t="shared" si="17"/>
        <v>0</v>
      </c>
      <c r="V64" s="81">
        <f t="shared" si="18"/>
        <v>0</v>
      </c>
    </row>
    <row r="65" spans="1:22" ht="3" customHeight="1">
      <c r="A65" s="58"/>
      <c r="B65" s="178"/>
      <c r="C65" s="178"/>
      <c r="D65" s="178"/>
      <c r="E65" s="178"/>
      <c r="F65" s="178"/>
      <c r="G65" s="178"/>
      <c r="H65" s="178"/>
      <c r="I65" s="178"/>
      <c r="J65" s="178"/>
      <c r="K65" s="178"/>
      <c r="L65" s="178"/>
      <c r="M65" s="178"/>
      <c r="N65" s="178"/>
      <c r="O65" s="178"/>
      <c r="P65" s="178"/>
      <c r="Q65" s="178"/>
      <c r="R65" s="178"/>
      <c r="S65" s="178"/>
      <c r="T65" s="178"/>
      <c r="U65" s="178"/>
      <c r="V65" s="178"/>
    </row>
    <row r="66" spans="1:22" ht="15" customHeight="1">
      <c r="A66" s="177" t="s">
        <v>114</v>
      </c>
      <c r="B66" s="177"/>
      <c r="C66" s="177"/>
      <c r="D66" s="177"/>
      <c r="E66" s="177"/>
      <c r="F66" s="177"/>
      <c r="G66" s="177"/>
      <c r="H66" s="177"/>
      <c r="I66" s="177"/>
      <c r="J66" s="177"/>
      <c r="K66" s="177"/>
      <c r="L66" s="177"/>
      <c r="M66" s="177"/>
      <c r="N66" s="177"/>
      <c r="O66" s="177"/>
      <c r="P66" s="177"/>
      <c r="Q66" s="177"/>
      <c r="R66" s="177"/>
      <c r="S66" s="177"/>
      <c r="T66" s="177"/>
      <c r="U66" s="177"/>
      <c r="V66" s="177"/>
    </row>
    <row r="67" spans="1:22">
      <c r="A67" s="170">
        <v>56</v>
      </c>
      <c r="B67" s="168" t="s">
        <v>115</v>
      </c>
      <c r="C67" s="169" t="s">
        <v>21</v>
      </c>
      <c r="D67" s="51">
        <v>495974878.04000002</v>
      </c>
      <c r="E67" s="52">
        <f>(D67/$D$103)</f>
        <v>2.3415244103537512E-3</v>
      </c>
      <c r="F67" s="83">
        <v>1.294</v>
      </c>
      <c r="G67" s="83">
        <v>1.294</v>
      </c>
      <c r="H67" s="54">
        <v>466</v>
      </c>
      <c r="I67" s="73">
        <v>4.64E-4</v>
      </c>
      <c r="J67" s="73">
        <v>1.09E-2</v>
      </c>
      <c r="K67" s="51">
        <v>495420935.30000001</v>
      </c>
      <c r="L67" s="52">
        <f t="shared" ref="L67:L88" si="28">(K67/$K$103)</f>
        <v>2.4710579871019028E-3</v>
      </c>
      <c r="M67" s="83">
        <v>1.2923</v>
      </c>
      <c r="N67" s="83">
        <v>1.2923</v>
      </c>
      <c r="O67" s="54">
        <v>466</v>
      </c>
      <c r="P67" s="73">
        <v>-1.622E-3</v>
      </c>
      <c r="Q67" s="73">
        <v>9.4999999999999998E-3</v>
      </c>
      <c r="R67" s="79">
        <f>((K67-D67)/D67)</f>
        <v>-1.1168766091320748E-3</v>
      </c>
      <c r="S67" s="79">
        <f>((N67-G67)/G67)</f>
        <v>-1.3137557959814797E-3</v>
      </c>
      <c r="T67" s="79">
        <f>((O67-H67)/H67)</f>
        <v>0</v>
      </c>
      <c r="U67" s="80">
        <f>P67-I67</f>
        <v>-2.0860000000000002E-3</v>
      </c>
      <c r="V67" s="81">
        <f>Q67-J67</f>
        <v>-1.4000000000000002E-3</v>
      </c>
    </row>
    <row r="68" spans="1:22">
      <c r="A68" s="170">
        <v>57</v>
      </c>
      <c r="B68" s="168" t="s">
        <v>116</v>
      </c>
      <c r="C68" s="169" t="s">
        <v>23</v>
      </c>
      <c r="D68" s="51">
        <v>1400124116.0599999</v>
      </c>
      <c r="E68" s="52">
        <f>(D68/$D$103)</f>
        <v>6.6100622036244661E-3</v>
      </c>
      <c r="F68" s="83">
        <v>1.2171000000000001</v>
      </c>
      <c r="G68" s="83">
        <v>1.2171000000000001</v>
      </c>
      <c r="H68" s="54">
        <v>795</v>
      </c>
      <c r="I68" s="73">
        <v>0.13350000000000001</v>
      </c>
      <c r="J68" s="73">
        <v>5.3699999999999998E-2</v>
      </c>
      <c r="K68" s="51">
        <v>1402557530.72</v>
      </c>
      <c r="L68" s="52">
        <f t="shared" si="28"/>
        <v>6.9956692212792297E-3</v>
      </c>
      <c r="M68" s="83">
        <v>1.2203999999999999</v>
      </c>
      <c r="N68" s="83">
        <v>1.2203999999999999</v>
      </c>
      <c r="O68" s="54">
        <v>801</v>
      </c>
      <c r="P68" s="73">
        <v>0.14180000000000001</v>
      </c>
      <c r="Q68" s="73">
        <v>5.57E-2</v>
      </c>
      <c r="R68" s="79">
        <f t="shared" ref="R68:R103" si="29">((K68-D68)/D68)</f>
        <v>1.7379992474151527E-3</v>
      </c>
      <c r="S68" s="79">
        <f t="shared" ref="S68:S103" si="30">((N68-G68)/G68)</f>
        <v>2.7113630761645374E-3</v>
      </c>
      <c r="T68" s="79">
        <f t="shared" ref="T68:T103" si="31">((O68-H68)/H68)</f>
        <v>7.5471698113207548E-3</v>
      </c>
      <c r="U68" s="80">
        <f t="shared" ref="U68:U103" si="32">P68-I68</f>
        <v>8.3000000000000018E-3</v>
      </c>
      <c r="V68" s="81">
        <f t="shared" ref="V68:V103" si="33">Q68-J68</f>
        <v>2.0000000000000018E-3</v>
      </c>
    </row>
    <row r="69" spans="1:22">
      <c r="A69" s="170">
        <v>58</v>
      </c>
      <c r="B69" s="168" t="s">
        <v>117</v>
      </c>
      <c r="C69" s="169" t="s">
        <v>23</v>
      </c>
      <c r="D69" s="51">
        <v>841166677.63999999</v>
      </c>
      <c r="E69" s="52">
        <f>(D69/$D$103)</f>
        <v>3.9711936956439492E-3</v>
      </c>
      <c r="F69" s="83">
        <v>1.1063000000000001</v>
      </c>
      <c r="G69" s="83">
        <v>1.1063000000000001</v>
      </c>
      <c r="H69" s="54">
        <v>199</v>
      </c>
      <c r="I69" s="73">
        <v>0.11840000000000001</v>
      </c>
      <c r="J69" s="73">
        <v>3.6999999999999998E-2</v>
      </c>
      <c r="K69" s="51">
        <v>843706118.75999999</v>
      </c>
      <c r="L69" s="52">
        <f t="shared" si="28"/>
        <v>4.2082330296885307E-3</v>
      </c>
      <c r="M69" s="83">
        <v>1.1087</v>
      </c>
      <c r="N69" s="83">
        <v>1.1087</v>
      </c>
      <c r="O69" s="54">
        <v>200</v>
      </c>
      <c r="P69" s="73">
        <v>0.1134</v>
      </c>
      <c r="Q69" s="73">
        <v>3.8600000000000002E-2</v>
      </c>
      <c r="R69" s="79">
        <f t="shared" si="29"/>
        <v>3.0189511633113304E-3</v>
      </c>
      <c r="S69" s="79">
        <f t="shared" si="30"/>
        <v>2.1693934737412614E-3</v>
      </c>
      <c r="T69" s="79">
        <f t="shared" si="31"/>
        <v>5.0251256281407036E-3</v>
      </c>
      <c r="U69" s="80">
        <f t="shared" si="32"/>
        <v>-5.0000000000000044E-3</v>
      </c>
      <c r="V69" s="81">
        <f t="shared" si="33"/>
        <v>1.6000000000000042E-3</v>
      </c>
    </row>
    <row r="70" spans="1:22">
      <c r="A70" s="170">
        <v>59</v>
      </c>
      <c r="B70" s="168" t="s">
        <v>118</v>
      </c>
      <c r="C70" s="169" t="s">
        <v>119</v>
      </c>
      <c r="D70" s="51">
        <v>276081029.41000003</v>
      </c>
      <c r="E70" s="52">
        <f>(D70/$D$103)</f>
        <v>1.3033935754039768E-3</v>
      </c>
      <c r="F70" s="57">
        <v>1099.57</v>
      </c>
      <c r="G70" s="57">
        <v>1099.57</v>
      </c>
      <c r="H70" s="54">
        <v>110</v>
      </c>
      <c r="I70" s="73">
        <v>2.434E-3</v>
      </c>
      <c r="J70" s="73">
        <v>6.2880000000000005E-2</v>
      </c>
      <c r="K70" s="51">
        <v>276928293.13</v>
      </c>
      <c r="L70" s="52">
        <f t="shared" si="28"/>
        <v>1.3812615128567488E-3</v>
      </c>
      <c r="M70" s="57">
        <v>1102.82</v>
      </c>
      <c r="N70" s="57">
        <v>1102.82</v>
      </c>
      <c r="O70" s="54">
        <v>110</v>
      </c>
      <c r="P70" s="73">
        <v>2.163E-3</v>
      </c>
      <c r="Q70" s="73">
        <v>6.4940999999999999E-2</v>
      </c>
      <c r="R70" s="79">
        <f t="shared" si="29"/>
        <v>3.0688951059426903E-3</v>
      </c>
      <c r="S70" s="79">
        <f t="shared" si="30"/>
        <v>2.9557008648835458E-3</v>
      </c>
      <c r="T70" s="79">
        <f t="shared" si="31"/>
        <v>0</v>
      </c>
      <c r="U70" s="80">
        <f t="shared" si="32"/>
        <v>-2.7099999999999997E-4</v>
      </c>
      <c r="V70" s="81">
        <f t="shared" si="33"/>
        <v>2.0609999999999934E-3</v>
      </c>
    </row>
    <row r="71" spans="1:22" ht="15" customHeight="1">
      <c r="A71" s="170">
        <v>60</v>
      </c>
      <c r="B71" s="168" t="s">
        <v>120</v>
      </c>
      <c r="C71" s="169" t="s">
        <v>27</v>
      </c>
      <c r="D71" s="51">
        <v>1487469656.48</v>
      </c>
      <c r="E71" s="52">
        <f>(D71/$K$103)</f>
        <v>7.4191934844070927E-3</v>
      </c>
      <c r="F71" s="57">
        <v>1.0899000000000001</v>
      </c>
      <c r="G71" s="57">
        <v>1.0899000000000001</v>
      </c>
      <c r="H71" s="54">
        <v>896</v>
      </c>
      <c r="I71" s="73">
        <v>2.8999999999999998E-3</v>
      </c>
      <c r="J71" s="73">
        <v>0.1118</v>
      </c>
      <c r="K71" s="51">
        <v>1487178514.5999999</v>
      </c>
      <c r="L71" s="52">
        <f t="shared" si="28"/>
        <v>7.4177413284389187E-3</v>
      </c>
      <c r="M71" s="57">
        <v>1.0933999999999999</v>
      </c>
      <c r="N71" s="57">
        <v>1.0933999999999999</v>
      </c>
      <c r="O71" s="54">
        <v>898</v>
      </c>
      <c r="P71" s="73">
        <v>3.2000000000000002E-3</v>
      </c>
      <c r="Q71" s="73">
        <v>0.11509999999999999</v>
      </c>
      <c r="R71" s="79">
        <f t="shared" si="29"/>
        <v>-1.9572962630315613E-4</v>
      </c>
      <c r="S71" s="79">
        <f t="shared" si="30"/>
        <v>3.2113037893383213E-3</v>
      </c>
      <c r="T71" s="79">
        <f t="shared" si="31"/>
        <v>2.232142857142857E-3</v>
      </c>
      <c r="U71" s="80">
        <f t="shared" si="32"/>
        <v>3.0000000000000035E-4</v>
      </c>
      <c r="V71" s="81">
        <f t="shared" si="33"/>
        <v>3.2999999999999974E-3</v>
      </c>
    </row>
    <row r="72" spans="1:22">
      <c r="A72" s="170">
        <v>61</v>
      </c>
      <c r="B72" s="168" t="s">
        <v>121</v>
      </c>
      <c r="C72" s="169" t="s">
        <v>122</v>
      </c>
      <c r="D72" s="51">
        <v>422875416.20678401</v>
      </c>
      <c r="E72" s="52">
        <f t="shared" ref="E72:E88" si="34">(D72/$D$103)</f>
        <v>1.9964178699930649E-3</v>
      </c>
      <c r="F72" s="57">
        <v>2.4340000000000002</v>
      </c>
      <c r="G72" s="57">
        <v>2.4276</v>
      </c>
      <c r="H72" s="54">
        <v>1390</v>
      </c>
      <c r="I72" s="73">
        <v>0.137843372643179</v>
      </c>
      <c r="J72" s="73">
        <v>0.12583843978932299</v>
      </c>
      <c r="K72" s="51">
        <v>423977186.35302299</v>
      </c>
      <c r="L72" s="52">
        <f t="shared" si="28"/>
        <v>2.1147112244100383E-3</v>
      </c>
      <c r="M72" s="57">
        <v>2.4403000000000001</v>
      </c>
      <c r="N72" s="57">
        <v>2.4403000000000001</v>
      </c>
      <c r="O72" s="54">
        <v>1390</v>
      </c>
      <c r="P72" s="73">
        <v>0.13533278553820799</v>
      </c>
      <c r="Q72" s="73">
        <v>0.126277854223452</v>
      </c>
      <c r="R72" s="79">
        <f t="shared" si="29"/>
        <v>2.6054249171586332E-3</v>
      </c>
      <c r="S72" s="79">
        <f t="shared" si="30"/>
        <v>5.2315043664525277E-3</v>
      </c>
      <c r="T72" s="79">
        <f t="shared" si="31"/>
        <v>0</v>
      </c>
      <c r="U72" s="80">
        <f t="shared" si="32"/>
        <v>-2.5105871049710127E-3</v>
      </c>
      <c r="V72" s="81">
        <f t="shared" si="33"/>
        <v>4.394144341290096E-4</v>
      </c>
    </row>
    <row r="73" spans="1:22">
      <c r="A73" s="170">
        <v>62</v>
      </c>
      <c r="B73" s="168" t="s">
        <v>123</v>
      </c>
      <c r="C73" s="169" t="s">
        <v>63</v>
      </c>
      <c r="D73" s="51">
        <v>140259525</v>
      </c>
      <c r="E73" s="52">
        <f t="shared" si="34"/>
        <v>6.62172856153483E-4</v>
      </c>
      <c r="F73" s="57">
        <v>11.23</v>
      </c>
      <c r="G73" s="57">
        <v>11.25</v>
      </c>
      <c r="H73" s="54">
        <v>29</v>
      </c>
      <c r="I73" s="73">
        <v>0.16800000000000001</v>
      </c>
      <c r="J73" s="73">
        <v>7.6999999999999999E-2</v>
      </c>
      <c r="K73" s="51">
        <v>140617735.18000001</v>
      </c>
      <c r="L73" s="52">
        <f t="shared" si="28"/>
        <v>7.0137241462011994E-4</v>
      </c>
      <c r="M73" s="57">
        <v>11.23</v>
      </c>
      <c r="N73" s="57">
        <v>11.25</v>
      </c>
      <c r="O73" s="54">
        <v>29</v>
      </c>
      <c r="P73" s="73">
        <v>0.17</v>
      </c>
      <c r="Q73" s="73">
        <v>7.9000000000000001E-2</v>
      </c>
      <c r="R73" s="79">
        <f t="shared" si="29"/>
        <v>2.5539098325051877E-3</v>
      </c>
      <c r="S73" s="79">
        <f t="shared" si="30"/>
        <v>0</v>
      </c>
      <c r="T73" s="79">
        <f t="shared" si="31"/>
        <v>0</v>
      </c>
      <c r="U73" s="80">
        <f t="shared" si="32"/>
        <v>2.0000000000000018E-3</v>
      </c>
      <c r="V73" s="81">
        <f t="shared" si="33"/>
        <v>2.0000000000000018E-3</v>
      </c>
    </row>
    <row r="74" spans="1:22">
      <c r="A74" s="170">
        <v>63</v>
      </c>
      <c r="B74" s="168" t="s">
        <v>124</v>
      </c>
      <c r="C74" s="169" t="s">
        <v>65</v>
      </c>
      <c r="D74" s="51">
        <v>2058028260.5855601</v>
      </c>
      <c r="E74" s="52">
        <f t="shared" si="34"/>
        <v>9.7160634998337894E-3</v>
      </c>
      <c r="F74" s="51">
        <v>4350.0653789056296</v>
      </c>
      <c r="G74" s="51">
        <v>4350.0653789056296</v>
      </c>
      <c r="H74" s="54">
        <v>1034</v>
      </c>
      <c r="I74" s="73">
        <v>9.0169624703192494E-2</v>
      </c>
      <c r="J74" s="73">
        <v>9.6293376329139799E-2</v>
      </c>
      <c r="K74" s="51">
        <v>2061119217.9929399</v>
      </c>
      <c r="L74" s="52">
        <f t="shared" si="28"/>
        <v>1.028043981005072E-2</v>
      </c>
      <c r="M74" s="51">
        <v>4357.5045559751397</v>
      </c>
      <c r="N74" s="51">
        <v>4357.5045559751397</v>
      </c>
      <c r="O74" s="54">
        <v>1036</v>
      </c>
      <c r="P74" s="73">
        <v>8.941536572379026E-2</v>
      </c>
      <c r="Q74" s="73">
        <v>9.631347927349744E-2</v>
      </c>
      <c r="R74" s="79">
        <f t="shared" si="29"/>
        <v>1.5019023142570508E-3</v>
      </c>
      <c r="S74" s="79">
        <f t="shared" si="30"/>
        <v>1.710129945536972E-3</v>
      </c>
      <c r="T74" s="79">
        <f t="shared" si="31"/>
        <v>1.9342359767891683E-3</v>
      </c>
      <c r="U74" s="80">
        <f t="shared" si="32"/>
        <v>-7.5425897940223363E-4</v>
      </c>
      <c r="V74" s="81">
        <f t="shared" si="33"/>
        <v>2.0102944357641706E-5</v>
      </c>
    </row>
    <row r="75" spans="1:22">
      <c r="A75" s="170">
        <v>64</v>
      </c>
      <c r="B75" s="168" t="s">
        <v>125</v>
      </c>
      <c r="C75" s="169" t="s">
        <v>67</v>
      </c>
      <c r="D75" s="51">
        <v>354399516.61000001</v>
      </c>
      <c r="E75" s="52">
        <f t="shared" si="34"/>
        <v>1.6731394187528971E-3</v>
      </c>
      <c r="F75" s="83">
        <v>108.7</v>
      </c>
      <c r="G75" s="83">
        <v>108.7</v>
      </c>
      <c r="H75" s="54">
        <v>136</v>
      </c>
      <c r="I75" s="73">
        <v>2.3999999999999998E-3</v>
      </c>
      <c r="J75" s="73">
        <v>0.128</v>
      </c>
      <c r="K75" s="51">
        <v>354087299.22000003</v>
      </c>
      <c r="L75" s="52">
        <f t="shared" si="28"/>
        <v>1.7661148056633657E-3</v>
      </c>
      <c r="M75" s="83">
        <v>108.96</v>
      </c>
      <c r="N75" s="83">
        <v>108.96</v>
      </c>
      <c r="O75" s="54">
        <v>136</v>
      </c>
      <c r="P75" s="73">
        <v>2.3999999999999998E-3</v>
      </c>
      <c r="Q75" s="73">
        <v>0.12839999999999999</v>
      </c>
      <c r="R75" s="79">
        <f t="shared" si="29"/>
        <v>-8.8097577837152141E-4</v>
      </c>
      <c r="S75" s="79">
        <f t="shared" si="30"/>
        <v>2.3919043238269633E-3</v>
      </c>
      <c r="T75" s="79">
        <f t="shared" si="31"/>
        <v>0</v>
      </c>
      <c r="U75" s="80">
        <f t="shared" si="32"/>
        <v>0</v>
      </c>
      <c r="V75" s="81">
        <f t="shared" si="33"/>
        <v>3.999999999999837E-4</v>
      </c>
    </row>
    <row r="76" spans="1:22" ht="13.5" customHeight="1">
      <c r="A76" s="170">
        <v>65</v>
      </c>
      <c r="B76" s="168" t="s">
        <v>126</v>
      </c>
      <c r="C76" s="169" t="s">
        <v>127</v>
      </c>
      <c r="D76" s="51">
        <v>351792895.38</v>
      </c>
      <c r="E76" s="52">
        <f t="shared" si="34"/>
        <v>1.6608334179677141E-3</v>
      </c>
      <c r="F76" s="83">
        <v>1.3913</v>
      </c>
      <c r="G76" s="83">
        <v>1.3913</v>
      </c>
      <c r="H76" s="54">
        <v>367</v>
      </c>
      <c r="I76" s="73">
        <v>1.5116613878491947E-3</v>
      </c>
      <c r="J76" s="73">
        <v>6.0174481077040487E-2</v>
      </c>
      <c r="K76" s="51">
        <v>351786051.94999999</v>
      </c>
      <c r="L76" s="52">
        <f t="shared" si="28"/>
        <v>1.754636656393419E-3</v>
      </c>
      <c r="M76" s="83">
        <v>1.3955</v>
      </c>
      <c r="N76" s="83">
        <v>1.3955</v>
      </c>
      <c r="O76" s="54">
        <v>368</v>
      </c>
      <c r="P76" s="73">
        <v>3.0187594336232859E-3</v>
      </c>
      <c r="Q76" s="73">
        <v>6.3241293782407504E-2</v>
      </c>
      <c r="R76" s="79">
        <f t="shared" si="29"/>
        <v>-1.945300797679558E-5</v>
      </c>
      <c r="S76" s="79">
        <f t="shared" si="30"/>
        <v>3.018759433623217E-3</v>
      </c>
      <c r="T76" s="79">
        <f t="shared" si="31"/>
        <v>2.7247956403269754E-3</v>
      </c>
      <c r="U76" s="80">
        <f t="shared" si="32"/>
        <v>1.5070980457740912E-3</v>
      </c>
      <c r="V76" s="81">
        <f t="shared" si="33"/>
        <v>3.0668127053670169E-3</v>
      </c>
    </row>
    <row r="77" spans="1:22">
      <c r="A77" s="170">
        <v>66</v>
      </c>
      <c r="B77" s="168" t="s">
        <v>128</v>
      </c>
      <c r="C77" s="169" t="s">
        <v>29</v>
      </c>
      <c r="D77" s="51">
        <v>128391864.72</v>
      </c>
      <c r="E77" s="52">
        <f t="shared" si="34"/>
        <v>6.0614498565080704E-4</v>
      </c>
      <c r="F77" s="83">
        <v>128.98009999999999</v>
      </c>
      <c r="G77" s="83">
        <v>128.98009999999999</v>
      </c>
      <c r="H77" s="54">
        <v>164</v>
      </c>
      <c r="I77" s="73">
        <v>4.6500000000000003E-4</v>
      </c>
      <c r="J77" s="73">
        <v>0.189</v>
      </c>
      <c r="K77" s="51">
        <v>128391864.72</v>
      </c>
      <c r="L77" s="52">
        <f t="shared" si="28"/>
        <v>6.4039228096637727E-4</v>
      </c>
      <c r="M77" s="83">
        <v>129.39330000000001</v>
      </c>
      <c r="N77" s="83">
        <v>129.39330000000001</v>
      </c>
      <c r="O77" s="54">
        <v>156</v>
      </c>
      <c r="P77" s="73">
        <v>5.0600000000000005E-4</v>
      </c>
      <c r="Q77" s="73">
        <v>0.19120000000000001</v>
      </c>
      <c r="R77" s="79">
        <f t="shared" si="29"/>
        <v>0</v>
      </c>
      <c r="S77" s="79">
        <f t="shared" si="30"/>
        <v>3.2035949731781693E-3</v>
      </c>
      <c r="T77" s="79">
        <f t="shared" si="31"/>
        <v>-4.878048780487805E-2</v>
      </c>
      <c r="U77" s="80">
        <f t="shared" si="32"/>
        <v>4.1000000000000021E-5</v>
      </c>
      <c r="V77" s="81">
        <f t="shared" si="33"/>
        <v>2.2000000000000075E-3</v>
      </c>
    </row>
    <row r="78" spans="1:22">
      <c r="A78" s="170">
        <v>67</v>
      </c>
      <c r="B78" s="168" t="s">
        <v>129</v>
      </c>
      <c r="C78" s="169" t="s">
        <v>99</v>
      </c>
      <c r="D78" s="51">
        <v>1597365602.3699999</v>
      </c>
      <c r="E78" s="52">
        <f t="shared" si="34"/>
        <v>7.5412500023985651E-3</v>
      </c>
      <c r="F78" s="57">
        <v>1000</v>
      </c>
      <c r="G78" s="57">
        <v>1000</v>
      </c>
      <c r="H78" s="54">
        <v>337</v>
      </c>
      <c r="I78" s="73">
        <v>0.2049</v>
      </c>
      <c r="J78" s="73">
        <v>1.12E-2</v>
      </c>
      <c r="K78" s="51">
        <v>1576435368.6000004</v>
      </c>
      <c r="L78" s="52">
        <f t="shared" si="28"/>
        <v>7.8629362046843711E-3</v>
      </c>
      <c r="M78" s="57">
        <v>1000</v>
      </c>
      <c r="N78" s="57">
        <v>1000</v>
      </c>
      <c r="O78" s="54">
        <v>336</v>
      </c>
      <c r="P78" s="73">
        <v>1.04E-2</v>
      </c>
      <c r="Q78" s="73">
        <v>0.21190000000000001</v>
      </c>
      <c r="R78" s="79">
        <f t="shared" si="29"/>
        <v>-1.3102970127155278E-2</v>
      </c>
      <c r="S78" s="79">
        <f t="shared" si="30"/>
        <v>0</v>
      </c>
      <c r="T78" s="79">
        <f t="shared" si="31"/>
        <v>-2.967359050445104E-3</v>
      </c>
      <c r="U78" s="80">
        <f t="shared" si="32"/>
        <v>-0.19450000000000001</v>
      </c>
      <c r="V78" s="81">
        <f t="shared" si="33"/>
        <v>0.20070000000000002</v>
      </c>
    </row>
    <row r="79" spans="1:22">
      <c r="A79" s="170">
        <v>68</v>
      </c>
      <c r="B79" s="168" t="s">
        <v>130</v>
      </c>
      <c r="C79" s="169" t="s">
        <v>73</v>
      </c>
      <c r="D79" s="51">
        <v>196979445.94999999</v>
      </c>
      <c r="E79" s="52">
        <f t="shared" si="34"/>
        <v>9.2995069196364472E-4</v>
      </c>
      <c r="F79" s="57">
        <v>1073.49</v>
      </c>
      <c r="G79" s="57">
        <v>1084.1300000000001</v>
      </c>
      <c r="H79" s="54">
        <v>73</v>
      </c>
      <c r="I79" s="73">
        <v>5.1999999999999998E-3</v>
      </c>
      <c r="J79" s="73">
        <v>7.3800000000000004E-2</v>
      </c>
      <c r="K79" s="51">
        <v>197366417</v>
      </c>
      <c r="L79" s="52">
        <f t="shared" si="28"/>
        <v>9.8442319725186383E-4</v>
      </c>
      <c r="M79" s="57">
        <v>1075.06</v>
      </c>
      <c r="N79" s="57">
        <v>1086.25</v>
      </c>
      <c r="O79" s="54">
        <v>74</v>
      </c>
      <c r="P79" s="73">
        <v>2.0999999999999999E-3</v>
      </c>
      <c r="Q79" s="73">
        <v>7.5600000000000001E-2</v>
      </c>
      <c r="R79" s="79">
        <f t="shared" si="29"/>
        <v>1.9645250200279181E-3</v>
      </c>
      <c r="S79" s="79">
        <f t="shared" si="30"/>
        <v>1.9554850433065136E-3</v>
      </c>
      <c r="T79" s="79">
        <f t="shared" si="31"/>
        <v>1.3698630136986301E-2</v>
      </c>
      <c r="U79" s="80">
        <f t="shared" si="32"/>
        <v>-3.0999999999999999E-3</v>
      </c>
      <c r="V79" s="81">
        <f t="shared" si="33"/>
        <v>1.799999999999996E-3</v>
      </c>
    </row>
    <row r="80" spans="1:22">
      <c r="A80" s="170">
        <v>69</v>
      </c>
      <c r="B80" s="168" t="s">
        <v>131</v>
      </c>
      <c r="C80" s="169" t="s">
        <v>76</v>
      </c>
      <c r="D80" s="51">
        <v>672623928.15999997</v>
      </c>
      <c r="E80" s="52">
        <f t="shared" si="34"/>
        <v>3.1754941963968745E-3</v>
      </c>
      <c r="F80" s="84">
        <v>1.1359999999999999</v>
      </c>
      <c r="G80" s="84">
        <v>1.1359999999999999</v>
      </c>
      <c r="H80" s="54">
        <v>43</v>
      </c>
      <c r="I80" s="73">
        <v>-1.3599999999999999E-2</v>
      </c>
      <c r="J80" s="73">
        <v>0.10174999999999999</v>
      </c>
      <c r="K80" s="51">
        <v>674923895.26999998</v>
      </c>
      <c r="L80" s="52">
        <f t="shared" si="28"/>
        <v>3.3663819254689895E-3</v>
      </c>
      <c r="M80" s="84">
        <v>1.1376999999999999</v>
      </c>
      <c r="N80" s="84">
        <v>1.1376999999999999</v>
      </c>
      <c r="O80" s="54">
        <v>45</v>
      </c>
      <c r="P80" s="73">
        <v>8.0000000000000004E-4</v>
      </c>
      <c r="Q80" s="73">
        <v>0.1012</v>
      </c>
      <c r="R80" s="79">
        <f t="shared" si="29"/>
        <v>3.4193953169220455E-3</v>
      </c>
      <c r="S80" s="79">
        <f t="shared" si="30"/>
        <v>1.4964788732394674E-3</v>
      </c>
      <c r="T80" s="79">
        <f t="shared" si="31"/>
        <v>4.6511627906976744E-2</v>
      </c>
      <c r="U80" s="80">
        <f t="shared" si="32"/>
        <v>1.44E-2</v>
      </c>
      <c r="V80" s="81">
        <f t="shared" si="33"/>
        <v>-5.4999999999999494E-4</v>
      </c>
    </row>
    <row r="81" spans="1:22">
      <c r="A81" s="170">
        <v>70</v>
      </c>
      <c r="B81" s="168" t="s">
        <v>132</v>
      </c>
      <c r="C81" s="169" t="s">
        <v>31</v>
      </c>
      <c r="D81" s="51">
        <v>23610165945.049999</v>
      </c>
      <c r="E81" s="52">
        <f t="shared" si="34"/>
        <v>0.11146487925216812</v>
      </c>
      <c r="F81" s="84">
        <v>1687.9</v>
      </c>
      <c r="G81" s="84">
        <v>1687.9</v>
      </c>
      <c r="H81" s="54">
        <v>2220</v>
      </c>
      <c r="I81" s="73">
        <v>2.9999999999999997E-4</v>
      </c>
      <c r="J81" s="73">
        <v>9.0800000000000006E-2</v>
      </c>
      <c r="K81" s="51">
        <v>14181093285.559999</v>
      </c>
      <c r="L81" s="52">
        <f t="shared" si="28"/>
        <v>7.0732383983532071E-2</v>
      </c>
      <c r="M81" s="84">
        <v>1688.51</v>
      </c>
      <c r="N81" s="84">
        <v>1688.51</v>
      </c>
      <c r="O81" s="54">
        <v>2215</v>
      </c>
      <c r="P81" s="73">
        <v>4.0000000000000002E-4</v>
      </c>
      <c r="Q81" s="73">
        <v>9.1200000000000003E-2</v>
      </c>
      <c r="R81" s="79">
        <f t="shared" si="29"/>
        <v>-0.39936494649953347</v>
      </c>
      <c r="S81" s="79">
        <f t="shared" si="30"/>
        <v>3.6139581728769475E-4</v>
      </c>
      <c r="T81" s="79">
        <f t="shared" si="31"/>
        <v>-2.2522522522522522E-3</v>
      </c>
      <c r="U81" s="80">
        <f t="shared" si="32"/>
        <v>1.0000000000000005E-4</v>
      </c>
      <c r="V81" s="81">
        <f t="shared" si="33"/>
        <v>3.9999999999999758E-4</v>
      </c>
    </row>
    <row r="82" spans="1:22">
      <c r="A82" s="170">
        <v>71</v>
      </c>
      <c r="B82" s="168" t="s">
        <v>133</v>
      </c>
      <c r="C82" s="169" t="s">
        <v>81</v>
      </c>
      <c r="D82" s="51">
        <v>23269211.629999999</v>
      </c>
      <c r="E82" s="52">
        <f t="shared" si="34"/>
        <v>1.0985521536221474E-4</v>
      </c>
      <c r="F82" s="83">
        <v>0.7097</v>
      </c>
      <c r="G82" s="83">
        <v>0.7097</v>
      </c>
      <c r="H82" s="54">
        <v>746</v>
      </c>
      <c r="I82" s="73">
        <v>2.3E-3</v>
      </c>
      <c r="J82" s="73">
        <v>-7.1599999999999997E-2</v>
      </c>
      <c r="K82" s="51">
        <v>23319506.199999999</v>
      </c>
      <c r="L82" s="52">
        <f t="shared" si="28"/>
        <v>1.1631291280795082E-4</v>
      </c>
      <c r="M82" s="83">
        <v>0.71120000000000005</v>
      </c>
      <c r="N82" s="83">
        <v>0.71120000000000005</v>
      </c>
      <c r="O82" s="54">
        <v>746</v>
      </c>
      <c r="P82" s="73">
        <v>2.0999999999999999E-3</v>
      </c>
      <c r="Q82" s="73">
        <v>-6.9599999999999995E-2</v>
      </c>
      <c r="R82" s="79">
        <f t="shared" si="29"/>
        <v>2.1614213149859216E-3</v>
      </c>
      <c r="S82" s="79">
        <f t="shared" si="30"/>
        <v>2.1135691137100982E-3</v>
      </c>
      <c r="T82" s="79">
        <f t="shared" si="31"/>
        <v>0</v>
      </c>
      <c r="U82" s="80">
        <f t="shared" si="32"/>
        <v>-2.0000000000000009E-4</v>
      </c>
      <c r="V82" s="81">
        <f t="shared" si="33"/>
        <v>2.0000000000000018E-3</v>
      </c>
    </row>
    <row r="83" spans="1:22">
      <c r="A83" s="170">
        <v>72</v>
      </c>
      <c r="B83" s="168" t="s">
        <v>134</v>
      </c>
      <c r="C83" s="169" t="s">
        <v>37</v>
      </c>
      <c r="D83" s="51">
        <v>10607725410.639999</v>
      </c>
      <c r="E83" s="52">
        <f t="shared" si="34"/>
        <v>5.0079649367523286E-2</v>
      </c>
      <c r="F83" s="83">
        <v>1</v>
      </c>
      <c r="G83" s="83">
        <v>1</v>
      </c>
      <c r="H83" s="54">
        <v>5247</v>
      </c>
      <c r="I83" s="73">
        <v>0.06</v>
      </c>
      <c r="J83" s="73">
        <v>0.06</v>
      </c>
      <c r="K83" s="51">
        <v>10622018865.32</v>
      </c>
      <c r="L83" s="52">
        <f t="shared" si="28"/>
        <v>5.298045093795227E-2</v>
      </c>
      <c r="M83" s="83">
        <v>1</v>
      </c>
      <c r="N83" s="83">
        <v>1</v>
      </c>
      <c r="O83" s="54">
        <v>5248</v>
      </c>
      <c r="P83" s="73">
        <v>0.06</v>
      </c>
      <c r="Q83" s="73">
        <v>0.06</v>
      </c>
      <c r="R83" s="79">
        <f t="shared" si="29"/>
        <v>1.3474570774299421E-3</v>
      </c>
      <c r="S83" s="79">
        <f t="shared" si="30"/>
        <v>0</v>
      </c>
      <c r="T83" s="79">
        <f t="shared" si="31"/>
        <v>1.9058509624547359E-4</v>
      </c>
      <c r="U83" s="80">
        <f t="shared" si="32"/>
        <v>0</v>
      </c>
      <c r="V83" s="81">
        <f t="shared" si="33"/>
        <v>0</v>
      </c>
    </row>
    <row r="84" spans="1:22">
      <c r="A84" s="170">
        <v>73</v>
      </c>
      <c r="B84" s="168" t="s">
        <v>135</v>
      </c>
      <c r="C84" s="169" t="s">
        <v>136</v>
      </c>
      <c r="D84" s="51">
        <v>1124904402.1099999</v>
      </c>
      <c r="E84" s="52">
        <f t="shared" si="34"/>
        <v>5.3107349454149713E-3</v>
      </c>
      <c r="F84" s="51">
        <v>236.48</v>
      </c>
      <c r="G84" s="51">
        <v>238.96</v>
      </c>
      <c r="H84" s="54">
        <v>491</v>
      </c>
      <c r="I84" s="73">
        <v>1.4E-3</v>
      </c>
      <c r="J84" s="73">
        <v>0.1794</v>
      </c>
      <c r="K84" s="51">
        <v>1109062569.9100001</v>
      </c>
      <c r="L84" s="52">
        <f t="shared" si="28"/>
        <v>5.5317765687724419E-3</v>
      </c>
      <c r="M84" s="51">
        <v>237.14964000000001</v>
      </c>
      <c r="N84" s="51">
        <v>239.76646500000001</v>
      </c>
      <c r="O84" s="54">
        <v>488</v>
      </c>
      <c r="P84" s="73">
        <v>1.6000000000000001E-3</v>
      </c>
      <c r="Q84" s="73">
        <v>0.1797</v>
      </c>
      <c r="R84" s="79">
        <f t="shared" si="29"/>
        <v>-1.4082825323009715E-2</v>
      </c>
      <c r="S84" s="79">
        <f t="shared" si="30"/>
        <v>3.3748953799799248E-3</v>
      </c>
      <c r="T84" s="79">
        <f t="shared" si="31"/>
        <v>-6.1099796334012219E-3</v>
      </c>
      <c r="U84" s="80">
        <f t="shared" si="32"/>
        <v>2.0000000000000009E-4</v>
      </c>
      <c r="V84" s="81">
        <f t="shared" si="33"/>
        <v>2.9999999999999472E-4</v>
      </c>
    </row>
    <row r="85" spans="1:22">
      <c r="A85" s="170">
        <v>74</v>
      </c>
      <c r="B85" s="168" t="s">
        <v>137</v>
      </c>
      <c r="C85" s="169" t="s">
        <v>41</v>
      </c>
      <c r="D85" s="51">
        <v>1073552554.11</v>
      </c>
      <c r="E85" s="52">
        <f t="shared" si="34"/>
        <v>5.0683000743506389E-3</v>
      </c>
      <c r="F85" s="83">
        <v>3.58</v>
      </c>
      <c r="G85" s="83">
        <v>3.58</v>
      </c>
      <c r="H85" s="69">
        <v>770</v>
      </c>
      <c r="I85" s="76">
        <v>0</v>
      </c>
      <c r="J85" s="76">
        <v>4.0000000000000002E-4</v>
      </c>
      <c r="K85" s="51">
        <v>1075694872.1400001</v>
      </c>
      <c r="L85" s="52">
        <f t="shared" si="28"/>
        <v>5.3653453378519492E-3</v>
      </c>
      <c r="M85" s="83">
        <v>3.59</v>
      </c>
      <c r="N85" s="83">
        <v>3.59</v>
      </c>
      <c r="O85" s="69">
        <v>770</v>
      </c>
      <c r="P85" s="76">
        <v>2E-3</v>
      </c>
      <c r="Q85" s="76">
        <v>2.8999999999999998E-3</v>
      </c>
      <c r="R85" s="79">
        <f t="shared" si="29"/>
        <v>1.9955408999758955E-3</v>
      </c>
      <c r="S85" s="79">
        <f t="shared" si="30"/>
        <v>2.7932960893854151E-3</v>
      </c>
      <c r="T85" s="79">
        <f t="shared" si="31"/>
        <v>0</v>
      </c>
      <c r="U85" s="80">
        <f t="shared" si="32"/>
        <v>2E-3</v>
      </c>
      <c r="V85" s="81">
        <f t="shared" si="33"/>
        <v>2.4999999999999996E-3</v>
      </c>
    </row>
    <row r="86" spans="1:22">
      <c r="A86" s="170">
        <v>75</v>
      </c>
      <c r="B86" s="168" t="s">
        <v>138</v>
      </c>
      <c r="C86" s="169" t="s">
        <v>43</v>
      </c>
      <c r="D86" s="51">
        <v>564354457.08000004</v>
      </c>
      <c r="E86" s="52">
        <f t="shared" si="34"/>
        <v>2.664348126999659E-3</v>
      </c>
      <c r="F86" s="83">
        <v>110.16</v>
      </c>
      <c r="G86" s="83">
        <v>110.16</v>
      </c>
      <c r="H86" s="69">
        <v>59</v>
      </c>
      <c r="I86" s="76">
        <v>0.14699999999999999</v>
      </c>
      <c r="J86" s="76">
        <v>0.17050000000000001</v>
      </c>
      <c r="K86" s="51">
        <v>554127902.59000003</v>
      </c>
      <c r="L86" s="52">
        <f t="shared" si="28"/>
        <v>2.7638762959055854E-3</v>
      </c>
      <c r="M86" s="83">
        <v>110.46</v>
      </c>
      <c r="N86" s="83">
        <v>110.46</v>
      </c>
      <c r="O86" s="69">
        <v>59</v>
      </c>
      <c r="P86" s="76">
        <v>0.1472</v>
      </c>
      <c r="Q86" s="76">
        <v>0.17069999999999999</v>
      </c>
      <c r="R86" s="79">
        <f t="shared" si="29"/>
        <v>-1.8120800432608872E-2</v>
      </c>
      <c r="S86" s="79">
        <f t="shared" si="30"/>
        <v>2.7233115468409327E-3</v>
      </c>
      <c r="T86" s="79">
        <f t="shared" si="31"/>
        <v>0</v>
      </c>
      <c r="U86" s="80">
        <f t="shared" si="32"/>
        <v>2.0000000000000573E-4</v>
      </c>
      <c r="V86" s="81">
        <f t="shared" si="33"/>
        <v>1.9999999999997797E-4</v>
      </c>
    </row>
    <row r="87" spans="1:22">
      <c r="A87" s="170">
        <v>76</v>
      </c>
      <c r="B87" s="169" t="s">
        <v>139</v>
      </c>
      <c r="C87" s="173" t="s">
        <v>47</v>
      </c>
      <c r="D87" s="51">
        <v>1643674662.52</v>
      </c>
      <c r="E87" s="52">
        <f t="shared" si="34"/>
        <v>7.7598775973894158E-3</v>
      </c>
      <c r="F87" s="83">
        <v>101.78</v>
      </c>
      <c r="G87" s="83">
        <v>101.78</v>
      </c>
      <c r="H87" s="54">
        <v>139</v>
      </c>
      <c r="I87" s="73">
        <v>1.2999999999999999E-3</v>
      </c>
      <c r="J87" s="73">
        <v>9.9900000000000003E-2</v>
      </c>
      <c r="K87" s="51">
        <v>1650706797.0899999</v>
      </c>
      <c r="L87" s="52">
        <f t="shared" si="28"/>
        <v>8.2333868528237063E-3</v>
      </c>
      <c r="M87" s="83">
        <v>102.02</v>
      </c>
      <c r="N87" s="83">
        <v>101.78</v>
      </c>
      <c r="O87" s="54">
        <v>289</v>
      </c>
      <c r="P87" s="73">
        <v>1.9E-3</v>
      </c>
      <c r="Q87" s="73">
        <v>0.11</v>
      </c>
      <c r="R87" s="79">
        <f t="shared" si="29"/>
        <v>4.2783007673906802E-3</v>
      </c>
      <c r="S87" s="79">
        <f t="shared" si="30"/>
        <v>0</v>
      </c>
      <c r="T87" s="79">
        <f t="shared" si="31"/>
        <v>1.079136690647482</v>
      </c>
      <c r="U87" s="80">
        <f t="shared" si="32"/>
        <v>6.0000000000000006E-4</v>
      </c>
      <c r="V87" s="81">
        <f t="shared" si="33"/>
        <v>1.0099999999999998E-2</v>
      </c>
    </row>
    <row r="88" spans="1:22">
      <c r="A88" s="170">
        <v>77</v>
      </c>
      <c r="B88" s="168" t="s">
        <v>140</v>
      </c>
      <c r="C88" s="169" t="s">
        <v>19</v>
      </c>
      <c r="D88" s="51">
        <v>1338398856.47</v>
      </c>
      <c r="E88" s="52">
        <f t="shared" si="34"/>
        <v>6.3186538915007409E-3</v>
      </c>
      <c r="F88" s="83">
        <v>350.55349999999999</v>
      </c>
      <c r="G88" s="83">
        <v>350.55349999999999</v>
      </c>
      <c r="H88" s="54">
        <v>105</v>
      </c>
      <c r="I88" s="73">
        <v>2.3E-3</v>
      </c>
      <c r="J88" s="153">
        <v>0.1056</v>
      </c>
      <c r="K88" s="51">
        <v>1342279101.4100001</v>
      </c>
      <c r="L88" s="52">
        <f t="shared" si="28"/>
        <v>6.6950127823133714E-3</v>
      </c>
      <c r="M88" s="83">
        <v>351.41449999999998</v>
      </c>
      <c r="N88" s="83">
        <v>351.41449999999998</v>
      </c>
      <c r="O88" s="54">
        <v>105</v>
      </c>
      <c r="P88" s="73">
        <v>2.5000000000000001E-3</v>
      </c>
      <c r="Q88" s="153">
        <v>0.1081</v>
      </c>
      <c r="R88" s="79">
        <f t="shared" si="29"/>
        <v>2.8991693479432021E-3</v>
      </c>
      <c r="S88" s="79">
        <f t="shared" si="30"/>
        <v>2.4561158282544321E-3</v>
      </c>
      <c r="T88" s="79">
        <f t="shared" si="31"/>
        <v>0</v>
      </c>
      <c r="U88" s="80">
        <f t="shared" si="32"/>
        <v>2.0000000000000009E-4</v>
      </c>
      <c r="V88" s="81">
        <f t="shared" si="33"/>
        <v>2.5000000000000022E-3</v>
      </c>
    </row>
    <row r="89" spans="1:22">
      <c r="A89" s="170">
        <v>78</v>
      </c>
      <c r="B89" s="168" t="s">
        <v>141</v>
      </c>
      <c r="C89" s="169" t="s">
        <v>90</v>
      </c>
      <c r="D89" s="67">
        <v>1482235027.8699999</v>
      </c>
      <c r="E89" s="52">
        <f>(D89/$K$64)</f>
        <v>9.2342625013660618E-4</v>
      </c>
      <c r="F89" s="83">
        <v>103.08</v>
      </c>
      <c r="G89" s="83">
        <v>103.08</v>
      </c>
      <c r="H89" s="54">
        <v>381</v>
      </c>
      <c r="I89" s="73">
        <v>2.8E-3</v>
      </c>
      <c r="J89" s="73">
        <v>0.13789999999999999</v>
      </c>
      <c r="K89" s="67">
        <v>1467591170.1900001</v>
      </c>
      <c r="L89" s="52">
        <f>(K89/$K$64)</f>
        <v>9.1430318778096308E-4</v>
      </c>
      <c r="M89" s="83">
        <v>103.34</v>
      </c>
      <c r="N89" s="83">
        <v>103.34</v>
      </c>
      <c r="O89" s="54">
        <v>381</v>
      </c>
      <c r="P89" s="73">
        <v>2.5999999999999999E-3</v>
      </c>
      <c r="Q89" s="73">
        <v>0.1285</v>
      </c>
      <c r="R89" s="79">
        <f t="shared" si="29"/>
        <v>-9.8795787474023813E-3</v>
      </c>
      <c r="S89" s="79">
        <f t="shared" si="30"/>
        <v>2.5223127667831306E-3</v>
      </c>
      <c r="T89" s="79">
        <f t="shared" si="31"/>
        <v>0</v>
      </c>
      <c r="U89" s="80">
        <f t="shared" si="32"/>
        <v>-2.0000000000000009E-4</v>
      </c>
      <c r="V89" s="81">
        <f t="shared" si="33"/>
        <v>-9.3999999999999917E-3</v>
      </c>
    </row>
    <row r="90" spans="1:22">
      <c r="A90" s="170">
        <v>79</v>
      </c>
      <c r="B90" s="168" t="s">
        <v>142</v>
      </c>
      <c r="C90" s="169" t="s">
        <v>45</v>
      </c>
      <c r="D90" s="51">
        <v>57619645.020000003</v>
      </c>
      <c r="E90" s="52">
        <f t="shared" ref="E90:E102" si="35">(D90/$D$103)</f>
        <v>2.7202548214421242E-4</v>
      </c>
      <c r="F90" s="51">
        <v>12.156038000000001</v>
      </c>
      <c r="G90" s="51">
        <v>12.451495</v>
      </c>
      <c r="H90" s="54">
        <v>56</v>
      </c>
      <c r="I90" s="73">
        <v>-0.31619999999999998</v>
      </c>
      <c r="J90" s="73">
        <v>1.52E-2</v>
      </c>
      <c r="K90" s="51">
        <v>57743171.700000003</v>
      </c>
      <c r="L90" s="52">
        <f t="shared" ref="L90:L102" si="36">(K90/$K$103)</f>
        <v>2.8801109412842686E-4</v>
      </c>
      <c r="M90" s="51">
        <v>12.002065</v>
      </c>
      <c r="N90" s="51">
        <v>12.304959</v>
      </c>
      <c r="O90" s="54">
        <v>56</v>
      </c>
      <c r="P90" s="73">
        <v>0.87760000000000005</v>
      </c>
      <c r="Q90" s="73">
        <v>1.1000000000000001E-3</v>
      </c>
      <c r="R90" s="79">
        <f t="shared" si="29"/>
        <v>2.1438292436047309E-3</v>
      </c>
      <c r="S90" s="79">
        <f t="shared" si="30"/>
        <v>-1.1768546668492365E-2</v>
      </c>
      <c r="T90" s="79">
        <f t="shared" si="31"/>
        <v>0</v>
      </c>
      <c r="U90" s="80">
        <f t="shared" si="32"/>
        <v>1.1938</v>
      </c>
      <c r="V90" s="81">
        <f t="shared" si="33"/>
        <v>-1.41E-2</v>
      </c>
    </row>
    <row r="91" spans="1:22">
      <c r="A91" s="170">
        <v>80</v>
      </c>
      <c r="B91" s="168" t="s">
        <v>143</v>
      </c>
      <c r="C91" s="169" t="s">
        <v>144</v>
      </c>
      <c r="D91" s="51">
        <v>363459812.75</v>
      </c>
      <c r="E91" s="52">
        <f t="shared" si="35"/>
        <v>1.7159135702596855E-3</v>
      </c>
      <c r="F91" s="51">
        <v>128.94</v>
      </c>
      <c r="G91" s="51">
        <v>128.94</v>
      </c>
      <c r="H91" s="54">
        <v>109</v>
      </c>
      <c r="I91" s="73">
        <v>0.1731</v>
      </c>
      <c r="J91" s="73">
        <v>0.16839999999999999</v>
      </c>
      <c r="K91" s="51">
        <v>366084613.31999999</v>
      </c>
      <c r="L91" s="52">
        <f t="shared" si="36"/>
        <v>1.825954947082951E-3</v>
      </c>
      <c r="M91" s="51">
        <v>129.57</v>
      </c>
      <c r="N91" s="51">
        <v>129.57</v>
      </c>
      <c r="O91" s="54">
        <v>109</v>
      </c>
      <c r="P91" s="73">
        <v>0.34179999999999999</v>
      </c>
      <c r="Q91" s="73">
        <v>0.17080000000000001</v>
      </c>
      <c r="R91" s="79">
        <f t="shared" si="29"/>
        <v>7.221707814518189E-3</v>
      </c>
      <c r="S91" s="79">
        <f t="shared" si="30"/>
        <v>4.8859934853419844E-3</v>
      </c>
      <c r="T91" s="79">
        <f t="shared" si="31"/>
        <v>0</v>
      </c>
      <c r="U91" s="80">
        <f t="shared" si="32"/>
        <v>0.16869999999999999</v>
      </c>
      <c r="V91" s="81">
        <f t="shared" si="33"/>
        <v>2.4000000000000132E-3</v>
      </c>
    </row>
    <row r="92" spans="1:22">
      <c r="A92" s="170">
        <v>81</v>
      </c>
      <c r="B92" s="168" t="s">
        <v>145</v>
      </c>
      <c r="C92" s="169" t="s">
        <v>146</v>
      </c>
      <c r="D92" s="51">
        <v>7495817864.9910622</v>
      </c>
      <c r="E92" s="52">
        <f t="shared" si="35"/>
        <v>3.5388164367927487E-2</v>
      </c>
      <c r="F92" s="51">
        <v>1.1200000000000001</v>
      </c>
      <c r="G92" s="51">
        <v>1.1200000000000001</v>
      </c>
      <c r="H92" s="54">
        <v>4406</v>
      </c>
      <c r="I92" s="73">
        <v>0.17030000000000001</v>
      </c>
      <c r="J92" s="73">
        <v>0.17030000000000001</v>
      </c>
      <c r="K92" s="51">
        <v>7573608430.1985846</v>
      </c>
      <c r="L92" s="52">
        <f t="shared" si="36"/>
        <v>3.7775605084778736E-2</v>
      </c>
      <c r="M92" s="51">
        <v>1.1217915875915969</v>
      </c>
      <c r="N92" s="51">
        <v>1.1217915875915969</v>
      </c>
      <c r="O92" s="54">
        <v>4414</v>
      </c>
      <c r="P92" s="73">
        <v>0.1704</v>
      </c>
      <c r="Q92" s="73">
        <v>0.1704</v>
      </c>
      <c r="R92" s="79">
        <f t="shared" si="29"/>
        <v>1.0377862243804018E-2</v>
      </c>
      <c r="S92" s="79">
        <f t="shared" si="30"/>
        <v>1.5996317782114378E-3</v>
      </c>
      <c r="T92" s="79">
        <f t="shared" si="31"/>
        <v>1.8157058556513845E-3</v>
      </c>
      <c r="U92" s="80">
        <f t="shared" si="32"/>
        <v>9.9999999999988987E-5</v>
      </c>
      <c r="V92" s="81">
        <f t="shared" si="33"/>
        <v>9.9999999999988987E-5</v>
      </c>
    </row>
    <row r="93" spans="1:22" ht="14.25" customHeight="1">
      <c r="A93" s="170">
        <v>82</v>
      </c>
      <c r="B93" s="168" t="s">
        <v>147</v>
      </c>
      <c r="C93" s="169" t="s">
        <v>49</v>
      </c>
      <c r="D93" s="51">
        <v>9801795542.8999996</v>
      </c>
      <c r="E93" s="52">
        <f t="shared" si="35"/>
        <v>4.6274810570437711E-2</v>
      </c>
      <c r="F93" s="51">
        <v>5166.67</v>
      </c>
      <c r="G93" s="51">
        <v>5166.67</v>
      </c>
      <c r="H93" s="54">
        <v>294</v>
      </c>
      <c r="I93" s="73">
        <v>0</v>
      </c>
      <c r="J93" s="73">
        <v>3.09E-2</v>
      </c>
      <c r="K93" s="51">
        <v>9665599289.8899994</v>
      </c>
      <c r="L93" s="52">
        <f t="shared" si="36"/>
        <v>4.8210026310144032E-2</v>
      </c>
      <c r="M93" s="51">
        <v>5166.75</v>
      </c>
      <c r="N93" s="51">
        <v>5166.67</v>
      </c>
      <c r="O93" s="54">
        <v>291</v>
      </c>
      <c r="P93" s="73">
        <v>0</v>
      </c>
      <c r="Q93" s="73">
        <v>3.09E-2</v>
      </c>
      <c r="R93" s="79">
        <f t="shared" si="29"/>
        <v>-1.3895031008747673E-2</v>
      </c>
      <c r="S93" s="79">
        <f t="shared" si="30"/>
        <v>0</v>
      </c>
      <c r="T93" s="79">
        <f t="shared" si="31"/>
        <v>-1.020408163265306E-2</v>
      </c>
      <c r="U93" s="80">
        <f t="shared" si="32"/>
        <v>0</v>
      </c>
      <c r="V93" s="81">
        <f t="shared" si="33"/>
        <v>0</v>
      </c>
    </row>
    <row r="94" spans="1:22" ht="13.5" customHeight="1">
      <c r="A94" s="170">
        <v>83</v>
      </c>
      <c r="B94" s="168" t="s">
        <v>148</v>
      </c>
      <c r="C94" s="169" t="s">
        <v>49</v>
      </c>
      <c r="D94" s="51">
        <v>24303460870.889999</v>
      </c>
      <c r="E94" s="52">
        <f t="shared" si="35"/>
        <v>0.11473796235436877</v>
      </c>
      <c r="F94" s="83">
        <v>258.47000000000003</v>
      </c>
      <c r="G94" s="83">
        <v>258.47000000000003</v>
      </c>
      <c r="H94" s="54">
        <v>6377</v>
      </c>
      <c r="I94" s="73">
        <v>0</v>
      </c>
      <c r="J94" s="73">
        <v>1.04E-2</v>
      </c>
      <c r="K94" s="51">
        <v>24270066959.720001</v>
      </c>
      <c r="L94" s="52">
        <f t="shared" si="36"/>
        <v>0.12105411486496401</v>
      </c>
      <c r="M94" s="83">
        <v>258.48</v>
      </c>
      <c r="N94" s="83">
        <v>258.48</v>
      </c>
      <c r="O94" s="54">
        <v>6369</v>
      </c>
      <c r="P94" s="73">
        <v>0</v>
      </c>
      <c r="Q94" s="73">
        <v>1.04E-2</v>
      </c>
      <c r="R94" s="79">
        <f t="shared" si="29"/>
        <v>-1.3740393332209099E-3</v>
      </c>
      <c r="S94" s="79">
        <f t="shared" si="30"/>
        <v>3.8689209579413098E-5</v>
      </c>
      <c r="T94" s="79">
        <f t="shared" si="31"/>
        <v>-1.254508389524855E-3</v>
      </c>
      <c r="U94" s="80">
        <f t="shared" si="32"/>
        <v>0</v>
      </c>
      <c r="V94" s="81">
        <f t="shared" si="33"/>
        <v>0</v>
      </c>
    </row>
    <row r="95" spans="1:22" ht="13.5" customHeight="1">
      <c r="A95" s="170">
        <v>84</v>
      </c>
      <c r="B95" s="168" t="s">
        <v>149</v>
      </c>
      <c r="C95" s="169" t="s">
        <v>49</v>
      </c>
      <c r="D95" s="51">
        <v>378111837.67000002</v>
      </c>
      <c r="E95" s="52">
        <f t="shared" si="35"/>
        <v>1.7850865778661809E-3</v>
      </c>
      <c r="F95" s="57">
        <v>6558.69</v>
      </c>
      <c r="G95" s="57">
        <v>6585.77</v>
      </c>
      <c r="H95" s="54">
        <v>15</v>
      </c>
      <c r="I95" s="73">
        <v>-2.9999999999999997E-4</v>
      </c>
      <c r="J95" s="73">
        <v>0.24049999999999999</v>
      </c>
      <c r="K95" s="51">
        <v>380445038.18000001</v>
      </c>
      <c r="L95" s="52">
        <f t="shared" si="36"/>
        <v>1.8975818001689872E-3</v>
      </c>
      <c r="M95" s="57">
        <v>6581.84</v>
      </c>
      <c r="N95" s="57">
        <v>6608.95</v>
      </c>
      <c r="O95" s="54">
        <v>15</v>
      </c>
      <c r="P95" s="73">
        <v>3.5000000000000001E-3</v>
      </c>
      <c r="Q95" s="73">
        <v>0.24479999999999999</v>
      </c>
      <c r="R95" s="79">
        <f t="shared" si="29"/>
        <v>6.1706624272269122E-3</v>
      </c>
      <c r="S95" s="79">
        <f t="shared" si="30"/>
        <v>3.5197099200244436E-3</v>
      </c>
      <c r="T95" s="79">
        <f t="shared" si="31"/>
        <v>0</v>
      </c>
      <c r="U95" s="80">
        <f t="shared" si="32"/>
        <v>3.8E-3</v>
      </c>
      <c r="V95" s="81">
        <f t="shared" si="33"/>
        <v>4.2999999999999983E-3</v>
      </c>
    </row>
    <row r="96" spans="1:22" ht="15" customHeight="1">
      <c r="A96" s="170">
        <v>85</v>
      </c>
      <c r="B96" s="168" t="s">
        <v>150</v>
      </c>
      <c r="C96" s="169" t="s">
        <v>49</v>
      </c>
      <c r="D96" s="51">
        <v>9331006105.2399998</v>
      </c>
      <c r="E96" s="52">
        <f t="shared" si="35"/>
        <v>4.4052187995734036E-2</v>
      </c>
      <c r="F96" s="83">
        <v>136.71</v>
      </c>
      <c r="G96" s="83">
        <v>136.71</v>
      </c>
      <c r="H96" s="54">
        <v>4468</v>
      </c>
      <c r="I96" s="73">
        <v>8.0000000000000004E-4</v>
      </c>
      <c r="J96" s="73">
        <v>8.5699999999999998E-2</v>
      </c>
      <c r="K96" s="51">
        <v>9384480530.6700001</v>
      </c>
      <c r="L96" s="52">
        <f t="shared" si="36"/>
        <v>4.6807863612126216E-2</v>
      </c>
      <c r="M96" s="83">
        <v>136.83000000000001</v>
      </c>
      <c r="N96" s="83">
        <v>136.47999999999999</v>
      </c>
      <c r="O96" s="54">
        <v>4454</v>
      </c>
      <c r="P96" s="73">
        <v>8.9999999999999998E-4</v>
      </c>
      <c r="Q96" s="73">
        <v>8.6599999999999996E-2</v>
      </c>
      <c r="R96" s="79">
        <f t="shared" si="29"/>
        <v>5.7308316838385462E-3</v>
      </c>
      <c r="S96" s="79">
        <f t="shared" si="30"/>
        <v>-1.6823933874626448E-3</v>
      </c>
      <c r="T96" s="79">
        <f t="shared" si="31"/>
        <v>-3.1333930170098479E-3</v>
      </c>
      <c r="U96" s="80">
        <f t="shared" si="32"/>
        <v>9.9999999999999937E-5</v>
      </c>
      <c r="V96" s="81">
        <f t="shared" si="33"/>
        <v>8.9999999999999802E-4</v>
      </c>
    </row>
    <row r="97" spans="1:28" ht="15" customHeight="1">
      <c r="A97" s="170">
        <v>86</v>
      </c>
      <c r="B97" s="168" t="s">
        <v>151</v>
      </c>
      <c r="C97" s="169" t="s">
        <v>49</v>
      </c>
      <c r="D97" s="51">
        <v>8041842102.3400002</v>
      </c>
      <c r="E97" s="52">
        <f t="shared" si="35"/>
        <v>3.7965974529300651E-2</v>
      </c>
      <c r="F97" s="83">
        <v>356.93</v>
      </c>
      <c r="G97" s="83">
        <v>357.46</v>
      </c>
      <c r="H97" s="54">
        <v>10187</v>
      </c>
      <c r="I97" s="73">
        <v>-2E-3</v>
      </c>
      <c r="J97" s="73">
        <v>1.1599999999999999E-2</v>
      </c>
      <c r="K97" s="51">
        <v>7920992194.7299995</v>
      </c>
      <c r="L97" s="52">
        <f t="shared" si="36"/>
        <v>3.9508284034680347E-2</v>
      </c>
      <c r="M97" s="83">
        <v>356.61</v>
      </c>
      <c r="N97" s="83">
        <v>357.16</v>
      </c>
      <c r="O97" s="54">
        <v>10184</v>
      </c>
      <c r="P97" s="73">
        <v>-8.0000000000000004E-4</v>
      </c>
      <c r="Q97" s="73">
        <v>1.0800000000000001E-2</v>
      </c>
      <c r="R97" s="79">
        <f t="shared" si="29"/>
        <v>-1.5027639945185684E-2</v>
      </c>
      <c r="S97" s="79">
        <f t="shared" si="30"/>
        <v>-8.3925474178916395E-4</v>
      </c>
      <c r="T97" s="79">
        <f t="shared" si="31"/>
        <v>-2.9449298125061352E-4</v>
      </c>
      <c r="U97" s="80">
        <f t="shared" si="32"/>
        <v>1.2000000000000001E-3</v>
      </c>
      <c r="V97" s="81">
        <f t="shared" si="33"/>
        <v>-7.9999999999999863E-4</v>
      </c>
    </row>
    <row r="98" spans="1:28">
      <c r="A98" s="170">
        <v>87</v>
      </c>
      <c r="B98" s="168" t="s">
        <v>152</v>
      </c>
      <c r="C98" s="169" t="s">
        <v>52</v>
      </c>
      <c r="D98" s="51">
        <v>87419509047.5</v>
      </c>
      <c r="E98" s="52">
        <f t="shared" si="35"/>
        <v>0.41271226313876597</v>
      </c>
      <c r="F98" s="51">
        <v>1.9502999999999999</v>
      </c>
      <c r="G98" s="51">
        <v>1.9502999999999999</v>
      </c>
      <c r="H98" s="54">
        <v>6350</v>
      </c>
      <c r="I98" s="73">
        <v>7.7799999999999994E-2</v>
      </c>
      <c r="J98" s="73">
        <v>6.1400000000000003E-2</v>
      </c>
      <c r="K98" s="51">
        <v>87466034537.679993</v>
      </c>
      <c r="L98" s="52">
        <f t="shared" si="36"/>
        <v>0.43626263616329869</v>
      </c>
      <c r="M98" s="51">
        <v>1.9531000000000001</v>
      </c>
      <c r="N98" s="51">
        <v>1.9531000000000001</v>
      </c>
      <c r="O98" s="54">
        <v>6356</v>
      </c>
      <c r="P98" s="73">
        <v>7.7700000000000005E-2</v>
      </c>
      <c r="Q98" s="73">
        <v>6.1600000000000002E-2</v>
      </c>
      <c r="R98" s="79">
        <f t="shared" si="29"/>
        <v>5.3220946544909936E-4</v>
      </c>
      <c r="S98" s="79">
        <f t="shared" si="30"/>
        <v>1.4356765625801854E-3</v>
      </c>
      <c r="T98" s="79">
        <f t="shared" si="31"/>
        <v>9.4488188976377954E-4</v>
      </c>
      <c r="U98" s="80">
        <f t="shared" si="32"/>
        <v>-9.9999999999988987E-5</v>
      </c>
      <c r="V98" s="81">
        <f t="shared" si="33"/>
        <v>1.9999999999999879E-4</v>
      </c>
    </row>
    <row r="99" spans="1:28">
      <c r="A99" s="170">
        <v>88</v>
      </c>
      <c r="B99" s="168" t="s">
        <v>153</v>
      </c>
      <c r="C99" s="169" t="s">
        <v>52</v>
      </c>
      <c r="D99" s="51">
        <v>10296146579.18</v>
      </c>
      <c r="E99" s="52">
        <f t="shared" si="35"/>
        <v>4.8608668735406986E-2</v>
      </c>
      <c r="F99" s="51">
        <v>106.74160000000001</v>
      </c>
      <c r="G99" s="51">
        <v>106.74160000000001</v>
      </c>
      <c r="H99" s="54">
        <v>155</v>
      </c>
      <c r="I99" s="73">
        <v>0.19850000000000001</v>
      </c>
      <c r="J99" s="73">
        <v>0.2155</v>
      </c>
      <c r="K99" s="51">
        <v>8527670585.9799995</v>
      </c>
      <c r="L99" s="52">
        <f t="shared" si="36"/>
        <v>4.2534271387016702E-2</v>
      </c>
      <c r="M99" s="51">
        <v>107.182</v>
      </c>
      <c r="N99" s="51">
        <v>107.182</v>
      </c>
      <c r="O99" s="54">
        <v>169</v>
      </c>
      <c r="P99" s="73">
        <v>0.2394</v>
      </c>
      <c r="Q99" s="73">
        <v>0.21679999999999999</v>
      </c>
      <c r="R99" s="79">
        <f t="shared" ref="R99:R101" si="37">((K99-D99)/D99)</f>
        <v>-0.17176095732514762</v>
      </c>
      <c r="S99" s="79">
        <f t="shared" ref="S99:S101" si="38">((N99-G99)/G99)</f>
        <v>4.1258515892585159E-3</v>
      </c>
      <c r="T99" s="79">
        <f t="shared" ref="T99:T101" si="39">((O99-H99)/H99)</f>
        <v>9.0322580645161285E-2</v>
      </c>
      <c r="U99" s="80">
        <f t="shared" ref="U99:U101" si="40">P99-I99</f>
        <v>4.0899999999999992E-2</v>
      </c>
      <c r="V99" s="81">
        <f t="shared" ref="V99:V101" si="41">Q99-J99</f>
        <v>1.2999999999999956E-3</v>
      </c>
    </row>
    <row r="100" spans="1:28">
      <c r="A100" s="170">
        <v>89</v>
      </c>
      <c r="B100" s="168" t="s">
        <v>154</v>
      </c>
      <c r="C100" s="168" t="s">
        <v>155</v>
      </c>
      <c r="D100" s="51">
        <v>89214190.560000002</v>
      </c>
      <c r="E100" s="52">
        <f t="shared" si="35"/>
        <v>4.2118505229884605E-4</v>
      </c>
      <c r="F100" s="51">
        <v>109.34717222815732</v>
      </c>
      <c r="G100" s="51">
        <v>109.34717222815732</v>
      </c>
      <c r="H100" s="85">
        <v>55</v>
      </c>
      <c r="I100" s="86">
        <v>1.1827009115467758E-3</v>
      </c>
      <c r="J100" s="86">
        <v>7.6262288291787383E-2</v>
      </c>
      <c r="K100" s="51">
        <v>89279038.420000002</v>
      </c>
      <c r="L100" s="87">
        <f t="shared" si="36"/>
        <v>4.4530552758116084E-4</v>
      </c>
      <c r="M100" s="51">
        <v>109.56046797304289</v>
      </c>
      <c r="N100" s="51">
        <v>109.56046797304289</v>
      </c>
      <c r="O100" s="85">
        <v>55</v>
      </c>
      <c r="P100" s="86">
        <v>1.9506288140723048E-3</v>
      </c>
      <c r="Q100" s="86">
        <v>7.8361676522828771E-2</v>
      </c>
      <c r="R100" s="79">
        <f t="shared" si="37"/>
        <v>7.2687830930200168E-4</v>
      </c>
      <c r="S100" s="79">
        <f t="shared" si="38"/>
        <v>1.9506288140723048E-3</v>
      </c>
      <c r="T100" s="79">
        <f t="shared" si="39"/>
        <v>0</v>
      </c>
      <c r="U100" s="80">
        <f t="shared" si="40"/>
        <v>7.6792790252552898E-4</v>
      </c>
      <c r="V100" s="81">
        <f t="shared" si="41"/>
        <v>2.0993882310413881E-3</v>
      </c>
    </row>
    <row r="101" spans="1:28">
      <c r="A101" s="170">
        <v>90</v>
      </c>
      <c r="B101" s="168" t="s">
        <v>156</v>
      </c>
      <c r="C101" s="169" t="s">
        <v>111</v>
      </c>
      <c r="D101" s="51">
        <v>253840783.06</v>
      </c>
      <c r="E101" s="52">
        <f t="shared" si="35"/>
        <v>1.1983961611667861E-3</v>
      </c>
      <c r="F101" s="51">
        <v>1.07</v>
      </c>
      <c r="G101" s="51">
        <v>1.07</v>
      </c>
      <c r="H101" s="54">
        <v>359</v>
      </c>
      <c r="I101" s="73">
        <v>1.4206E-2</v>
      </c>
      <c r="J101" s="73">
        <v>2.9426999999999998E-2</v>
      </c>
      <c r="K101" s="51">
        <v>253366759.81999999</v>
      </c>
      <c r="L101" s="52">
        <f t="shared" si="36"/>
        <v>1.2637414184772349E-3</v>
      </c>
      <c r="M101" s="51">
        <v>1.07</v>
      </c>
      <c r="N101" s="51">
        <v>1.07</v>
      </c>
      <c r="O101" s="54">
        <v>363</v>
      </c>
      <c r="P101" s="73">
        <v>-5.8529999999999997E-3</v>
      </c>
      <c r="Q101" s="73">
        <v>2.4416E-2</v>
      </c>
      <c r="R101" s="79">
        <f t="shared" si="37"/>
        <v>-1.8674037886495382E-3</v>
      </c>
      <c r="S101" s="79">
        <f t="shared" si="38"/>
        <v>0</v>
      </c>
      <c r="T101" s="79">
        <f t="shared" si="39"/>
        <v>1.1142061281337047E-2</v>
      </c>
      <c r="U101" s="80">
        <f t="shared" si="40"/>
        <v>-2.0059E-2</v>
      </c>
      <c r="V101" s="81">
        <f t="shared" si="41"/>
        <v>-5.0109999999999981E-3</v>
      </c>
    </row>
    <row r="102" spans="1:28">
      <c r="A102" s="170">
        <v>91</v>
      </c>
      <c r="B102" s="168" t="s">
        <v>157</v>
      </c>
      <c r="C102" s="169" t="s">
        <v>113</v>
      </c>
      <c r="D102" s="51">
        <v>2093448551.5599999</v>
      </c>
      <c r="E102" s="52">
        <f t="shared" si="35"/>
        <v>9.8832846225370939E-3</v>
      </c>
      <c r="F102" s="83">
        <v>27.846299999999999</v>
      </c>
      <c r="G102" s="83">
        <v>27.846299999999999</v>
      </c>
      <c r="H102" s="54">
        <v>1300</v>
      </c>
      <c r="I102" s="73">
        <v>0.11260000000000001</v>
      </c>
      <c r="J102" s="73">
        <v>0.11260000000000001</v>
      </c>
      <c r="K102" s="51">
        <v>2093639200.6199999</v>
      </c>
      <c r="L102" s="52">
        <f t="shared" si="36"/>
        <v>1.0442642811751387E-2</v>
      </c>
      <c r="M102" s="83">
        <v>27.893699999999999</v>
      </c>
      <c r="N102" s="83">
        <v>27.893699999999999</v>
      </c>
      <c r="O102" s="54">
        <v>1298</v>
      </c>
      <c r="P102" s="73">
        <v>0.1145</v>
      </c>
      <c r="Q102" s="73">
        <v>0.1145</v>
      </c>
      <c r="R102" s="79">
        <f t="shared" si="29"/>
        <v>9.1069379210620944E-5</v>
      </c>
      <c r="S102" s="79">
        <f t="shared" si="30"/>
        <v>1.7022010105471701E-3</v>
      </c>
      <c r="T102" s="79">
        <f t="shared" si="31"/>
        <v>-1.5384615384615385E-3</v>
      </c>
      <c r="U102" s="80">
        <f t="shared" si="32"/>
        <v>1.8999999999999989E-3</v>
      </c>
      <c r="V102" s="81">
        <f t="shared" si="33"/>
        <v>1.8999999999999989E-3</v>
      </c>
    </row>
    <row r="103" spans="1:28">
      <c r="A103" s="58"/>
      <c r="B103" s="59"/>
      <c r="C103" s="60" t="s">
        <v>53</v>
      </c>
      <c r="D103" s="71">
        <f>SUM(D67:D102)</f>
        <v>211817086273.75339</v>
      </c>
      <c r="E103" s="62">
        <f>(D103/$D$207)</f>
        <v>5.5011961507494253E-2</v>
      </c>
      <c r="F103" s="63"/>
      <c r="G103" s="68"/>
      <c r="H103" s="65">
        <f>SUM(H67:H102)</f>
        <v>50328</v>
      </c>
      <c r="I103" s="76"/>
      <c r="J103" s="76"/>
      <c r="K103" s="71">
        <f>SUM(K67:K102)</f>
        <v>200489400850.13455</v>
      </c>
      <c r="L103" s="62">
        <f>(K103/$K$207)</f>
        <v>5.3208932893552302E-2</v>
      </c>
      <c r="M103" s="63"/>
      <c r="N103" s="68"/>
      <c r="O103" s="65">
        <f>SUM(O67:O102)</f>
        <v>50479</v>
      </c>
      <c r="P103" s="76"/>
      <c r="Q103" s="76"/>
      <c r="R103" s="79">
        <f t="shared" si="29"/>
        <v>-5.3478619798305045E-2</v>
      </c>
      <c r="S103" s="79" t="e">
        <f t="shared" si="30"/>
        <v>#DIV/0!</v>
      </c>
      <c r="T103" s="79">
        <f t="shared" si="31"/>
        <v>3.0003179144810046E-3</v>
      </c>
      <c r="U103" s="80">
        <f t="shared" si="32"/>
        <v>0</v>
      </c>
      <c r="V103" s="81">
        <f t="shared" si="33"/>
        <v>0</v>
      </c>
    </row>
    <row r="104" spans="1:28" ht="3.75" customHeight="1">
      <c r="A104" s="58"/>
      <c r="B104" s="178"/>
      <c r="C104" s="178"/>
      <c r="D104" s="178"/>
      <c r="E104" s="178"/>
      <c r="F104" s="178"/>
      <c r="G104" s="178"/>
      <c r="H104" s="178"/>
      <c r="I104" s="178"/>
      <c r="J104" s="178"/>
      <c r="K104" s="178"/>
      <c r="L104" s="178"/>
      <c r="M104" s="178"/>
      <c r="N104" s="178"/>
      <c r="O104" s="178"/>
      <c r="P104" s="178"/>
      <c r="Q104" s="178"/>
      <c r="R104" s="178"/>
      <c r="S104" s="178"/>
      <c r="T104" s="178"/>
      <c r="U104" s="178"/>
      <c r="V104" s="178"/>
    </row>
    <row r="105" spans="1:28" ht="15" customHeight="1">
      <c r="A105" s="177" t="s">
        <v>158</v>
      </c>
      <c r="B105" s="177"/>
      <c r="C105" s="177"/>
      <c r="D105" s="177"/>
      <c r="E105" s="177"/>
      <c r="F105" s="177"/>
      <c r="G105" s="177"/>
      <c r="H105" s="177"/>
      <c r="I105" s="177"/>
      <c r="J105" s="177"/>
      <c r="K105" s="177"/>
      <c r="L105" s="177"/>
      <c r="M105" s="177"/>
      <c r="N105" s="177"/>
      <c r="O105" s="177"/>
      <c r="P105" s="177"/>
      <c r="Q105" s="177"/>
      <c r="R105" s="177"/>
      <c r="S105" s="177"/>
      <c r="T105" s="177"/>
      <c r="U105" s="177"/>
      <c r="V105" s="177"/>
    </row>
    <row r="106" spans="1:28">
      <c r="A106" s="179" t="s">
        <v>159</v>
      </c>
      <c r="B106" s="179"/>
      <c r="C106" s="179"/>
      <c r="D106" s="179"/>
      <c r="E106" s="179"/>
      <c r="F106" s="179"/>
      <c r="G106" s="179"/>
      <c r="H106" s="179"/>
      <c r="I106" s="179"/>
      <c r="J106" s="179"/>
      <c r="K106" s="179"/>
      <c r="L106" s="179"/>
      <c r="M106" s="179"/>
      <c r="N106" s="179"/>
      <c r="O106" s="179"/>
      <c r="P106" s="179"/>
      <c r="Q106" s="179"/>
      <c r="R106" s="179"/>
      <c r="S106" s="179"/>
      <c r="T106" s="179"/>
      <c r="U106" s="179"/>
      <c r="V106" s="179"/>
      <c r="Z106" s="89"/>
      <c r="AB106" s="92"/>
    </row>
    <row r="107" spans="1:28" ht="16.5" customHeight="1">
      <c r="A107" s="170">
        <v>92</v>
      </c>
      <c r="B107" s="168" t="s">
        <v>160</v>
      </c>
      <c r="C107" s="169" t="s">
        <v>19</v>
      </c>
      <c r="D107" s="51">
        <f>1755002.78*1663.896</f>
        <v>2920142105.6308799</v>
      </c>
      <c r="E107" s="52">
        <f>(D107/$D$137)</f>
        <v>1.6063917513774557E-3</v>
      </c>
      <c r="F107" s="51">
        <f>111.4963*1663.896</f>
        <v>185518.2475848</v>
      </c>
      <c r="G107" s="51">
        <f>111.4963*1663.896</f>
        <v>185518.2475848</v>
      </c>
      <c r="H107" s="54">
        <v>251</v>
      </c>
      <c r="I107" s="73">
        <v>1E-3</v>
      </c>
      <c r="J107" s="73">
        <v>5.2299999999999999E-2</v>
      </c>
      <c r="K107" s="51">
        <f>1756748.98*1610.917</f>
        <v>2829976796.6146598</v>
      </c>
      <c r="L107" s="52">
        <f t="shared" ref="L107:L119" si="42">(K107/$K$137)</f>
        <v>1.6441620614564766E-3</v>
      </c>
      <c r="M107" s="51">
        <f>111.633*1610.917</f>
        <v>179831.49746099999</v>
      </c>
      <c r="N107" s="51">
        <f>111.633*1610.917</f>
        <v>179831.49746099999</v>
      </c>
      <c r="O107" s="54">
        <v>251</v>
      </c>
      <c r="P107" s="73">
        <v>1.1999999999999999E-3</v>
      </c>
      <c r="Q107" s="73">
        <v>5.3600000000000002E-2</v>
      </c>
      <c r="R107" s="80">
        <f>((K107-D107)/D107)</f>
        <v>-3.0877027813939348E-2</v>
      </c>
      <c r="S107" s="80">
        <f>((N107-G107)/G107)</f>
        <v>-3.0653319540443643E-2</v>
      </c>
      <c r="T107" s="80">
        <f>((O107-H107)/H107)</f>
        <v>0</v>
      </c>
      <c r="U107" s="80">
        <f>P107-I107</f>
        <v>1.9999999999999987E-4</v>
      </c>
      <c r="V107" s="81">
        <f>Q107-J107</f>
        <v>1.3000000000000025E-3</v>
      </c>
      <c r="X107" s="89"/>
      <c r="Y107" s="93"/>
      <c r="Z107" s="89"/>
      <c r="AA107" s="94"/>
    </row>
    <row r="108" spans="1:28" ht="16.5" customHeight="1">
      <c r="A108" s="170">
        <v>93</v>
      </c>
      <c r="B108" s="168" t="s">
        <v>161</v>
      </c>
      <c r="C108" s="169" t="s">
        <v>57</v>
      </c>
      <c r="D108" s="51">
        <f>1199576.42*1663.896</f>
        <v>1995970406.9323199</v>
      </c>
      <c r="E108" s="52">
        <f>(D108/$D$137)</f>
        <v>1.09799807054146E-3</v>
      </c>
      <c r="F108" s="51">
        <f>100*1663.896</f>
        <v>166389.6</v>
      </c>
      <c r="G108" s="51">
        <f>100*1663.896</f>
        <v>166389.6</v>
      </c>
      <c r="H108" s="54">
        <v>32</v>
      </c>
      <c r="I108" s="73">
        <v>1.2825E-2</v>
      </c>
      <c r="J108" s="73">
        <v>8.4501000000000007E-2</v>
      </c>
      <c r="K108" s="51">
        <f>1436557.3*1610.917</f>
        <v>2314174576.0440998</v>
      </c>
      <c r="L108" s="52">
        <f t="shared" si="42"/>
        <v>1.344490896911379E-3</v>
      </c>
      <c r="M108" s="51">
        <f>100*1610.917</f>
        <v>161091.69999999998</v>
      </c>
      <c r="N108" s="51">
        <f>100*1610.917</f>
        <v>161091.69999999998</v>
      </c>
      <c r="O108" s="54">
        <v>34</v>
      </c>
      <c r="P108" s="73">
        <v>-1.4057999999999999E-2</v>
      </c>
      <c r="Q108" s="73">
        <v>5.7618000000000003E-2</v>
      </c>
      <c r="R108" s="80">
        <f>((K108-D108)/D108)</f>
        <v>0.15942329004809225</v>
      </c>
      <c r="S108" s="80">
        <f>((N108-G108)/G108)</f>
        <v>-3.1840331366864413E-2</v>
      </c>
      <c r="T108" s="80">
        <f>((O108-H108)/H108)</f>
        <v>6.25E-2</v>
      </c>
      <c r="U108" s="80">
        <f>P108-I108</f>
        <v>-2.6882999999999997E-2</v>
      </c>
      <c r="V108" s="81">
        <f>Q108-J108</f>
        <v>-2.6883000000000004E-2</v>
      </c>
      <c r="X108" s="89"/>
      <c r="Y108" s="93"/>
      <c r="Z108" s="89"/>
      <c r="AA108" s="94"/>
    </row>
    <row r="109" spans="1:28">
      <c r="A109" s="170">
        <v>94</v>
      </c>
      <c r="B109" s="168" t="s">
        <v>162</v>
      </c>
      <c r="C109" s="169" t="s">
        <v>23</v>
      </c>
      <c r="D109" s="51">
        <f>9703951.67*1708.91</f>
        <v>16583180048.379702</v>
      </c>
      <c r="E109" s="52">
        <f>(D109/$D$137)</f>
        <v>9.1225298898832633E-3</v>
      </c>
      <c r="F109" s="51">
        <f>1.1552*1708.91</f>
        <v>1974.132832</v>
      </c>
      <c r="G109" s="51">
        <f>1.1552*1708.91</f>
        <v>1974.132832</v>
      </c>
      <c r="H109" s="54">
        <v>300</v>
      </c>
      <c r="I109" s="73">
        <v>4.9799999999999997E-2</v>
      </c>
      <c r="J109" s="73">
        <v>-1.9300000000000001E-2</v>
      </c>
      <c r="K109" s="51">
        <f>9785371.86*1579.13</f>
        <v>15452374265.281799</v>
      </c>
      <c r="L109" s="52">
        <f t="shared" si="42"/>
        <v>8.9775320973637419E-3</v>
      </c>
      <c r="M109" s="51">
        <f>1.1611*1579.13</f>
        <v>1833.5278430000001</v>
      </c>
      <c r="N109" s="51">
        <f>1.1611*1579.13</f>
        <v>1833.5278430000001</v>
      </c>
      <c r="O109" s="54">
        <v>300</v>
      </c>
      <c r="P109" s="73">
        <v>0.26700000000000002</v>
      </c>
      <c r="Q109" s="73">
        <v>-1.35E-2</v>
      </c>
      <c r="R109" s="80">
        <f t="shared" ref="R109:R119" si="43">((K109-D109)/D109)</f>
        <v>-6.8189923754002194E-2</v>
      </c>
      <c r="S109" s="80">
        <f t="shared" ref="S109:S119" si="44">((N109-G109)/G109)</f>
        <v>-7.1223671842564201E-2</v>
      </c>
      <c r="T109" s="80">
        <f t="shared" ref="T109:T119" si="45">((O109-H109)/H109)</f>
        <v>0</v>
      </c>
      <c r="U109" s="80">
        <f t="shared" ref="U109:U119" si="46">P109-I109</f>
        <v>0.2172</v>
      </c>
      <c r="V109" s="81">
        <f t="shared" ref="V109:V119" si="47">Q109-J109</f>
        <v>5.8000000000000013E-3</v>
      </c>
    </row>
    <row r="110" spans="1:28">
      <c r="A110" s="170">
        <v>95</v>
      </c>
      <c r="B110" s="168" t="s">
        <v>163</v>
      </c>
      <c r="C110" s="169" t="s">
        <v>27</v>
      </c>
      <c r="D110" s="51">
        <f>2981948.96*1663.896</f>
        <v>4961652946.7481594</v>
      </c>
      <c r="E110" s="52">
        <f>(D110/$D$137)</f>
        <v>2.7294419512957024E-3</v>
      </c>
      <c r="F110" s="51">
        <f>1.06101*1663.896</f>
        <v>1765.4102949599999</v>
      </c>
      <c r="G110" s="51">
        <f>1.06101*1663.896</f>
        <v>1765.4102949599999</v>
      </c>
      <c r="H110" s="54">
        <v>281</v>
      </c>
      <c r="I110" s="73">
        <v>1.1999999999999999E-3</v>
      </c>
      <c r="J110" s="73">
        <v>6.13E-2</v>
      </c>
      <c r="K110" s="51">
        <f>3023693.76*1533.76</f>
        <v>4637620541.3375998</v>
      </c>
      <c r="L110" s="52">
        <f t="shared" si="42"/>
        <v>2.6943682925668799E-3</v>
      </c>
      <c r="M110" s="51">
        <f>1.0626*1533.76</f>
        <v>1629.7733759999999</v>
      </c>
      <c r="N110" s="51">
        <f>1.0626*1533.76</f>
        <v>1629.7733759999999</v>
      </c>
      <c r="O110" s="54">
        <v>287</v>
      </c>
      <c r="P110" s="73">
        <v>1.1999999999999999E-3</v>
      </c>
      <c r="Q110" s="73">
        <v>6.2600000000000003E-2</v>
      </c>
      <c r="R110" s="80">
        <f t="shared" si="43"/>
        <v>-6.5307349967499997E-2</v>
      </c>
      <c r="S110" s="80">
        <f t="shared" ref="S110:T113" si="48">((N110-G110)/G110)</f>
        <v>-7.6830252631484297E-2</v>
      </c>
      <c r="T110" s="80">
        <f t="shared" si="48"/>
        <v>2.1352313167259787E-2</v>
      </c>
      <c r="U110" s="80">
        <f t="shared" si="46"/>
        <v>0</v>
      </c>
      <c r="V110" s="81">
        <f t="shared" si="47"/>
        <v>1.3000000000000025E-3</v>
      </c>
    </row>
    <row r="111" spans="1:28">
      <c r="A111" s="170">
        <v>96</v>
      </c>
      <c r="B111" s="168" t="s">
        <v>164</v>
      </c>
      <c r="C111" s="169" t="s">
        <v>63</v>
      </c>
      <c r="D111" s="51">
        <f>374532.47*1663.896</f>
        <v>623183078.70311999</v>
      </c>
      <c r="E111" s="52">
        <f>(D111/$D$137)</f>
        <v>3.4281761675102556E-4</v>
      </c>
      <c r="F111" s="51">
        <f>1.06*1663.896</f>
        <v>1763.7297599999999</v>
      </c>
      <c r="G111" s="51">
        <f>1.07*1663.896</f>
        <v>1780.3687200000002</v>
      </c>
      <c r="H111" s="54">
        <v>18</v>
      </c>
      <c r="I111" s="73">
        <v>0.29799999999999999</v>
      </c>
      <c r="J111" s="73">
        <v>5.5E-2</v>
      </c>
      <c r="K111" s="51">
        <f>401610.2*1533.76</f>
        <v>615973660.352</v>
      </c>
      <c r="L111" s="52">
        <f t="shared" si="42"/>
        <v>3.5786884345438583E-4</v>
      </c>
      <c r="M111" s="51">
        <f>1.06*1533.76</f>
        <v>1625.7856000000002</v>
      </c>
      <c r="N111" s="51">
        <f>1.07*1533.76</f>
        <v>1641.1232</v>
      </c>
      <c r="O111" s="54">
        <v>18</v>
      </c>
      <c r="P111" s="73">
        <v>0.247</v>
      </c>
      <c r="Q111" s="73">
        <v>5.5E-2</v>
      </c>
      <c r="R111" s="80">
        <f t="shared" si="43"/>
        <v>-1.1568700430896185E-2</v>
      </c>
      <c r="S111" s="80">
        <f t="shared" si="48"/>
        <v>-7.8211618995418064E-2</v>
      </c>
      <c r="T111" s="80">
        <f t="shared" si="48"/>
        <v>0</v>
      </c>
      <c r="U111" s="80">
        <f t="shared" si="46"/>
        <v>-5.099999999999999E-2</v>
      </c>
      <c r="V111" s="81">
        <f t="shared" si="47"/>
        <v>0</v>
      </c>
    </row>
    <row r="112" spans="1:28">
      <c r="A112" s="170">
        <v>97</v>
      </c>
      <c r="B112" s="168" t="s">
        <v>165</v>
      </c>
      <c r="C112" s="169" t="s">
        <v>29</v>
      </c>
      <c r="D112" s="51">
        <f>400277.35*1663.896</f>
        <v>666019881.55559993</v>
      </c>
      <c r="E112" s="52">
        <v>0</v>
      </c>
      <c r="F112" s="51">
        <f>1.1836*1663.896</f>
        <v>1969.3873056</v>
      </c>
      <c r="G112" s="51">
        <f>1.1836*1663.896</f>
        <v>1969.3873056</v>
      </c>
      <c r="H112" s="54">
        <v>45</v>
      </c>
      <c r="I112" s="73">
        <v>1.6899999999999999E-4</v>
      </c>
      <c r="J112" s="73">
        <v>9.35E-2</v>
      </c>
      <c r="K112" s="51">
        <f>400277.35*1533.76</f>
        <v>613929388.33599997</v>
      </c>
      <c r="L112" s="52">
        <f t="shared" si="42"/>
        <v>3.5668116075111237E-4</v>
      </c>
      <c r="M112" s="51">
        <f>1.1854*1533.76</f>
        <v>1818.1191040000001</v>
      </c>
      <c r="N112" s="51">
        <f>1.1854*1533.76</f>
        <v>1818.1191040000001</v>
      </c>
      <c r="O112" s="54">
        <v>38</v>
      </c>
      <c r="P112" s="73">
        <v>2.53E-2</v>
      </c>
      <c r="Q112" s="73">
        <v>9.3600000000000003E-2</v>
      </c>
      <c r="R112" s="80">
        <f t="shared" si="43"/>
        <v>-7.8211618995417939E-2</v>
      </c>
      <c r="S112" s="80">
        <f t="shared" si="48"/>
        <v>-7.6809777929341336E-2</v>
      </c>
      <c r="T112" s="80">
        <f t="shared" si="48"/>
        <v>-0.15555555555555556</v>
      </c>
      <c r="U112" s="80">
        <f t="shared" si="46"/>
        <v>2.5131000000000001E-2</v>
      </c>
      <c r="V112" s="81">
        <f t="shared" si="47"/>
        <v>1.0000000000000286E-4</v>
      </c>
    </row>
    <row r="113" spans="1:24">
      <c r="A113" s="170">
        <v>98</v>
      </c>
      <c r="B113" s="168" t="s">
        <v>166</v>
      </c>
      <c r="C113" s="169" t="s">
        <v>73</v>
      </c>
      <c r="D113" s="51">
        <f>410813.7*1663.896</f>
        <v>683551272.17519999</v>
      </c>
      <c r="E113" s="52">
        <f t="shared" ref="E113:E119" si="49">(D113/$D$137)</f>
        <v>3.7602660608483635E-4</v>
      </c>
      <c r="F113" s="151">
        <f>106.83*1663.896</f>
        <v>177754.00967999999</v>
      </c>
      <c r="G113" s="151">
        <f>108.43*1663.896</f>
        <v>180416.24328</v>
      </c>
      <c r="H113" s="54">
        <v>44</v>
      </c>
      <c r="I113" s="73">
        <v>1.2999999999999999E-3</v>
      </c>
      <c r="J113" s="73">
        <v>7.3300000000000004E-2</v>
      </c>
      <c r="K113" s="51">
        <f>411060.9*1533.76</f>
        <v>630468765.98400009</v>
      </c>
      <c r="L113" s="52">
        <f t="shared" si="42"/>
        <v>3.6629022089657823E-4</v>
      </c>
      <c r="M113" s="151">
        <f>106.89*1533.76</f>
        <v>163943.60639999999</v>
      </c>
      <c r="N113" s="151">
        <f>108.56*1533.76</f>
        <v>166504.98560000001</v>
      </c>
      <c r="O113" s="54">
        <v>45</v>
      </c>
      <c r="P113" s="73">
        <v>1.1000000000000001E-3</v>
      </c>
      <c r="Q113" s="73">
        <v>7.4200000000000002E-2</v>
      </c>
      <c r="R113" s="80">
        <f t="shared" si="43"/>
        <v>-7.7656948866879447E-2</v>
      </c>
      <c r="S113" s="80">
        <f t="shared" si="48"/>
        <v>-7.7106459080905326E-2</v>
      </c>
      <c r="T113" s="80">
        <f t="shared" si="48"/>
        <v>2.2727272727272728E-2</v>
      </c>
      <c r="U113" s="80">
        <f t="shared" si="46"/>
        <v>-1.9999999999999987E-4</v>
      </c>
      <c r="V113" s="81">
        <f t="shared" si="47"/>
        <v>8.9999999999999802E-4</v>
      </c>
    </row>
    <row r="114" spans="1:24">
      <c r="A114" s="170">
        <v>99</v>
      </c>
      <c r="B114" s="168" t="s">
        <v>167</v>
      </c>
      <c r="C114" s="169" t="s">
        <v>76</v>
      </c>
      <c r="D114" s="51">
        <v>5318631201.2527199</v>
      </c>
      <c r="E114" s="52">
        <f t="shared" si="49"/>
        <v>2.9258183270725784E-3</v>
      </c>
      <c r="F114" s="51">
        <v>184230.3920808</v>
      </c>
      <c r="G114" s="51">
        <v>184230.3920808</v>
      </c>
      <c r="H114" s="54">
        <v>55</v>
      </c>
      <c r="I114" s="73" t="s">
        <v>295</v>
      </c>
      <c r="J114" s="73">
        <v>6.7000000000000004E-2</v>
      </c>
      <c r="K114" s="51">
        <v>4906292025.9679995</v>
      </c>
      <c r="L114" s="52">
        <f t="shared" si="42"/>
        <v>2.8504612550791231E-3</v>
      </c>
      <c r="M114" s="51">
        <v>169947.50992000001</v>
      </c>
      <c r="N114" s="51">
        <v>169947.50992000001</v>
      </c>
      <c r="O114" s="54">
        <v>55</v>
      </c>
      <c r="P114" s="73" t="s">
        <v>300</v>
      </c>
      <c r="Q114" s="73">
        <v>6.6400000000000001E-2</v>
      </c>
      <c r="R114" s="80">
        <f t="shared" si="43"/>
        <v>-7.7527311009569611E-2</v>
      </c>
      <c r="S114" s="80">
        <f t="shared" si="44"/>
        <v>-7.7527285262117773E-2</v>
      </c>
      <c r="T114" s="80">
        <f t="shared" si="45"/>
        <v>0</v>
      </c>
      <c r="U114" s="80">
        <f t="shared" si="46"/>
        <v>-5.0000000000000001E-4</v>
      </c>
      <c r="V114" s="81">
        <f t="shared" si="47"/>
        <v>-6.0000000000000331E-4</v>
      </c>
      <c r="X114" s="90"/>
    </row>
    <row r="115" spans="1:24">
      <c r="A115" s="170">
        <v>100</v>
      </c>
      <c r="B115" s="168" t="s">
        <v>168</v>
      </c>
      <c r="C115" s="169" t="s">
        <v>31</v>
      </c>
      <c r="D115" s="151">
        <v>56842782571.449997</v>
      </c>
      <c r="E115" s="52">
        <f t="shared" si="49"/>
        <v>3.1269634745529649E-2</v>
      </c>
      <c r="F115" s="51">
        <v>209939.32</v>
      </c>
      <c r="G115" s="51">
        <v>209939.32</v>
      </c>
      <c r="H115" s="54">
        <v>2239</v>
      </c>
      <c r="I115" s="73">
        <v>1.5E-3</v>
      </c>
      <c r="J115" s="73">
        <v>7.1800000000000003E-2</v>
      </c>
      <c r="K115" s="151">
        <v>52822962131.239998</v>
      </c>
      <c r="L115" s="52">
        <f t="shared" si="42"/>
        <v>3.0689124523504956E-2</v>
      </c>
      <c r="M115" s="51">
        <v>195149.25</v>
      </c>
      <c r="N115" s="51">
        <v>195149.25</v>
      </c>
      <c r="O115" s="54">
        <v>2244</v>
      </c>
      <c r="P115" s="73">
        <v>1.5E-3</v>
      </c>
      <c r="Q115" s="73">
        <v>7.3400000000000007E-2</v>
      </c>
      <c r="R115" s="80">
        <f t="shared" si="43"/>
        <v>-7.0718220649335431E-2</v>
      </c>
      <c r="S115" s="80">
        <f t="shared" si="44"/>
        <v>-7.0449261243677494E-2</v>
      </c>
      <c r="T115" s="80">
        <f t="shared" si="45"/>
        <v>2.2331397945511387E-3</v>
      </c>
      <c r="U115" s="80">
        <f t="shared" si="46"/>
        <v>0</v>
      </c>
      <c r="V115" s="81">
        <f t="shared" si="47"/>
        <v>1.6000000000000042E-3</v>
      </c>
    </row>
    <row r="116" spans="1:24">
      <c r="A116" s="170">
        <v>101</v>
      </c>
      <c r="B116" s="171" t="s">
        <v>169</v>
      </c>
      <c r="C116" s="171" t="s">
        <v>31</v>
      </c>
      <c r="D116" s="51">
        <v>106288355040.00999</v>
      </c>
      <c r="E116" s="52">
        <f t="shared" si="49"/>
        <v>5.847000955005336E-2</v>
      </c>
      <c r="F116" s="51">
        <v>197076.34</v>
      </c>
      <c r="G116" s="51">
        <v>197076.34</v>
      </c>
      <c r="H116" s="54">
        <v>599</v>
      </c>
      <c r="I116" s="73">
        <v>1.8E-3</v>
      </c>
      <c r="J116" s="73">
        <v>8.6699999999999999E-2</v>
      </c>
      <c r="K116" s="51">
        <v>98912182358.389999</v>
      </c>
      <c r="L116" s="52">
        <f t="shared" si="42"/>
        <v>5.7466074578445894E-2</v>
      </c>
      <c r="M116" s="51">
        <v>183241.57</v>
      </c>
      <c r="N116" s="51">
        <v>183241.57</v>
      </c>
      <c r="O116" s="54">
        <v>607</v>
      </c>
      <c r="P116" s="73">
        <v>1.8E-3</v>
      </c>
      <c r="Q116" s="73">
        <v>8.7800000000000003E-2</v>
      </c>
      <c r="R116" s="80">
        <f t="shared" si="43"/>
        <v>-6.9397749911957823E-2</v>
      </c>
      <c r="S116" s="80">
        <f t="shared" si="44"/>
        <v>-7.020005547089006E-2</v>
      </c>
      <c r="T116" s="80">
        <f t="shared" si="45"/>
        <v>1.335559265442404E-2</v>
      </c>
      <c r="U116" s="80">
        <f t="shared" si="46"/>
        <v>0</v>
      </c>
      <c r="V116" s="81">
        <f t="shared" si="47"/>
        <v>1.1000000000000038E-3</v>
      </c>
    </row>
    <row r="117" spans="1:24">
      <c r="A117" s="170">
        <v>102</v>
      </c>
      <c r="B117" s="168" t="s">
        <v>170</v>
      </c>
      <c r="C117" s="169" t="s">
        <v>35</v>
      </c>
      <c r="D117" s="51">
        <f>129801.99*1663.896</f>
        <v>215977011.95304</v>
      </c>
      <c r="E117" s="52">
        <f t="shared" si="49"/>
        <v>1.1881055028777732E-4</v>
      </c>
      <c r="F117" s="51">
        <f>113.37*1663.896</f>
        <v>188635.88952</v>
      </c>
      <c r="G117" s="51">
        <f>113.37*1663.896</f>
        <v>188635.88952</v>
      </c>
      <c r="H117" s="54">
        <v>4</v>
      </c>
      <c r="I117" s="73">
        <v>2.5999999999999999E-3</v>
      </c>
      <c r="J117" s="73">
        <v>-1.0699999999999999E-2</v>
      </c>
      <c r="K117" s="51">
        <f>129801.99*1533.76</f>
        <v>199085100.18240002</v>
      </c>
      <c r="L117" s="52">
        <f t="shared" si="42"/>
        <v>1.1566461220202514E-4</v>
      </c>
      <c r="M117" s="51">
        <f>113.37*1533.76</f>
        <v>173882.37119999999</v>
      </c>
      <c r="N117" s="51">
        <f>113.37*1533.76</f>
        <v>173882.37119999999</v>
      </c>
      <c r="O117" s="54">
        <v>4</v>
      </c>
      <c r="P117" s="73">
        <v>2.5999999999999999E-3</v>
      </c>
      <c r="Q117" s="73">
        <v>-1.0699999999999999E-2</v>
      </c>
      <c r="R117" s="80">
        <f t="shared" si="43"/>
        <v>-7.8211618995417911E-2</v>
      </c>
      <c r="S117" s="80">
        <f t="shared" si="44"/>
        <v>-7.8211618995417995E-2</v>
      </c>
      <c r="T117" s="80">
        <f t="shared" si="45"/>
        <v>0</v>
      </c>
      <c r="U117" s="80">
        <f t="shared" si="46"/>
        <v>0</v>
      </c>
      <c r="V117" s="81">
        <f t="shared" si="47"/>
        <v>0</v>
      </c>
    </row>
    <row r="118" spans="1:24">
      <c r="A118" s="170">
        <v>103</v>
      </c>
      <c r="B118" s="168" t="s">
        <v>171</v>
      </c>
      <c r="C118" s="169" t="s">
        <v>41</v>
      </c>
      <c r="D118" s="51">
        <f>10409701.07*1663.896</f>
        <v>17320659971.568722</v>
      </c>
      <c r="E118" s="52">
        <f t="shared" si="49"/>
        <v>9.5282230454091232E-3</v>
      </c>
      <c r="F118" s="51">
        <f>1.38*1663.896</f>
        <v>2296.1764799999996</v>
      </c>
      <c r="G118" s="51">
        <f>1.38*1663.896</f>
        <v>2296.1764799999996</v>
      </c>
      <c r="H118" s="69">
        <v>111</v>
      </c>
      <c r="I118" s="76">
        <v>8.9999999999999998E-4</v>
      </c>
      <c r="J118" s="76">
        <v>4.3499999999999997E-2</v>
      </c>
      <c r="K118" s="51">
        <f>10417394.58*1610.917</f>
        <v>16781558024.62986</v>
      </c>
      <c r="L118" s="52">
        <f t="shared" si="42"/>
        <v>9.7497622839993504E-3</v>
      </c>
      <c r="M118" s="51">
        <f>1.38*1610.917</f>
        <v>2223.0654599999998</v>
      </c>
      <c r="N118" s="51">
        <f>1.38*1610.917</f>
        <v>2223.0654599999998</v>
      </c>
      <c r="O118" s="69">
        <v>111</v>
      </c>
      <c r="P118" s="76">
        <v>8.9999999999999998E-4</v>
      </c>
      <c r="Q118" s="76">
        <v>4.4499999999999998E-2</v>
      </c>
      <c r="R118" s="80">
        <f t="shared" si="43"/>
        <v>-3.1124792463092021E-2</v>
      </c>
      <c r="S118" s="80">
        <f t="shared" si="44"/>
        <v>-3.1840331366864205E-2</v>
      </c>
      <c r="T118" s="80">
        <f t="shared" si="45"/>
        <v>0</v>
      </c>
      <c r="U118" s="80">
        <f t="shared" si="46"/>
        <v>0</v>
      </c>
      <c r="V118" s="81">
        <f t="shared" si="47"/>
        <v>1.0000000000000009E-3</v>
      </c>
    </row>
    <row r="119" spans="1:24">
      <c r="A119" s="170">
        <v>104</v>
      </c>
      <c r="B119" s="168" t="s">
        <v>172</v>
      </c>
      <c r="C119" s="169" t="s">
        <v>90</v>
      </c>
      <c r="D119" s="51">
        <f>18343600.07*1663.896</f>
        <v>30521842782.07272</v>
      </c>
      <c r="E119" s="52">
        <f t="shared" si="49"/>
        <v>1.6790291262681032E-2</v>
      </c>
      <c r="F119" s="51">
        <f>104.6*1663.896</f>
        <v>174043.52159999998</v>
      </c>
      <c r="G119" s="51">
        <f>104.6*1663.896</f>
        <v>174043.52159999998</v>
      </c>
      <c r="H119" s="54">
        <v>459</v>
      </c>
      <c r="I119" s="88">
        <v>1.9E-3</v>
      </c>
      <c r="J119" s="73">
        <v>0.10009999999999999</v>
      </c>
      <c r="K119" s="51">
        <f>18727504.94*1610.917</f>
        <v>30168456075.429981</v>
      </c>
      <c r="L119" s="52">
        <f t="shared" si="42"/>
        <v>1.7527292446805207E-2</v>
      </c>
      <c r="M119" s="51">
        <f>104.81*1610.917</f>
        <v>168840.21077000001</v>
      </c>
      <c r="N119" s="51">
        <f>104.81*1610.917</f>
        <v>168840.21077000001</v>
      </c>
      <c r="O119" s="54">
        <v>467</v>
      </c>
      <c r="P119" s="88">
        <v>2E-3</v>
      </c>
      <c r="Q119" s="73">
        <v>9.3399999999999997E-2</v>
      </c>
      <c r="R119" s="80">
        <f t="shared" si="43"/>
        <v>-1.1578157621934388E-2</v>
      </c>
      <c r="S119" s="80">
        <f t="shared" si="44"/>
        <v>-2.9896607366740238E-2</v>
      </c>
      <c r="T119" s="80">
        <f t="shared" si="45"/>
        <v>1.7429193899782137E-2</v>
      </c>
      <c r="U119" s="80">
        <f t="shared" si="46"/>
        <v>1.0000000000000005E-4</v>
      </c>
      <c r="V119" s="81">
        <f t="shared" si="47"/>
        <v>-6.6999999999999976E-3</v>
      </c>
    </row>
    <row r="120" spans="1:24">
      <c r="A120" s="170">
        <v>105</v>
      </c>
      <c r="B120" s="168" t="s">
        <v>173</v>
      </c>
      <c r="C120" s="169" t="s">
        <v>45</v>
      </c>
      <c r="D120" s="51">
        <f>1933706.74*1663.896</f>
        <v>3217486909.8590398</v>
      </c>
      <c r="E120" s="52">
        <f t="shared" ref="E120:E121" si="50">(D120/$D$137)</f>
        <v>1.7699633254820201E-3</v>
      </c>
      <c r="F120" s="51">
        <f>241.681855*1663.896</f>
        <v>402133.47180708003</v>
      </c>
      <c r="G120" s="51">
        <f>248.195108*1663.896</f>
        <v>412970.847420768</v>
      </c>
      <c r="H120" s="54">
        <v>47</v>
      </c>
      <c r="I120" s="73">
        <v>8.6999999999999994E-3</v>
      </c>
      <c r="J120" s="73">
        <v>0.83440000000000003</v>
      </c>
      <c r="K120" s="51">
        <f>1952528.07*1610.917</f>
        <v>3145360660.9401898</v>
      </c>
      <c r="L120" s="52">
        <f t="shared" ref="L120:L121" si="51">(K120/$K$137)</f>
        <v>1.8273940176830703E-3</v>
      </c>
      <c r="M120" s="51">
        <f>168.054237*1610.917</f>
        <v>270721.42730532901</v>
      </c>
      <c r="N120" s="51">
        <f>172.615016*1610.917</f>
        <v>278068.46372967196</v>
      </c>
      <c r="O120" s="54">
        <v>47</v>
      </c>
      <c r="P120" s="73">
        <v>2.0000000000000001E-4</v>
      </c>
      <c r="Q120" s="73">
        <v>8.9999999999999998E-4</v>
      </c>
      <c r="R120" s="80">
        <f t="shared" ref="R120:R121" si="52">((K120-D120)/D120)</f>
        <v>-2.2416951782411397E-2</v>
      </c>
      <c r="S120" s="80">
        <f t="shared" ref="S120:S121" si="53">((N120-G120)/G120)</f>
        <v>-0.3266632125091547</v>
      </c>
      <c r="T120" s="80">
        <f t="shared" ref="T120:T121" si="54">((O120-H120)/H120)</f>
        <v>0</v>
      </c>
      <c r="U120" s="80">
        <f t="shared" ref="U120:U121" si="55">P120-I120</f>
        <v>-8.4999999999999989E-3</v>
      </c>
      <c r="V120" s="81">
        <f t="shared" ref="V120:V121" si="56">Q120-J120</f>
        <v>-0.83350000000000002</v>
      </c>
    </row>
    <row r="121" spans="1:24">
      <c r="A121" s="170">
        <v>106</v>
      </c>
      <c r="B121" s="168" t="s">
        <v>174</v>
      </c>
      <c r="C121" s="169" t="s">
        <v>52</v>
      </c>
      <c r="D121" s="55">
        <f>129838677.31*1672.69</f>
        <v>217179857149.66391</v>
      </c>
      <c r="E121" s="52">
        <f t="shared" si="50"/>
        <v>0.11947224431914474</v>
      </c>
      <c r="F121" s="51">
        <f>123.6585*1672.69</f>
        <v>206842.33636500002</v>
      </c>
      <c r="G121" s="51">
        <f>123.6585*1672.69</f>
        <v>206842.33636500002</v>
      </c>
      <c r="H121" s="54">
        <v>3389</v>
      </c>
      <c r="I121" s="73">
        <v>5.4600000000000003E-2</v>
      </c>
      <c r="J121" s="73">
        <v>5.2900000000000003E-2</v>
      </c>
      <c r="K121" s="55">
        <f>130037623.43*1552.5</f>
        <v>201883410375.07501</v>
      </c>
      <c r="L121" s="52">
        <f t="shared" si="51"/>
        <v>0.11729037657595462</v>
      </c>
      <c r="M121" s="51">
        <f>123.7845*1552.5</f>
        <v>192175.43625</v>
      </c>
      <c r="N121" s="51">
        <f>123.7845*1552.5</f>
        <v>192175.43625</v>
      </c>
      <c r="O121" s="54">
        <v>3409</v>
      </c>
      <c r="P121" s="73">
        <v>5.45E-2</v>
      </c>
      <c r="Q121" s="73">
        <v>5.2900000000000003E-2</v>
      </c>
      <c r="R121" s="80">
        <f t="shared" si="52"/>
        <v>-7.0432161505879179E-2</v>
      </c>
      <c r="S121" s="80">
        <f t="shared" si="53"/>
        <v>-7.0908598175561055E-2</v>
      </c>
      <c r="T121" s="80">
        <f t="shared" si="54"/>
        <v>5.9014458542342874E-3</v>
      </c>
      <c r="U121" s="80">
        <f t="shared" si="55"/>
        <v>-1.0000000000000286E-4</v>
      </c>
      <c r="V121" s="81">
        <f t="shared" si="56"/>
        <v>0</v>
      </c>
    </row>
    <row r="122" spans="1:24" ht="6" customHeight="1">
      <c r="A122" s="58"/>
      <c r="B122" s="178"/>
      <c r="C122" s="178"/>
      <c r="D122" s="178"/>
      <c r="E122" s="178"/>
      <c r="F122" s="178"/>
      <c r="G122" s="178"/>
      <c r="H122" s="178"/>
      <c r="I122" s="178"/>
      <c r="J122" s="178"/>
      <c r="K122" s="178"/>
      <c r="L122" s="178"/>
      <c r="M122" s="178"/>
      <c r="N122" s="178"/>
      <c r="O122" s="178"/>
      <c r="P122" s="178"/>
      <c r="Q122" s="178"/>
      <c r="R122" s="178"/>
      <c r="S122" s="178"/>
      <c r="T122" s="178"/>
      <c r="U122" s="178"/>
      <c r="V122" s="178"/>
    </row>
    <row r="123" spans="1:24">
      <c r="A123" s="179" t="s">
        <v>175</v>
      </c>
      <c r="B123" s="179"/>
      <c r="C123" s="179"/>
      <c r="D123" s="179"/>
      <c r="E123" s="179"/>
      <c r="F123" s="179"/>
      <c r="G123" s="179"/>
      <c r="H123" s="179"/>
      <c r="I123" s="179"/>
      <c r="J123" s="179"/>
      <c r="K123" s="179"/>
      <c r="L123" s="179"/>
      <c r="M123" s="179"/>
      <c r="N123" s="179"/>
      <c r="O123" s="179"/>
      <c r="P123" s="179"/>
      <c r="Q123" s="179"/>
      <c r="R123" s="179"/>
      <c r="S123" s="179"/>
      <c r="T123" s="179"/>
      <c r="U123" s="179"/>
      <c r="V123" s="179"/>
    </row>
    <row r="124" spans="1:24">
      <c r="A124" s="170">
        <v>107</v>
      </c>
      <c r="B124" s="168" t="s">
        <v>176</v>
      </c>
      <c r="C124" s="169" t="s">
        <v>119</v>
      </c>
      <c r="D124" s="55">
        <f>1168045.12*1663.896</f>
        <v>1943505602.9875202</v>
      </c>
      <c r="E124" s="52">
        <f t="shared" ref="E124:E134" si="57">(D124/$D$137)</f>
        <v>1.069136794190543E-3</v>
      </c>
      <c r="F124" s="51">
        <f>107.6*1663.896</f>
        <v>179035.20959999997</v>
      </c>
      <c r="G124" s="51">
        <f>107.6*1663.896</f>
        <v>179035.20959999997</v>
      </c>
      <c r="H124" s="54">
        <v>21</v>
      </c>
      <c r="I124" s="73">
        <v>4.6690000000000004E-3</v>
      </c>
      <c r="J124" s="73">
        <v>7.9399999999999998E-2</v>
      </c>
      <c r="K124" s="55">
        <f>1180115.45*1533.76</f>
        <v>1810013872.592</v>
      </c>
      <c r="L124" s="52">
        <f t="shared" ref="L124:L136" si="58">(K124/$K$137)</f>
        <v>1.051583229793845E-3</v>
      </c>
      <c r="M124" s="51">
        <f>109.73*1533.76</f>
        <v>168299.48480000001</v>
      </c>
      <c r="N124" s="51">
        <f>109.73*1533.76</f>
        <v>168299.48480000001</v>
      </c>
      <c r="O124" s="54">
        <v>21</v>
      </c>
      <c r="P124" s="73">
        <v>1.9417E-2</v>
      </c>
      <c r="Q124" s="73">
        <v>9.9699999999999997E-2</v>
      </c>
      <c r="R124" s="80">
        <f>((K124-D124)/D124)</f>
        <v>-6.8686053793886287E-2</v>
      </c>
      <c r="S124" s="80">
        <f>((N124-G124)/G124)</f>
        <v>-5.996432111865424E-2</v>
      </c>
      <c r="T124" s="80">
        <f>((O124-H124)/H124)</f>
        <v>0</v>
      </c>
      <c r="U124" s="80">
        <f>P124-I124</f>
        <v>1.4748000000000001E-2</v>
      </c>
      <c r="V124" s="81">
        <f>Q124-J124</f>
        <v>2.0299999999999999E-2</v>
      </c>
    </row>
    <row r="125" spans="1:24">
      <c r="A125" s="170">
        <v>108</v>
      </c>
      <c r="B125" s="169" t="s">
        <v>177</v>
      </c>
      <c r="C125" s="169" t="s">
        <v>25</v>
      </c>
      <c r="D125" s="51">
        <f>11611165.51*1663.896</f>
        <v>19319771847.42696</v>
      </c>
      <c r="E125" s="52">
        <f t="shared" si="57"/>
        <v>1.0627949261221346E-2</v>
      </c>
      <c r="F125" s="55">
        <f>133.09*1663.896</f>
        <v>221447.91863999999</v>
      </c>
      <c r="G125" s="55">
        <f>133.09*1663.896</f>
        <v>221447.91863999999</v>
      </c>
      <c r="H125" s="54">
        <v>500</v>
      </c>
      <c r="I125" s="73">
        <v>5.0000000000000001E-4</v>
      </c>
      <c r="J125" s="73">
        <v>5.2999999999999999E-2</v>
      </c>
      <c r="K125" s="51">
        <f>11349853.27*1610.917</f>
        <v>18283671580.14859</v>
      </c>
      <c r="L125" s="52">
        <f t="shared" si="58"/>
        <v>1.0622461354513913E-2</v>
      </c>
      <c r="M125" s="55">
        <f>133.23*1610.917</f>
        <v>214622.47190999996</v>
      </c>
      <c r="N125" s="55">
        <f>133.23*1610.917</f>
        <v>214622.47190999996</v>
      </c>
      <c r="O125" s="54">
        <v>502</v>
      </c>
      <c r="P125" s="73">
        <v>5.0000000000000001E-4</v>
      </c>
      <c r="Q125" s="73">
        <v>5.4100000000000002E-2</v>
      </c>
      <c r="R125" s="80">
        <f t="shared" ref="R125:R137" si="59">((K125-D125)/D125)</f>
        <v>-5.3629011535990756E-2</v>
      </c>
      <c r="S125" s="80">
        <f t="shared" ref="S125:S137" si="60">((N125-G125)/G125)</f>
        <v>-3.082190508683855E-2</v>
      </c>
      <c r="T125" s="80">
        <f t="shared" ref="T125:T137" si="61">((O125-H125)/H125)</f>
        <v>4.0000000000000001E-3</v>
      </c>
      <c r="U125" s="80">
        <f t="shared" ref="U125:U137" si="62">P125-I125</f>
        <v>0</v>
      </c>
      <c r="V125" s="81">
        <f t="shared" ref="V125:V137" si="63">Q125-J125</f>
        <v>1.1000000000000038E-3</v>
      </c>
    </row>
    <row r="126" spans="1:24">
      <c r="A126" s="170">
        <v>109</v>
      </c>
      <c r="B126" s="168" t="s">
        <v>178</v>
      </c>
      <c r="C126" s="169" t="s">
        <v>67</v>
      </c>
      <c r="D126" s="55">
        <v>17261756322.02</v>
      </c>
      <c r="E126" s="52">
        <f t="shared" si="57"/>
        <v>9.4958197125101403E-3</v>
      </c>
      <c r="F126" s="55">
        <v>194912.32</v>
      </c>
      <c r="G126" s="55">
        <v>194912.32</v>
      </c>
      <c r="H126" s="54">
        <v>639</v>
      </c>
      <c r="I126" s="73">
        <v>1.1999999999999999E-3</v>
      </c>
      <c r="J126" s="73">
        <v>6.4199999999999993E-2</v>
      </c>
      <c r="K126" s="55">
        <v>16355360711.110001</v>
      </c>
      <c r="L126" s="52">
        <f t="shared" si="58"/>
        <v>9.5021498461792669E-3</v>
      </c>
      <c r="M126" s="55" t="s">
        <v>302</v>
      </c>
      <c r="N126" s="55">
        <v>186150.59</v>
      </c>
      <c r="O126" s="54">
        <v>642</v>
      </c>
      <c r="P126" s="73">
        <v>1.1999999999999999E-3</v>
      </c>
      <c r="Q126" s="73">
        <v>6.4399999999999999E-2</v>
      </c>
      <c r="R126" s="80">
        <f t="shared" si="59"/>
        <v>-5.2508886929063768E-2</v>
      </c>
      <c r="S126" s="80">
        <f t="shared" si="60"/>
        <v>-4.4952161053749759E-2</v>
      </c>
      <c r="T126" s="80">
        <f t="shared" si="61"/>
        <v>4.6948356807511738E-3</v>
      </c>
      <c r="U126" s="80">
        <f t="shared" si="62"/>
        <v>0</v>
      </c>
      <c r="V126" s="81">
        <f t="shared" si="63"/>
        <v>2.0000000000000573E-4</v>
      </c>
    </row>
    <row r="127" spans="1:24">
      <c r="A127" s="170">
        <v>110</v>
      </c>
      <c r="B127" s="168" t="s">
        <v>179</v>
      </c>
      <c r="C127" s="169" t="s">
        <v>65</v>
      </c>
      <c r="D127" s="55">
        <v>6955463704.7187862</v>
      </c>
      <c r="E127" s="52">
        <f t="shared" si="57"/>
        <v>3.8262519829841061E-3</v>
      </c>
      <c r="F127" s="55">
        <v>2088.9601924151511</v>
      </c>
      <c r="G127" s="55">
        <v>2088.9601924151511</v>
      </c>
      <c r="H127" s="54">
        <v>223</v>
      </c>
      <c r="I127" s="73">
        <v>6.583778729476468E-2</v>
      </c>
      <c r="J127" s="73">
        <v>5.4382422403585012E-2</v>
      </c>
      <c r="K127" s="55">
        <v>6481862801.3673573</v>
      </c>
      <c r="L127" s="52">
        <f t="shared" si="58"/>
        <v>3.7658375568035921E-3</v>
      </c>
      <c r="M127" s="55">
        <v>1951.3921757512389</v>
      </c>
      <c r="N127" s="55">
        <v>1951.3921757512389</v>
      </c>
      <c r="O127" s="54">
        <v>222</v>
      </c>
      <c r="P127" s="73">
        <v>4.5706866301484003E-2</v>
      </c>
      <c r="Q127" s="73">
        <v>5.4250895675891399E-2</v>
      </c>
      <c r="R127" s="80">
        <f t="shared" si="59"/>
        <v>-6.8090485905364512E-2</v>
      </c>
      <c r="S127" s="80">
        <f t="shared" si="60"/>
        <v>-6.585478132298106E-2</v>
      </c>
      <c r="T127" s="80">
        <f t="shared" si="61"/>
        <v>-4.4843049327354259E-3</v>
      </c>
      <c r="U127" s="80">
        <f t="shared" si="62"/>
        <v>-2.0130920993280677E-2</v>
      </c>
      <c r="V127" s="81">
        <f t="shared" si="63"/>
        <v>-1.3152672769361357E-4</v>
      </c>
    </row>
    <row r="128" spans="1:24">
      <c r="A128" s="170">
        <v>111</v>
      </c>
      <c r="B128" s="168" t="s">
        <v>180</v>
      </c>
      <c r="C128" s="169" t="s">
        <v>37</v>
      </c>
      <c r="D128" s="55">
        <v>79204776163.969696</v>
      </c>
      <c r="E128" s="52">
        <f t="shared" si="57"/>
        <v>4.3571132669932337E-2</v>
      </c>
      <c r="F128" s="55">
        <f>100*1675.49</f>
        <v>167549</v>
      </c>
      <c r="G128" s="55">
        <f>100*1675.49</f>
        <v>167549</v>
      </c>
      <c r="H128" s="54">
        <v>1800</v>
      </c>
      <c r="I128" s="73">
        <v>5.3400000000000003E-2</v>
      </c>
      <c r="J128" s="73">
        <v>5.5500000000000001E-2</v>
      </c>
      <c r="K128" s="55">
        <v>79461974510.6427</v>
      </c>
      <c r="L128" s="52">
        <f t="shared" si="58"/>
        <v>4.6165878100169408E-2</v>
      </c>
      <c r="M128" s="55">
        <f>100*1672.69</f>
        <v>167269</v>
      </c>
      <c r="N128" s="55">
        <f>100*1672.69</f>
        <v>167269</v>
      </c>
      <c r="O128" s="54">
        <v>1800</v>
      </c>
      <c r="P128" s="73">
        <v>4.4699999999999997E-2</v>
      </c>
      <c r="Q128" s="73">
        <v>5.54838E-2</v>
      </c>
      <c r="R128" s="80">
        <f t="shared" si="59"/>
        <v>3.2472580459106688E-3</v>
      </c>
      <c r="S128" s="80">
        <f t="shared" si="60"/>
        <v>-1.6711529164602594E-3</v>
      </c>
      <c r="T128" s="80">
        <f t="shared" si="61"/>
        <v>0</v>
      </c>
      <c r="U128" s="80">
        <f t="shared" si="62"/>
        <v>-8.7000000000000063E-3</v>
      </c>
      <c r="V128" s="81">
        <f t="shared" si="63"/>
        <v>-1.6200000000000936E-5</v>
      </c>
    </row>
    <row r="129" spans="1:24" ht="15.6">
      <c r="A129" s="170">
        <v>112</v>
      </c>
      <c r="B129" s="168" t="s">
        <v>181</v>
      </c>
      <c r="C129" s="169" t="s">
        <v>136</v>
      </c>
      <c r="D129" s="55">
        <f>1041208.37*1663.896</f>
        <v>1732462442.0095201</v>
      </c>
      <c r="E129" s="52">
        <f t="shared" si="57"/>
        <v>9.5304039178397543E-4</v>
      </c>
      <c r="F129" s="55">
        <f>1.09*1663.896</f>
        <v>1813.6466400000002</v>
      </c>
      <c r="G129" s="55">
        <f>1.12*1663.896</f>
        <v>1863.5635200000002</v>
      </c>
      <c r="H129" s="54">
        <v>38</v>
      </c>
      <c r="I129" s="73">
        <v>1.6999999999999999E-3</v>
      </c>
      <c r="J129" s="73">
        <v>0.1026</v>
      </c>
      <c r="K129" s="55">
        <f>1043322.56*1533.76</f>
        <v>1600206409.6256001</v>
      </c>
      <c r="L129" s="52">
        <f t="shared" si="58"/>
        <v>9.2968913114524748E-4</v>
      </c>
      <c r="M129" s="55">
        <f>1.100191*1533.76</f>
        <v>1687.4289481599999</v>
      </c>
      <c r="N129" s="55">
        <f>1.129558*1533.76</f>
        <v>1732.4708780800001</v>
      </c>
      <c r="O129" s="54">
        <v>37</v>
      </c>
      <c r="P129" s="73">
        <v>1.8E-3</v>
      </c>
      <c r="Q129" s="73">
        <v>0.10290000000000001</v>
      </c>
      <c r="R129" s="80">
        <f t="shared" si="59"/>
        <v>-7.6339913164589795E-2</v>
      </c>
      <c r="S129" s="80">
        <f t="shared" si="60"/>
        <v>-7.0345142793952098E-2</v>
      </c>
      <c r="T129" s="80">
        <f t="shared" si="61"/>
        <v>-2.6315789473684209E-2</v>
      </c>
      <c r="U129" s="80">
        <f t="shared" si="62"/>
        <v>1.0000000000000005E-4</v>
      </c>
      <c r="V129" s="81">
        <f t="shared" si="63"/>
        <v>3.0000000000000859E-4</v>
      </c>
      <c r="X129" s="91"/>
    </row>
    <row r="130" spans="1:24" ht="15.6">
      <c r="A130" s="170">
        <v>113</v>
      </c>
      <c r="B130" s="168" t="s">
        <v>182</v>
      </c>
      <c r="C130" s="169" t="s">
        <v>43</v>
      </c>
      <c r="D130" s="51">
        <f>2270884.55*1663.896</f>
        <v>3778515719.2067995</v>
      </c>
      <c r="E130" s="52">
        <f t="shared" si="57"/>
        <v>2.0785894193572187E-3</v>
      </c>
      <c r="F130" s="55">
        <f>10.56*1663.896</f>
        <v>17570.741760000001</v>
      </c>
      <c r="G130" s="55">
        <f>10.56*1663.896</f>
        <v>17570.741760000001</v>
      </c>
      <c r="H130" s="54">
        <v>68</v>
      </c>
      <c r="I130" s="73">
        <v>7.6899999999999996E-2</v>
      </c>
      <c r="J130" s="73">
        <v>9.69E-2</v>
      </c>
      <c r="K130" s="51">
        <f>2266615.21*1610.917</f>
        <v>3651328974.2475696</v>
      </c>
      <c r="L130" s="52">
        <f t="shared" si="58"/>
        <v>2.1213518713426006E-3</v>
      </c>
      <c r="M130" s="55">
        <f>10.58*1610.917</f>
        <v>17043.50186</v>
      </c>
      <c r="N130" s="55">
        <f>10.58*1610.917</f>
        <v>17043.50186</v>
      </c>
      <c r="O130" s="54">
        <v>68</v>
      </c>
      <c r="P130" s="73">
        <v>7.6899999999999996E-2</v>
      </c>
      <c r="Q130" s="73">
        <v>9.7000000000000003E-2</v>
      </c>
      <c r="R130" s="80">
        <f t="shared" si="59"/>
        <v>-3.3660504391372352E-2</v>
      </c>
      <c r="S130" s="80">
        <f t="shared" si="60"/>
        <v>-3.0006695630816697E-2</v>
      </c>
      <c r="T130" s="80">
        <f t="shared" si="61"/>
        <v>0</v>
      </c>
      <c r="U130" s="80">
        <f t="shared" si="62"/>
        <v>0</v>
      </c>
      <c r="V130" s="81">
        <f t="shared" si="63"/>
        <v>1.0000000000000286E-4</v>
      </c>
      <c r="X130" s="91"/>
    </row>
    <row r="131" spans="1:24" ht="15.6">
      <c r="A131" s="170">
        <v>114</v>
      </c>
      <c r="B131" s="169" t="s">
        <v>183</v>
      </c>
      <c r="C131" s="173" t="s">
        <v>47</v>
      </c>
      <c r="D131" s="55">
        <v>25013626360</v>
      </c>
      <c r="E131" s="52">
        <f t="shared" si="57"/>
        <v>1.3760180704651246E-2</v>
      </c>
      <c r="F131" s="55">
        <f>1.0629*1663.896</f>
        <v>1768.5550583999998</v>
      </c>
      <c r="G131" s="55">
        <f>1.0629*1663.896</f>
        <v>1768.5550583999998</v>
      </c>
      <c r="H131" s="54">
        <v>371</v>
      </c>
      <c r="I131" s="73">
        <v>-1E-3</v>
      </c>
      <c r="J131" s="73">
        <v>9.7500000000000003E-2</v>
      </c>
      <c r="K131" s="55">
        <v>25040555492.549999</v>
      </c>
      <c r="L131" s="52">
        <f t="shared" si="58"/>
        <v>1.4548080884584111E-2</v>
      </c>
      <c r="M131" s="55">
        <f>1.0786*1533.76</f>
        <v>1654.3135359999999</v>
      </c>
      <c r="N131" s="55">
        <f>1.0834*1533.76</f>
        <v>1661.6755839999998</v>
      </c>
      <c r="O131" s="54">
        <v>460</v>
      </c>
      <c r="P131" s="73">
        <v>1.3599999999999999E-2</v>
      </c>
      <c r="Q131" s="73">
        <v>0.11849999999999999</v>
      </c>
      <c r="R131" s="80">
        <f t="shared" si="59"/>
        <v>1.0765785081471584E-3</v>
      </c>
      <c r="S131" s="80">
        <f t="shared" si="60"/>
        <v>-6.0433218571489145E-2</v>
      </c>
      <c r="T131" s="80">
        <f t="shared" si="61"/>
        <v>0.23989218328840969</v>
      </c>
      <c r="U131" s="80">
        <f t="shared" si="62"/>
        <v>1.4599999999999998E-2</v>
      </c>
      <c r="V131" s="81">
        <f t="shared" si="63"/>
        <v>2.0999999999999991E-2</v>
      </c>
      <c r="X131" s="91"/>
    </row>
    <row r="132" spans="1:24">
      <c r="A132" s="170">
        <v>115</v>
      </c>
      <c r="B132" s="168" t="s">
        <v>184</v>
      </c>
      <c r="C132" s="169" t="s">
        <v>92</v>
      </c>
      <c r="D132" s="51">
        <f>334216.45*1663.4</f>
        <v>555935642.93000007</v>
      </c>
      <c r="E132" s="52">
        <f t="shared" si="57"/>
        <v>3.0582430539165018E-4</v>
      </c>
      <c r="F132" s="55">
        <f>1.1*1663.4</f>
        <v>1829.7400000000002</v>
      </c>
      <c r="G132" s="55">
        <f>1.1*1663.4</f>
        <v>1829.7400000000002</v>
      </c>
      <c r="H132" s="54">
        <v>3</v>
      </c>
      <c r="I132" s="73">
        <v>3.1960000000000001E-3</v>
      </c>
      <c r="J132" s="73">
        <v>6.3189999999999996E-2</v>
      </c>
      <c r="K132" s="51">
        <f>341423.36*1552.5</f>
        <v>530059766.39999998</v>
      </c>
      <c r="L132" s="52">
        <f t="shared" si="58"/>
        <v>3.0795452431337715E-4</v>
      </c>
      <c r="M132" s="55">
        <f>1.12*1552.5</f>
        <v>1738.8000000000002</v>
      </c>
      <c r="N132" s="55">
        <f>1.12*1552.5</f>
        <v>1738.8000000000002</v>
      </c>
      <c r="O132" s="54">
        <v>3</v>
      </c>
      <c r="P132" s="73">
        <v>2.1564E-2</v>
      </c>
      <c r="Q132" s="73">
        <v>8.6115999999999998E-2</v>
      </c>
      <c r="R132" s="80">
        <f t="shared" si="59"/>
        <v>-4.6544733835780012E-2</v>
      </c>
      <c r="S132" s="80">
        <f t="shared" si="60"/>
        <v>-4.9701050422464414E-2</v>
      </c>
      <c r="T132" s="80">
        <f t="shared" si="61"/>
        <v>0</v>
      </c>
      <c r="U132" s="80">
        <f t="shared" si="62"/>
        <v>1.8367999999999999E-2</v>
      </c>
      <c r="V132" s="81">
        <f t="shared" si="63"/>
        <v>2.2926000000000002E-2</v>
      </c>
    </row>
    <row r="133" spans="1:24">
      <c r="A133" s="170">
        <v>116</v>
      </c>
      <c r="B133" s="168" t="s">
        <v>185</v>
      </c>
      <c r="C133" s="169" t="s">
        <v>49</v>
      </c>
      <c r="D133" s="51">
        <v>1068065953607.59</v>
      </c>
      <c r="E133" s="52">
        <f t="shared" si="57"/>
        <v>0.58755097380154886</v>
      </c>
      <c r="F133" s="55">
        <v>2603.7199999999998</v>
      </c>
      <c r="G133" s="55">
        <v>2603.7199999999998</v>
      </c>
      <c r="H133" s="54">
        <v>9062</v>
      </c>
      <c r="I133" s="73">
        <v>1.2999999999999999E-3</v>
      </c>
      <c r="J133" s="73">
        <v>6.8699999999999997E-2</v>
      </c>
      <c r="K133" s="51">
        <v>1000943989547.62</v>
      </c>
      <c r="L133" s="52">
        <f t="shared" si="58"/>
        <v>0.58152919671488446</v>
      </c>
      <c r="M133" s="55">
        <v>2433.23</v>
      </c>
      <c r="N133" s="55">
        <v>2433.23</v>
      </c>
      <c r="O133" s="54">
        <v>9134</v>
      </c>
      <c r="P133" s="73">
        <v>1.2999999999999999E-3</v>
      </c>
      <c r="Q133" s="73">
        <v>7.0000000000000007E-2</v>
      </c>
      <c r="R133" s="80">
        <f t="shared" si="59"/>
        <v>-6.284440004220071E-2</v>
      </c>
      <c r="S133" s="80">
        <f t="shared" si="60"/>
        <v>-6.5479391025148548E-2</v>
      </c>
      <c r="T133" s="80">
        <f t="shared" si="61"/>
        <v>7.9452659457073492E-3</v>
      </c>
      <c r="U133" s="80">
        <f t="shared" si="62"/>
        <v>0</v>
      </c>
      <c r="V133" s="81">
        <f t="shared" si="63"/>
        <v>1.3000000000000095E-3</v>
      </c>
    </row>
    <row r="134" spans="1:24" ht="16.5" customHeight="1">
      <c r="A134" s="170">
        <v>117</v>
      </c>
      <c r="B134" s="168" t="s">
        <v>186</v>
      </c>
      <c r="C134" s="169" t="s">
        <v>52</v>
      </c>
      <c r="D134" s="51">
        <f>75422809.61*1672.69</f>
        <v>126158979406.5509</v>
      </c>
      <c r="E134" s="52">
        <f t="shared" si="57"/>
        <v>6.940098685269222E-2</v>
      </c>
      <c r="F134" s="55">
        <f>1.1591*1672.69</f>
        <v>1938.814979</v>
      </c>
      <c r="G134" s="55">
        <f>1.1591*1672.69</f>
        <v>1938.814979</v>
      </c>
      <c r="H134" s="54">
        <v>459</v>
      </c>
      <c r="I134" s="73">
        <v>9.9199999999999997E-2</v>
      </c>
      <c r="J134" s="73">
        <v>9.0399999999999994E-2</v>
      </c>
      <c r="K134" s="51">
        <f>82983375.9*1552.5</f>
        <v>128831691084.75002</v>
      </c>
      <c r="L134" s="52">
        <f t="shared" si="58"/>
        <v>7.4848733405946999E-2</v>
      </c>
      <c r="M134" s="55">
        <f>1.1612*1552.5</f>
        <v>1802.7629999999999</v>
      </c>
      <c r="N134" s="55">
        <f>1.1612*1552.5</f>
        <v>1802.7629999999999</v>
      </c>
      <c r="O134" s="54">
        <v>475</v>
      </c>
      <c r="P134" s="73">
        <v>9.8900000000000002E-2</v>
      </c>
      <c r="Q134" s="73">
        <v>9.06E-2</v>
      </c>
      <c r="R134" s="80">
        <f t="shared" si="59"/>
        <v>2.1185267119086484E-2</v>
      </c>
      <c r="S134" s="80">
        <f t="shared" si="60"/>
        <v>-7.0172750094066649E-2</v>
      </c>
      <c r="T134" s="80">
        <f t="shared" si="61"/>
        <v>3.4858387799564274E-2</v>
      </c>
      <c r="U134" s="80">
        <f t="shared" si="62"/>
        <v>-2.9999999999999472E-4</v>
      </c>
      <c r="V134" s="81">
        <f t="shared" si="63"/>
        <v>2.0000000000000573E-4</v>
      </c>
    </row>
    <row r="135" spans="1:24" ht="16.5" customHeight="1">
      <c r="A135" s="170">
        <v>118</v>
      </c>
      <c r="B135" s="168" t="s">
        <v>187</v>
      </c>
      <c r="C135" s="169" t="s">
        <v>97</v>
      </c>
      <c r="D135" s="55">
        <v>682931986.45882022</v>
      </c>
      <c r="E135" s="52">
        <v>0</v>
      </c>
      <c r="F135" s="55">
        <v>170481.86600000001</v>
      </c>
      <c r="G135" s="55">
        <v>170481.86600000001</v>
      </c>
      <c r="H135" s="54">
        <v>20</v>
      </c>
      <c r="I135" s="73">
        <v>1.2999999999999999E-3</v>
      </c>
      <c r="J135" s="73">
        <v>6.7199999999999996E-2</v>
      </c>
      <c r="K135" s="55">
        <v>638217240.52499998</v>
      </c>
      <c r="L135" s="52">
        <f t="shared" si="58"/>
        <v>3.7079193550063901E-4</v>
      </c>
      <c r="M135" s="55">
        <v>159317.55000000002</v>
      </c>
      <c r="N135" s="55">
        <v>159317.55000000002</v>
      </c>
      <c r="O135" s="54">
        <v>20</v>
      </c>
      <c r="P135" s="73">
        <v>1.2999999999999999E-3</v>
      </c>
      <c r="Q135" s="73">
        <v>6.7199999999999996E-2</v>
      </c>
      <c r="R135" s="80">
        <f t="shared" si="59"/>
        <v>-6.5474669250268722E-2</v>
      </c>
      <c r="S135" s="80">
        <f t="shared" si="60"/>
        <v>-6.5486824270212948E-2</v>
      </c>
      <c r="T135" s="80">
        <f t="shared" si="61"/>
        <v>0</v>
      </c>
      <c r="U135" s="80">
        <f t="shared" si="62"/>
        <v>0</v>
      </c>
      <c r="V135" s="81">
        <f t="shared" si="63"/>
        <v>0</v>
      </c>
    </row>
    <row r="136" spans="1:24">
      <c r="A136" s="170">
        <v>119</v>
      </c>
      <c r="B136" s="168" t="s">
        <v>188</v>
      </c>
      <c r="C136" s="169" t="s">
        <v>111</v>
      </c>
      <c r="D136" s="55">
        <f>1090157.63*1663.896</f>
        <v>1813908919.9264798</v>
      </c>
      <c r="E136" s="52">
        <f>(D136/$D$137)</f>
        <v>9.9784470115380462E-4</v>
      </c>
      <c r="F136" s="55">
        <f>1.228*1663.896</f>
        <v>2043.2642879999999</v>
      </c>
      <c r="G136" s="55">
        <f>1.228*1663.896</f>
        <v>2043.2642879999999</v>
      </c>
      <c r="H136" s="54">
        <v>66</v>
      </c>
      <c r="I136" s="73">
        <v>3.7569999999999999E-3</v>
      </c>
      <c r="J136" s="73">
        <v>0.118951</v>
      </c>
      <c r="K136" s="55">
        <f>1098377.29*1533.76</f>
        <v>1684647152.3104</v>
      </c>
      <c r="L136" s="52">
        <f t="shared" si="58"/>
        <v>9.7874757774793204E-4</v>
      </c>
      <c r="M136" s="55">
        <f>1.26*1533.76</f>
        <v>1932.5376000000001</v>
      </c>
      <c r="N136" s="55">
        <f>1.26*1533.76</f>
        <v>1932.5376000000001</v>
      </c>
      <c r="O136" s="54">
        <v>67</v>
      </c>
      <c r="P136" s="73">
        <v>2.3656799999999999E-2</v>
      </c>
      <c r="Q136" s="73">
        <v>0.14585799999999999</v>
      </c>
      <c r="R136" s="80">
        <f t="shared" si="59"/>
        <v>-7.1261443282013837E-2</v>
      </c>
      <c r="S136" s="80">
        <f t="shared" si="60"/>
        <v>-5.4191074865005302E-2</v>
      </c>
      <c r="T136" s="80">
        <f t="shared" si="61"/>
        <v>1.5151515151515152E-2</v>
      </c>
      <c r="U136" s="80">
        <f t="shared" si="62"/>
        <v>1.9899799999999999E-2</v>
      </c>
      <c r="V136" s="81">
        <f t="shared" si="63"/>
        <v>2.6906999999999986E-2</v>
      </c>
    </row>
    <row r="137" spans="1:24">
      <c r="A137" s="58"/>
      <c r="B137" s="59"/>
      <c r="C137" s="95" t="s">
        <v>53</v>
      </c>
      <c r="D137" s="71">
        <f>SUM(D107:D136)</f>
        <v>1817826880103.7505</v>
      </c>
      <c r="E137" s="62">
        <f>(D137/$D$207)</f>
        <v>0.47211593792916473</v>
      </c>
      <c r="F137" s="63"/>
      <c r="G137" s="68"/>
      <c r="H137" s="65">
        <f>SUM(H107:H136)</f>
        <v>21144</v>
      </c>
      <c r="I137" s="104"/>
      <c r="J137" s="104"/>
      <c r="K137" s="71">
        <f>SUM(K107:K136)</f>
        <v>1721227403889.6946</v>
      </c>
      <c r="L137" s="62">
        <f>(K137/$K$207)</f>
        <v>0.45680556198863287</v>
      </c>
      <c r="M137" s="63"/>
      <c r="N137" s="68"/>
      <c r="O137" s="65">
        <f>SUM(O107:O136)</f>
        <v>21368</v>
      </c>
      <c r="P137" s="104"/>
      <c r="Q137" s="104"/>
      <c r="R137" s="80">
        <f t="shared" si="59"/>
        <v>-5.3140085709670326E-2</v>
      </c>
      <c r="S137" s="80" t="e">
        <f t="shared" si="60"/>
        <v>#DIV/0!</v>
      </c>
      <c r="T137" s="80">
        <f t="shared" si="61"/>
        <v>1.0594021944759743E-2</v>
      </c>
      <c r="U137" s="80">
        <f t="shared" si="62"/>
        <v>0</v>
      </c>
      <c r="V137" s="81">
        <f t="shared" si="63"/>
        <v>0</v>
      </c>
    </row>
    <row r="138" spans="1:24" ht="6" customHeight="1">
      <c r="A138" s="58"/>
      <c r="B138" s="178"/>
      <c r="C138" s="178"/>
      <c r="D138" s="178"/>
      <c r="E138" s="178"/>
      <c r="F138" s="178"/>
      <c r="G138" s="178"/>
      <c r="H138" s="178"/>
      <c r="I138" s="178"/>
      <c r="J138" s="178"/>
      <c r="K138" s="178"/>
      <c r="L138" s="178"/>
      <c r="M138" s="178"/>
      <c r="N138" s="178"/>
      <c r="O138" s="178"/>
      <c r="P138" s="178"/>
      <c r="Q138" s="178"/>
      <c r="R138" s="178"/>
      <c r="S138" s="178"/>
      <c r="T138" s="178"/>
      <c r="U138" s="178"/>
      <c r="V138" s="178"/>
    </row>
    <row r="139" spans="1:24">
      <c r="A139" s="180" t="s">
        <v>189</v>
      </c>
      <c r="B139" s="180"/>
      <c r="C139" s="180"/>
      <c r="D139" s="180"/>
      <c r="E139" s="180"/>
      <c r="F139" s="180"/>
      <c r="G139" s="180"/>
      <c r="H139" s="180"/>
      <c r="I139" s="180"/>
      <c r="J139" s="180"/>
      <c r="K139" s="180"/>
      <c r="L139" s="180"/>
      <c r="M139" s="180"/>
      <c r="N139" s="180"/>
      <c r="O139" s="180"/>
      <c r="P139" s="180"/>
      <c r="Q139" s="180"/>
      <c r="R139" s="180"/>
      <c r="S139" s="180"/>
      <c r="T139" s="180"/>
      <c r="U139" s="180"/>
      <c r="V139" s="180"/>
    </row>
    <row r="140" spans="1:24">
      <c r="A140" s="170">
        <v>120</v>
      </c>
      <c r="B140" s="168" t="s">
        <v>190</v>
      </c>
      <c r="C140" s="169" t="s">
        <v>191</v>
      </c>
      <c r="D140" s="96">
        <v>2493751075.8797698</v>
      </c>
      <c r="E140" s="52">
        <f>(D140/$D$145)</f>
        <v>2.5116436867732808E-2</v>
      </c>
      <c r="F140" s="83">
        <v>117.455382407182</v>
      </c>
      <c r="G140" s="83">
        <v>117.455382407182</v>
      </c>
      <c r="H140" s="54">
        <v>7</v>
      </c>
      <c r="I140" s="73">
        <v>3.5449061947008254E-3</v>
      </c>
      <c r="J140" s="73">
        <v>0.14923341322345199</v>
      </c>
      <c r="K140" s="96">
        <v>2502522908.5464048</v>
      </c>
      <c r="L140" s="52">
        <f>(K140/$K$145)</f>
        <v>2.5087004184722667E-2</v>
      </c>
      <c r="M140" s="83">
        <v>117.93</v>
      </c>
      <c r="N140" s="83">
        <v>117.93</v>
      </c>
      <c r="O140" s="54">
        <v>7</v>
      </c>
      <c r="P140" s="73">
        <v>4.0408330643602053E-3</v>
      </c>
      <c r="Q140" s="73">
        <v>0.14323341322345201</v>
      </c>
      <c r="R140" s="80">
        <f t="shared" ref="R140:R145" si="64">((K140-D140)/D140)</f>
        <v>3.5175253662960019E-3</v>
      </c>
      <c r="S140" s="80">
        <f t="shared" ref="S140:T145" si="65">((N140-G140)/G140)</f>
        <v>4.0408330643601506E-3</v>
      </c>
      <c r="T140" s="80">
        <f t="shared" si="65"/>
        <v>0</v>
      </c>
      <c r="U140" s="80">
        <f t="shared" ref="U140:V145" si="66">P140-I140</f>
        <v>4.9592686965937993E-4</v>
      </c>
      <c r="V140" s="81">
        <f t="shared" si="66"/>
        <v>-5.9999999999999776E-3</v>
      </c>
    </row>
    <row r="141" spans="1:24">
      <c r="A141" s="170">
        <v>121</v>
      </c>
      <c r="B141" s="168" t="s">
        <v>192</v>
      </c>
      <c r="C141" s="169" t="s">
        <v>47</v>
      </c>
      <c r="D141" s="51">
        <v>53749983529</v>
      </c>
      <c r="E141" s="52">
        <f>(D141/$D$145)</f>
        <v>0.54135638516829021</v>
      </c>
      <c r="F141" s="83">
        <v>102.5</v>
      </c>
      <c r="G141" s="83">
        <v>102.5</v>
      </c>
      <c r="H141" s="54">
        <v>666</v>
      </c>
      <c r="I141" s="73">
        <v>7.6999999999999999E-2</v>
      </c>
      <c r="J141" s="73">
        <v>7.6999999999999999E-2</v>
      </c>
      <c r="K141" s="51">
        <v>54160728474</v>
      </c>
      <c r="L141" s="52">
        <f>(K141/$K$145)</f>
        <v>0.54294424927525931</v>
      </c>
      <c r="M141" s="83">
        <v>102.07</v>
      </c>
      <c r="N141" s="83">
        <v>102.07</v>
      </c>
      <c r="O141" s="54">
        <v>645</v>
      </c>
      <c r="P141" s="73">
        <v>8.3900000000000002E-2</v>
      </c>
      <c r="Q141" s="73">
        <v>8.3900000000000002E-2</v>
      </c>
      <c r="R141" s="80">
        <f t="shared" si="64"/>
        <v>7.6417687603269439E-3</v>
      </c>
      <c r="S141" s="80">
        <f t="shared" si="65"/>
        <v>-4.1951219512195784E-3</v>
      </c>
      <c r="T141" s="80">
        <f t="shared" si="65"/>
        <v>-3.1531531531531529E-2</v>
      </c>
      <c r="U141" s="80">
        <f t="shared" si="66"/>
        <v>6.9000000000000034E-3</v>
      </c>
      <c r="V141" s="81">
        <f t="shared" si="66"/>
        <v>6.9000000000000034E-3</v>
      </c>
    </row>
    <row r="142" spans="1:24" ht="15.75" customHeight="1">
      <c r="A142" s="170">
        <v>122</v>
      </c>
      <c r="B142" s="168" t="s">
        <v>193</v>
      </c>
      <c r="C142" s="169" t="s">
        <v>146</v>
      </c>
      <c r="D142" s="51">
        <v>2755992663.75</v>
      </c>
      <c r="E142" s="52">
        <f>(D142/$D$145)</f>
        <v>2.7757668524550427E-2</v>
      </c>
      <c r="F142" s="83">
        <v>179.45</v>
      </c>
      <c r="G142" s="83">
        <v>179.45</v>
      </c>
      <c r="H142" s="54">
        <v>2834</v>
      </c>
      <c r="I142" s="73">
        <v>0.238602384267428</v>
      </c>
      <c r="J142" s="73">
        <v>0.10549903262603202</v>
      </c>
      <c r="K142" s="51">
        <v>2760143150.2393599</v>
      </c>
      <c r="L142" s="52">
        <f>(K142/$K$145)</f>
        <v>2.7669565990390384E-2</v>
      </c>
      <c r="M142" s="83">
        <v>152.50715751196799</v>
      </c>
      <c r="N142" s="83">
        <v>152.50715751196799</v>
      </c>
      <c r="O142" s="54">
        <v>2834</v>
      </c>
      <c r="P142" s="73">
        <v>9.9742725790774298E-2</v>
      </c>
      <c r="Q142" s="73">
        <v>0.104289158041209</v>
      </c>
      <c r="R142" s="80">
        <f t="shared" si="64"/>
        <v>1.5059860441400479E-3</v>
      </c>
      <c r="S142" s="80">
        <f t="shared" si="65"/>
        <v>-0.15014122311525216</v>
      </c>
      <c r="T142" s="80">
        <f t="shared" si="65"/>
        <v>0</v>
      </c>
      <c r="U142" s="80">
        <f t="shared" si="66"/>
        <v>-0.13885965847665371</v>
      </c>
      <c r="V142" s="81">
        <f t="shared" si="66"/>
        <v>-1.209874584823023E-3</v>
      </c>
    </row>
    <row r="143" spans="1:24">
      <c r="A143" s="170">
        <v>123</v>
      </c>
      <c r="B143" s="168" t="s">
        <v>194</v>
      </c>
      <c r="C143" s="169" t="s">
        <v>146</v>
      </c>
      <c r="D143" s="51">
        <v>10312629343</v>
      </c>
      <c r="E143" s="52">
        <f>(D143/$D$145)</f>
        <v>0.10386622239046454</v>
      </c>
      <c r="F143" s="83">
        <v>57.97</v>
      </c>
      <c r="G143" s="83">
        <v>57.97</v>
      </c>
      <c r="H143" s="54">
        <v>5260</v>
      </c>
      <c r="I143" s="73">
        <v>5.4172731085183501E-2</v>
      </c>
      <c r="J143" s="73">
        <v>0.19648203592814401</v>
      </c>
      <c r="K143" s="51">
        <v>10333232314.809999</v>
      </c>
      <c r="L143" s="52">
        <f>(K143/$K$145)</f>
        <v>0.10358740031431883</v>
      </c>
      <c r="M143" s="83">
        <v>58.08</v>
      </c>
      <c r="N143" s="83">
        <v>58.08</v>
      </c>
      <c r="O143" s="54">
        <v>5260</v>
      </c>
      <c r="P143" s="73">
        <v>9.9213879100026603E-2</v>
      </c>
      <c r="Q143" s="73">
        <v>0.19837847162325301</v>
      </c>
      <c r="R143" s="80">
        <f t="shared" si="64"/>
        <v>1.99783887549341E-3</v>
      </c>
      <c r="S143" s="80">
        <f t="shared" si="65"/>
        <v>1.8975332068311098E-3</v>
      </c>
      <c r="T143" s="80">
        <f t="shared" si="65"/>
        <v>0</v>
      </c>
      <c r="U143" s="80">
        <f t="shared" si="66"/>
        <v>4.5041148014843102E-2</v>
      </c>
      <c r="V143" s="81">
        <f t="shared" si="66"/>
        <v>1.896435695109E-3</v>
      </c>
    </row>
    <row r="144" spans="1:24">
      <c r="A144" s="170">
        <v>124</v>
      </c>
      <c r="B144" s="168" t="s">
        <v>195</v>
      </c>
      <c r="C144" s="169" t="s">
        <v>49</v>
      </c>
      <c r="D144" s="51">
        <v>29975256874.799999</v>
      </c>
      <c r="E144" s="52">
        <f>(D144/$D$145)</f>
        <v>0.30190328704896202</v>
      </c>
      <c r="F144" s="83">
        <v>11.23</v>
      </c>
      <c r="G144" s="83">
        <v>11.23</v>
      </c>
      <c r="H144" s="54">
        <v>208116</v>
      </c>
      <c r="I144" s="73">
        <v>9.7999999999999997E-3</v>
      </c>
      <c r="J144" s="73">
        <v>-0.1953</v>
      </c>
      <c r="K144" s="51">
        <v>29997129723.720001</v>
      </c>
      <c r="L144" s="52">
        <f>(K144/$K$145)</f>
        <v>0.30071178023530881</v>
      </c>
      <c r="M144" s="83">
        <v>5.15</v>
      </c>
      <c r="N144" s="83">
        <v>5.15</v>
      </c>
      <c r="O144" s="54">
        <v>208098</v>
      </c>
      <c r="P144" s="73">
        <v>0</v>
      </c>
      <c r="Q144" s="73">
        <v>-0.1953</v>
      </c>
      <c r="R144" s="80">
        <f t="shared" si="64"/>
        <v>7.2969679663997616E-4</v>
      </c>
      <c r="S144" s="80">
        <f t="shared" si="65"/>
        <v>-0.54140694568121106</v>
      </c>
      <c r="T144" s="80">
        <f t="shared" si="65"/>
        <v>-8.6490226604393704E-5</v>
      </c>
      <c r="U144" s="80">
        <f t="shared" si="66"/>
        <v>-9.7999999999999997E-3</v>
      </c>
      <c r="V144" s="81">
        <f t="shared" si="66"/>
        <v>0</v>
      </c>
    </row>
    <row r="145" spans="1:22">
      <c r="A145" s="58"/>
      <c r="B145" s="97"/>
      <c r="C145" s="60" t="s">
        <v>53</v>
      </c>
      <c r="D145" s="61">
        <f>SUM(D140:D144)</f>
        <v>99287613486.429764</v>
      </c>
      <c r="E145" s="62">
        <f>(D145/$D$207)</f>
        <v>2.5786429543400095E-2</v>
      </c>
      <c r="F145" s="63"/>
      <c r="G145" s="98"/>
      <c r="H145" s="65">
        <f>SUM(H140:H144)</f>
        <v>216883</v>
      </c>
      <c r="I145" s="105"/>
      <c r="J145" s="105"/>
      <c r="K145" s="61">
        <f>SUM(K140:K144)</f>
        <v>99753756571.315765</v>
      </c>
      <c r="L145" s="62">
        <f>(K145/$K$207)</f>
        <v>2.6474172284301732E-2</v>
      </c>
      <c r="M145" s="63"/>
      <c r="N145" s="98"/>
      <c r="O145" s="65">
        <f>SUM(O140:O144)</f>
        <v>216844</v>
      </c>
      <c r="P145" s="105"/>
      <c r="Q145" s="105"/>
      <c r="R145" s="80">
        <f t="shared" si="64"/>
        <v>4.6948765159886951E-3</v>
      </c>
      <c r="S145" s="80" t="e">
        <f t="shared" si="65"/>
        <v>#DIV/0!</v>
      </c>
      <c r="T145" s="80">
        <f t="shared" si="65"/>
        <v>-1.7982045619066502E-4</v>
      </c>
      <c r="U145" s="80">
        <f t="shared" si="66"/>
        <v>0</v>
      </c>
      <c r="V145" s="81">
        <f t="shared" si="66"/>
        <v>0</v>
      </c>
    </row>
    <row r="146" spans="1:22" ht="5.25" customHeight="1">
      <c r="A146" s="58"/>
      <c r="B146" s="178"/>
      <c r="C146" s="178"/>
      <c r="D146" s="178"/>
      <c r="E146" s="178"/>
      <c r="F146" s="178"/>
      <c r="G146" s="178"/>
      <c r="H146" s="178"/>
      <c r="I146" s="178"/>
      <c r="J146" s="178"/>
      <c r="K146" s="178"/>
      <c r="L146" s="178"/>
      <c r="M146" s="178"/>
      <c r="N146" s="178"/>
      <c r="O146" s="178"/>
      <c r="P146" s="178"/>
      <c r="Q146" s="178"/>
      <c r="R146" s="178"/>
      <c r="S146" s="178"/>
      <c r="T146" s="178"/>
      <c r="U146" s="178"/>
      <c r="V146" s="178"/>
    </row>
    <row r="147" spans="1:22" ht="15" customHeight="1">
      <c r="A147" s="180" t="s">
        <v>196</v>
      </c>
      <c r="B147" s="180"/>
      <c r="C147" s="180"/>
      <c r="D147" s="180"/>
      <c r="E147" s="180"/>
      <c r="F147" s="180"/>
      <c r="G147" s="180"/>
      <c r="H147" s="180"/>
      <c r="I147" s="180"/>
      <c r="J147" s="180"/>
      <c r="K147" s="180"/>
      <c r="L147" s="180"/>
      <c r="M147" s="180"/>
      <c r="N147" s="180"/>
      <c r="O147" s="180"/>
      <c r="P147" s="180"/>
      <c r="Q147" s="180"/>
      <c r="R147" s="180"/>
      <c r="S147" s="180"/>
      <c r="T147" s="180"/>
      <c r="U147" s="180"/>
      <c r="V147" s="180"/>
    </row>
    <row r="148" spans="1:22">
      <c r="A148" s="170">
        <v>125</v>
      </c>
      <c r="B148" s="168" t="s">
        <v>197</v>
      </c>
      <c r="C148" s="169" t="s">
        <v>57</v>
      </c>
      <c r="D148" s="55">
        <v>249240838.47</v>
      </c>
      <c r="E148" s="52">
        <f t="shared" ref="E148:E176" si="67">(D148/$D$177)</f>
        <v>4.6781297217146625E-3</v>
      </c>
      <c r="F148" s="55">
        <v>5.58</v>
      </c>
      <c r="G148" s="55">
        <v>5.65</v>
      </c>
      <c r="H148" s="56">
        <v>11835</v>
      </c>
      <c r="I148" s="74">
        <v>-2.2884999999999999E-2</v>
      </c>
      <c r="J148" s="74">
        <v>0.1084</v>
      </c>
      <c r="K148" s="55">
        <v>253491162.83000001</v>
      </c>
      <c r="L148" s="77">
        <f t="shared" ref="L148:L176" si="68">(K148/$K$177)</f>
        <v>4.7088135636838236E-3</v>
      </c>
      <c r="M148" s="55">
        <v>5.67</v>
      </c>
      <c r="N148" s="55">
        <v>5.75</v>
      </c>
      <c r="O148" s="56">
        <v>11835</v>
      </c>
      <c r="P148" s="74">
        <v>1.8669000000000002E-2</v>
      </c>
      <c r="Q148" s="74">
        <v>0.12709999999999999</v>
      </c>
      <c r="R148" s="80">
        <f>((K148-D148)/D148)</f>
        <v>1.7053081614117612E-2</v>
      </c>
      <c r="S148" s="80">
        <f>((N148-G148)/G148)</f>
        <v>1.7699115044247725E-2</v>
      </c>
      <c r="T148" s="80">
        <f>((O148-H148)/H148)</f>
        <v>0</v>
      </c>
      <c r="U148" s="80">
        <f>P148-I148</f>
        <v>4.1554000000000001E-2</v>
      </c>
      <c r="V148" s="81">
        <f>Q148-J148</f>
        <v>1.8699999999999994E-2</v>
      </c>
    </row>
    <row r="149" spans="1:22">
      <c r="A149" s="170">
        <v>126</v>
      </c>
      <c r="B149" s="168" t="s">
        <v>198</v>
      </c>
      <c r="C149" s="168" t="s">
        <v>199</v>
      </c>
      <c r="D149" s="55">
        <v>609537458.43385935</v>
      </c>
      <c r="E149" s="52">
        <f t="shared" si="67"/>
        <v>1.1440722629173289E-2</v>
      </c>
      <c r="F149" s="55">
        <v>1427.4763248539857</v>
      </c>
      <c r="G149" s="55">
        <v>1444.8109599728696</v>
      </c>
      <c r="H149" s="56">
        <v>177</v>
      </c>
      <c r="I149" s="74">
        <v>4.2711042193299322E-3</v>
      </c>
      <c r="J149" s="74">
        <v>0.27627298435782455</v>
      </c>
      <c r="K149" s="55">
        <v>641309783.0074445</v>
      </c>
      <c r="L149" s="77">
        <f t="shared" si="68"/>
        <v>1.1912873691670952E-2</v>
      </c>
      <c r="M149" s="55">
        <v>1501.7206561822409</v>
      </c>
      <c r="N149" s="55">
        <v>1520.2287786969505</v>
      </c>
      <c r="O149" s="56">
        <v>177</v>
      </c>
      <c r="P149" s="74">
        <v>5.2125302775026715E-2</v>
      </c>
      <c r="Q149" s="74">
        <v>0.34279910009106307</v>
      </c>
      <c r="R149" s="80">
        <f>((K149-D149)/D149)</f>
        <v>5.2125302775026673E-2</v>
      </c>
      <c r="S149" s="80">
        <f>((N149-G149)/G149)</f>
        <v>5.2199090963081493E-2</v>
      </c>
      <c r="T149" s="80">
        <f>((O149-H149)/H149)</f>
        <v>0</v>
      </c>
      <c r="U149" s="80">
        <f>P149-I149</f>
        <v>4.7854198555696781E-2</v>
      </c>
      <c r="V149" s="81">
        <f>Q149-J149</f>
        <v>6.6526115733238522E-2</v>
      </c>
    </row>
    <row r="150" spans="1:22">
      <c r="A150" s="170">
        <v>127</v>
      </c>
      <c r="B150" s="168" t="s">
        <v>200</v>
      </c>
      <c r="C150" s="169" t="s">
        <v>23</v>
      </c>
      <c r="D150" s="55">
        <v>6683024480.4200001</v>
      </c>
      <c r="E150" s="52">
        <f t="shared" si="67"/>
        <v>0.12543712998527168</v>
      </c>
      <c r="F150" s="55">
        <v>783.81079999999997</v>
      </c>
      <c r="G150" s="55">
        <v>807.44320000000005</v>
      </c>
      <c r="H150" s="56">
        <v>21342</v>
      </c>
      <c r="I150" s="74">
        <v>4.3999999999999997E-2</v>
      </c>
      <c r="J150" s="74">
        <v>0.20069999999999999</v>
      </c>
      <c r="K150" s="55">
        <v>6734966292.8100004</v>
      </c>
      <c r="L150" s="77">
        <f t="shared" si="68"/>
        <v>0.12510771687849884</v>
      </c>
      <c r="M150" s="55">
        <v>789.82939999999996</v>
      </c>
      <c r="N150" s="55">
        <v>813.64340000000004</v>
      </c>
      <c r="O150" s="56">
        <v>21342</v>
      </c>
      <c r="P150" s="74">
        <v>0.40150000000000002</v>
      </c>
      <c r="Q150" s="74">
        <v>0.20630000000000001</v>
      </c>
      <c r="R150" s="80">
        <f t="shared" ref="R150:R177" si="69">((K150-D150)/D150)</f>
        <v>7.7722014249955312E-3</v>
      </c>
      <c r="S150" s="80">
        <f t="shared" ref="S150:S177" si="70">((N150-G150)/G150)</f>
        <v>7.6788063853903219E-3</v>
      </c>
      <c r="T150" s="80">
        <f t="shared" ref="T150:T177" si="71">((O150-H150)/H150)</f>
        <v>0</v>
      </c>
      <c r="U150" s="80">
        <f t="shared" ref="U150:U177" si="72">P150-I150</f>
        <v>0.35750000000000004</v>
      </c>
      <c r="V150" s="81">
        <f t="shared" ref="V150:V177" si="73">Q150-J150</f>
        <v>5.6000000000000216E-3</v>
      </c>
    </row>
    <row r="151" spans="1:22">
      <c r="A151" s="170">
        <v>128</v>
      </c>
      <c r="B151" s="168" t="s">
        <v>201</v>
      </c>
      <c r="C151" s="169" t="s">
        <v>113</v>
      </c>
      <c r="D151" s="55">
        <v>3494993067.02</v>
      </c>
      <c r="E151" s="52">
        <f t="shared" si="67"/>
        <v>6.5599325713955686E-2</v>
      </c>
      <c r="F151" s="55">
        <v>20.565000000000001</v>
      </c>
      <c r="G151" s="55">
        <v>20.796900000000001</v>
      </c>
      <c r="H151" s="54">
        <v>6177</v>
      </c>
      <c r="I151" s="73">
        <v>3.5000000000000001E-3</v>
      </c>
      <c r="J151" s="73">
        <v>0.12529999999999999</v>
      </c>
      <c r="K151" s="55">
        <v>3496194612.6700001</v>
      </c>
      <c r="L151" s="77">
        <f t="shared" si="68"/>
        <v>6.4944783201217243E-2</v>
      </c>
      <c r="M151" s="55">
        <v>20.663900000000002</v>
      </c>
      <c r="N151" s="55">
        <v>20.897400000000001</v>
      </c>
      <c r="O151" s="54">
        <v>6175</v>
      </c>
      <c r="P151" s="73">
        <v>6.0000000000000001E-3</v>
      </c>
      <c r="Q151" s="73">
        <v>0.1201</v>
      </c>
      <c r="R151" s="80">
        <f t="shared" si="69"/>
        <v>3.4379056752309705E-4</v>
      </c>
      <c r="S151" s="80">
        <f t="shared" si="70"/>
        <v>4.8324509902918341E-3</v>
      </c>
      <c r="T151" s="80">
        <f t="shared" si="71"/>
        <v>-3.2378177108628785E-4</v>
      </c>
      <c r="U151" s="80">
        <f t="shared" si="72"/>
        <v>2.5000000000000001E-3</v>
      </c>
      <c r="V151" s="81">
        <f t="shared" si="73"/>
        <v>-5.1999999999999963E-3</v>
      </c>
    </row>
    <row r="152" spans="1:22">
      <c r="A152" s="170">
        <v>129</v>
      </c>
      <c r="B152" s="168" t="s">
        <v>202</v>
      </c>
      <c r="C152" s="169" t="s">
        <v>122</v>
      </c>
      <c r="D152" s="51">
        <v>1851934023.48751</v>
      </c>
      <c r="E152" s="52">
        <f t="shared" si="67"/>
        <v>3.475990391909365E-2</v>
      </c>
      <c r="F152" s="55">
        <v>4.3559000000000001</v>
      </c>
      <c r="G152" s="55">
        <v>4.4569999999999999</v>
      </c>
      <c r="H152" s="54">
        <v>2746</v>
      </c>
      <c r="I152" s="73">
        <v>-7.1462180355102295E-2</v>
      </c>
      <c r="J152" s="73">
        <v>0.47706134026497299</v>
      </c>
      <c r="K152" s="51">
        <v>1887031221.5639601</v>
      </c>
      <c r="L152" s="77">
        <f t="shared" si="68"/>
        <v>3.5053207030945985E-2</v>
      </c>
      <c r="M152" s="55">
        <v>4.4382000000000001</v>
      </c>
      <c r="N152" s="55">
        <v>4.5427</v>
      </c>
      <c r="O152" s="54">
        <v>2744</v>
      </c>
      <c r="P152" s="73">
        <v>1.0053591461264799</v>
      </c>
      <c r="Q152" s="73">
        <v>0.496177397511396</v>
      </c>
      <c r="R152" s="80">
        <f t="shared" si="69"/>
        <v>1.8951646025896784E-2</v>
      </c>
      <c r="S152" s="80">
        <f t="shared" si="70"/>
        <v>1.9228180390397153E-2</v>
      </c>
      <c r="T152" s="80">
        <f t="shared" si="71"/>
        <v>-7.2833211944646763E-4</v>
      </c>
      <c r="U152" s="80">
        <f t="shared" si="72"/>
        <v>1.0768213264815822</v>
      </c>
      <c r="V152" s="81">
        <f t="shared" si="73"/>
        <v>1.9116057246423013E-2</v>
      </c>
    </row>
    <row r="153" spans="1:22">
      <c r="A153" s="170">
        <v>130</v>
      </c>
      <c r="B153" s="168" t="s">
        <v>203</v>
      </c>
      <c r="C153" s="169" t="s">
        <v>65</v>
      </c>
      <c r="D153" s="55">
        <v>3305560373.2393799</v>
      </c>
      <c r="E153" s="52">
        <f t="shared" si="67"/>
        <v>6.2043765876813442E-2</v>
      </c>
      <c r="F153" s="55">
        <v>7432.0857818166196</v>
      </c>
      <c r="G153" s="55">
        <v>7493.3416097025702</v>
      </c>
      <c r="H153" s="54">
        <v>931</v>
      </c>
      <c r="I153" s="73">
        <v>-4.3190712305985701E-2</v>
      </c>
      <c r="J153" s="73">
        <v>0.31138953636387601</v>
      </c>
      <c r="K153" s="55">
        <v>3338836474.1802201</v>
      </c>
      <c r="L153" s="77">
        <f t="shared" si="68"/>
        <v>6.2021722181635923E-2</v>
      </c>
      <c r="M153" s="55">
        <v>7517.8765049325502</v>
      </c>
      <c r="N153" s="55">
        <v>7580.4329342668798</v>
      </c>
      <c r="O153" s="54">
        <v>934</v>
      </c>
      <c r="P153" s="73">
        <v>0.60354917433527711</v>
      </c>
      <c r="Q153" s="73">
        <v>0.32090762151201968</v>
      </c>
      <c r="R153" s="80">
        <f t="shared" si="69"/>
        <v>1.0066704940630191E-2</v>
      </c>
      <c r="S153" s="80">
        <f t="shared" si="70"/>
        <v>1.1622494889535203E-2</v>
      </c>
      <c r="T153" s="80">
        <f t="shared" si="71"/>
        <v>3.22234156820623E-3</v>
      </c>
      <c r="U153" s="80">
        <f t="shared" si="72"/>
        <v>0.64673988664126281</v>
      </c>
      <c r="V153" s="81">
        <f t="shared" si="73"/>
        <v>9.5180851481436735E-3</v>
      </c>
    </row>
    <row r="154" spans="1:22">
      <c r="A154" s="170">
        <v>131</v>
      </c>
      <c r="B154" s="168" t="s">
        <v>204</v>
      </c>
      <c r="C154" s="169" t="s">
        <v>67</v>
      </c>
      <c r="D154" s="55">
        <v>821350618.87</v>
      </c>
      <c r="E154" s="52">
        <f t="shared" si="67"/>
        <v>1.5416352976789434E-2</v>
      </c>
      <c r="F154" s="55">
        <v>195.07</v>
      </c>
      <c r="G154" s="55">
        <v>196.68</v>
      </c>
      <c r="H154" s="54">
        <v>678</v>
      </c>
      <c r="I154" s="73">
        <v>1.9E-3</v>
      </c>
      <c r="J154" s="73">
        <v>0.2515</v>
      </c>
      <c r="K154" s="55">
        <v>832502898.23000002</v>
      </c>
      <c r="L154" s="77">
        <f t="shared" si="68"/>
        <v>1.5464448129974748E-2</v>
      </c>
      <c r="M154" s="55">
        <v>197.08</v>
      </c>
      <c r="N154" s="55">
        <v>198.97</v>
      </c>
      <c r="O154" s="54">
        <v>679</v>
      </c>
      <c r="P154" s="73">
        <v>1.0999999999999999E-2</v>
      </c>
      <c r="Q154" s="73">
        <v>0.26390000000000002</v>
      </c>
      <c r="R154" s="80">
        <f t="shared" si="69"/>
        <v>1.3577976449744601E-2</v>
      </c>
      <c r="S154" s="80">
        <f t="shared" si="70"/>
        <v>1.1643278421801871E-2</v>
      </c>
      <c r="T154" s="80">
        <f t="shared" si="71"/>
        <v>1.4749262536873156E-3</v>
      </c>
      <c r="U154" s="80">
        <f t="shared" si="72"/>
        <v>9.0999999999999987E-3</v>
      </c>
      <c r="V154" s="81">
        <f t="shared" si="73"/>
        <v>1.2400000000000022E-2</v>
      </c>
    </row>
    <row r="155" spans="1:22">
      <c r="A155" s="170">
        <v>132</v>
      </c>
      <c r="B155" s="168" t="s">
        <v>205</v>
      </c>
      <c r="C155" s="169" t="s">
        <v>69</v>
      </c>
      <c r="D155" s="55">
        <v>3734808.11</v>
      </c>
      <c r="E155" s="52">
        <f t="shared" si="67"/>
        <v>7.0100537823359073E-5</v>
      </c>
      <c r="F155" s="55">
        <v>102.747</v>
      </c>
      <c r="G155" s="55">
        <v>102.99</v>
      </c>
      <c r="H155" s="54">
        <v>0</v>
      </c>
      <c r="I155" s="73">
        <v>0</v>
      </c>
      <c r="J155" s="73">
        <v>0</v>
      </c>
      <c r="K155" s="55">
        <v>3734808.11</v>
      </c>
      <c r="L155" s="77">
        <f t="shared" si="68"/>
        <v>6.9377231497093545E-5</v>
      </c>
      <c r="M155" s="55">
        <v>102.747</v>
      </c>
      <c r="N155" s="55">
        <v>102.99</v>
      </c>
      <c r="O155" s="54">
        <v>0</v>
      </c>
      <c r="P155" s="73">
        <v>0</v>
      </c>
      <c r="Q155" s="73">
        <v>0</v>
      </c>
      <c r="R155" s="80">
        <f t="shared" si="69"/>
        <v>0</v>
      </c>
      <c r="S155" s="80">
        <f t="shared" si="70"/>
        <v>0</v>
      </c>
      <c r="T155" s="80" t="e">
        <f t="shared" si="71"/>
        <v>#DIV/0!</v>
      </c>
      <c r="U155" s="80">
        <f t="shared" si="72"/>
        <v>0</v>
      </c>
      <c r="V155" s="81">
        <f t="shared" si="73"/>
        <v>0</v>
      </c>
    </row>
    <row r="156" spans="1:22">
      <c r="A156" s="170">
        <v>133</v>
      </c>
      <c r="B156" s="168" t="s">
        <v>206</v>
      </c>
      <c r="C156" s="169" t="s">
        <v>127</v>
      </c>
      <c r="D156" s="55">
        <v>200568393.91999999</v>
      </c>
      <c r="E156" s="52">
        <f t="shared" si="67"/>
        <v>3.7645715308675769E-3</v>
      </c>
      <c r="F156" s="55">
        <v>1.5814999999999999</v>
      </c>
      <c r="G156" s="55">
        <v>1.5740000000000001</v>
      </c>
      <c r="H156" s="54">
        <v>353</v>
      </c>
      <c r="I156" s="73">
        <v>4.4458558272466586E-3</v>
      </c>
      <c r="J156" s="73">
        <v>8.0333356103558851E-2</v>
      </c>
      <c r="K156" s="55">
        <v>204339208.84999999</v>
      </c>
      <c r="L156" s="77">
        <f t="shared" si="68"/>
        <v>3.7957742884732562E-3</v>
      </c>
      <c r="M156" s="55">
        <v>1.6053999999999999</v>
      </c>
      <c r="N156" s="55">
        <v>1.6203000000000001</v>
      </c>
      <c r="O156" s="54">
        <v>355</v>
      </c>
      <c r="P156" s="73">
        <v>1.5112235219728154E-2</v>
      </c>
      <c r="Q156" s="73">
        <v>9.6659607896714128E-2</v>
      </c>
      <c r="R156" s="80">
        <f t="shared" si="69"/>
        <v>1.8800643791883075E-2</v>
      </c>
      <c r="S156" s="80">
        <f t="shared" si="70"/>
        <v>2.9415501905972051E-2</v>
      </c>
      <c r="T156" s="80">
        <f t="shared" si="71"/>
        <v>5.6657223796033997E-3</v>
      </c>
      <c r="U156" s="80">
        <f t="shared" si="72"/>
        <v>1.0666379392481495E-2</v>
      </c>
      <c r="V156" s="81">
        <f t="shared" si="73"/>
        <v>1.6326251793155278E-2</v>
      </c>
    </row>
    <row r="157" spans="1:22">
      <c r="A157" s="170">
        <v>134</v>
      </c>
      <c r="B157" s="168" t="s">
        <v>207</v>
      </c>
      <c r="C157" s="169" t="s">
        <v>29</v>
      </c>
      <c r="D157" s="67">
        <v>131253037.93000001</v>
      </c>
      <c r="E157" s="52">
        <f t="shared" si="67"/>
        <v>2.4635558986838414E-3</v>
      </c>
      <c r="F157" s="55">
        <v>154.9511</v>
      </c>
      <c r="G157" s="55">
        <v>155.55160000000001</v>
      </c>
      <c r="H157" s="54">
        <v>123</v>
      </c>
      <c r="I157" s="73">
        <v>1.9599999999999999E-4</v>
      </c>
      <c r="J157" s="73">
        <v>0.13350000000000001</v>
      </c>
      <c r="K157" s="67">
        <v>131253037.93000001</v>
      </c>
      <c r="L157" s="77">
        <f t="shared" si="68"/>
        <v>2.4381366134407401E-3</v>
      </c>
      <c r="M157" s="55">
        <v>155.7079</v>
      </c>
      <c r="N157" s="55">
        <v>156.3039</v>
      </c>
      <c r="O157" s="54">
        <v>97</v>
      </c>
      <c r="P157" s="73">
        <v>5.5999999999999995E-4</v>
      </c>
      <c r="Q157" s="73">
        <v>0.1358</v>
      </c>
      <c r="R157" s="80">
        <f t="shared" si="69"/>
        <v>0</v>
      </c>
      <c r="S157" s="80">
        <f t="shared" si="70"/>
        <v>4.8363372668618716E-3</v>
      </c>
      <c r="T157" s="80">
        <f t="shared" si="71"/>
        <v>-0.21138211382113822</v>
      </c>
      <c r="U157" s="80">
        <f t="shared" si="72"/>
        <v>3.6399999999999996E-4</v>
      </c>
      <c r="V157" s="81">
        <f t="shared" si="73"/>
        <v>2.2999999999999965E-3</v>
      </c>
    </row>
    <row r="158" spans="1:22">
      <c r="A158" s="170">
        <v>135</v>
      </c>
      <c r="B158" s="168" t="s">
        <v>208</v>
      </c>
      <c r="C158" s="169" t="s">
        <v>73</v>
      </c>
      <c r="D158" s="67">
        <v>224850578.56999999</v>
      </c>
      <c r="E158" s="52">
        <f t="shared" si="67"/>
        <v>4.2203363662639305E-3</v>
      </c>
      <c r="F158" s="55">
        <v>120.51</v>
      </c>
      <c r="G158" s="55">
        <v>121.62</v>
      </c>
      <c r="H158" s="54">
        <v>38</v>
      </c>
      <c r="I158" s="73">
        <v>-1.8E-3</v>
      </c>
      <c r="J158" s="73">
        <v>0.2046</v>
      </c>
      <c r="K158" s="67">
        <v>226392887.97</v>
      </c>
      <c r="L158" s="77">
        <f t="shared" si="68"/>
        <v>4.205440101711211E-3</v>
      </c>
      <c r="M158" s="55">
        <v>121.36</v>
      </c>
      <c r="N158" s="55">
        <v>122.54</v>
      </c>
      <c r="O158" s="54">
        <v>39</v>
      </c>
      <c r="P158" s="73">
        <v>8.8999999999999999E-3</v>
      </c>
      <c r="Q158" s="73">
        <v>0.21310000000000001</v>
      </c>
      <c r="R158" s="80">
        <f t="shared" si="69"/>
        <v>6.8592636488140389E-3</v>
      </c>
      <c r="S158" s="80">
        <f t="shared" si="70"/>
        <v>7.5645453050485253E-3</v>
      </c>
      <c r="T158" s="80">
        <f t="shared" si="71"/>
        <v>2.6315789473684209E-2</v>
      </c>
      <c r="U158" s="80">
        <f t="shared" si="72"/>
        <v>1.0699999999999999E-2</v>
      </c>
      <c r="V158" s="81">
        <f t="shared" si="73"/>
        <v>8.5000000000000075E-3</v>
      </c>
    </row>
    <row r="159" spans="1:22" ht="15.75" customHeight="1">
      <c r="A159" s="170">
        <v>136</v>
      </c>
      <c r="B159" s="168" t="s">
        <v>209</v>
      </c>
      <c r="C159" s="169" t="s">
        <v>76</v>
      </c>
      <c r="D159" s="51">
        <v>307854919.41000003</v>
      </c>
      <c r="E159" s="52">
        <f t="shared" si="67"/>
        <v>5.7782876085186253E-3</v>
      </c>
      <c r="F159" s="55">
        <v>1.2276</v>
      </c>
      <c r="G159" s="55">
        <v>1.2276</v>
      </c>
      <c r="H159" s="54">
        <v>102</v>
      </c>
      <c r="I159" s="73">
        <v>-1.1000000000000001E-3</v>
      </c>
      <c r="J159" s="73">
        <v>4.53E-2</v>
      </c>
      <c r="K159" s="51">
        <v>308553074</v>
      </c>
      <c r="L159" s="77">
        <f t="shared" si="68"/>
        <v>5.7316353112550778E-3</v>
      </c>
      <c r="M159" s="55">
        <v>1.2298</v>
      </c>
      <c r="N159" s="55">
        <v>1.2405999999999999</v>
      </c>
      <c r="O159" s="54">
        <v>102</v>
      </c>
      <c r="P159" s="73">
        <v>1.2999999999999999E-3</v>
      </c>
      <c r="Q159" s="73">
        <v>4.6100000000000002E-2</v>
      </c>
      <c r="R159" s="80">
        <f t="shared" si="69"/>
        <v>2.2678039101599479E-3</v>
      </c>
      <c r="S159" s="80">
        <f t="shared" si="70"/>
        <v>1.0589768654284702E-2</v>
      </c>
      <c r="T159" s="80">
        <f t="shared" si="71"/>
        <v>0</v>
      </c>
      <c r="U159" s="80">
        <f t="shared" si="72"/>
        <v>2.4000000000000002E-3</v>
      </c>
      <c r="V159" s="81">
        <f t="shared" si="73"/>
        <v>8.000000000000021E-4</v>
      </c>
    </row>
    <row r="160" spans="1:22">
      <c r="A160" s="170">
        <v>137</v>
      </c>
      <c r="B160" s="168" t="s">
        <v>210</v>
      </c>
      <c r="C160" s="169" t="s">
        <v>31</v>
      </c>
      <c r="D160" s="55">
        <v>9199462836.2800007</v>
      </c>
      <c r="E160" s="52">
        <f t="shared" si="67"/>
        <v>0.17266945811286469</v>
      </c>
      <c r="F160" s="55">
        <v>307.69</v>
      </c>
      <c r="G160" s="55">
        <v>309.89</v>
      </c>
      <c r="H160" s="54">
        <v>5460</v>
      </c>
      <c r="I160" s="73">
        <v>1.1999999999999999E-3</v>
      </c>
      <c r="J160" s="73">
        <v>0.2606</v>
      </c>
      <c r="K160" s="55">
        <v>9428611670.3400002</v>
      </c>
      <c r="L160" s="77">
        <f t="shared" si="68"/>
        <v>0.17514446667231215</v>
      </c>
      <c r="M160" s="55">
        <v>315.27</v>
      </c>
      <c r="N160" s="55">
        <v>317.57</v>
      </c>
      <c r="O160" s="54">
        <v>5460</v>
      </c>
      <c r="P160" s="73">
        <v>2.47E-2</v>
      </c>
      <c r="Q160" s="73">
        <v>0.28870000000000001</v>
      </c>
      <c r="R160" s="80">
        <f t="shared" si="69"/>
        <v>2.4908936330097799E-2</v>
      </c>
      <c r="S160" s="80">
        <f t="shared" si="70"/>
        <v>2.4782987511697722E-2</v>
      </c>
      <c r="T160" s="80">
        <f t="shared" si="71"/>
        <v>0</v>
      </c>
      <c r="U160" s="80">
        <f t="shared" si="72"/>
        <v>2.35E-2</v>
      </c>
      <c r="V160" s="81">
        <f t="shared" si="73"/>
        <v>2.8100000000000014E-2</v>
      </c>
    </row>
    <row r="161" spans="1:22">
      <c r="A161" s="170">
        <v>138</v>
      </c>
      <c r="B161" s="168" t="s">
        <v>211</v>
      </c>
      <c r="C161" s="169" t="s">
        <v>81</v>
      </c>
      <c r="D161" s="55">
        <v>3204580911.2600002</v>
      </c>
      <c r="E161" s="52">
        <f t="shared" si="67"/>
        <v>6.0148430323986882E-2</v>
      </c>
      <c r="F161" s="55">
        <v>2.2473999999999998</v>
      </c>
      <c r="G161" s="55">
        <v>2.2864</v>
      </c>
      <c r="H161" s="54">
        <v>10307</v>
      </c>
      <c r="I161" s="73">
        <v>2.3E-3</v>
      </c>
      <c r="J161" s="73">
        <v>0.28860000000000002</v>
      </c>
      <c r="K161" s="55">
        <v>3253628662.8800001</v>
      </c>
      <c r="L161" s="77">
        <f t="shared" si="68"/>
        <v>6.0438914745262431E-2</v>
      </c>
      <c r="M161" s="55">
        <v>2.2799999999999998</v>
      </c>
      <c r="N161" s="55">
        <v>2.3203</v>
      </c>
      <c r="O161" s="54">
        <v>10308</v>
      </c>
      <c r="P161" s="73">
        <v>1.47E-2</v>
      </c>
      <c r="Q161" s="73">
        <v>0.3075</v>
      </c>
      <c r="R161" s="80">
        <f t="shared" si="69"/>
        <v>1.5305512008656052E-2</v>
      </c>
      <c r="S161" s="80">
        <f t="shared" si="70"/>
        <v>1.4826801959412194E-2</v>
      </c>
      <c r="T161" s="80">
        <f t="shared" si="71"/>
        <v>9.7021441738624241E-5</v>
      </c>
      <c r="U161" s="80">
        <f t="shared" si="72"/>
        <v>1.24E-2</v>
      </c>
      <c r="V161" s="81">
        <f t="shared" si="73"/>
        <v>1.8899999999999972E-2</v>
      </c>
    </row>
    <row r="162" spans="1:22">
      <c r="A162" s="170">
        <v>139</v>
      </c>
      <c r="B162" s="168" t="s">
        <v>212</v>
      </c>
      <c r="C162" s="169" t="s">
        <v>83</v>
      </c>
      <c r="D162" s="55">
        <v>247537502.123752</v>
      </c>
      <c r="E162" s="52">
        <f t="shared" si="67"/>
        <v>4.646158924166496E-3</v>
      </c>
      <c r="F162" s="55">
        <v>322.081668009731</v>
      </c>
      <c r="G162" s="55">
        <v>324.45347595438699</v>
      </c>
      <c r="H162" s="54">
        <v>40</v>
      </c>
      <c r="I162" s="73">
        <v>4.4000000000000003E-3</v>
      </c>
      <c r="J162" s="73">
        <v>0.3463</v>
      </c>
      <c r="K162" s="55">
        <v>251132099.96612707</v>
      </c>
      <c r="L162" s="77">
        <f t="shared" si="68"/>
        <v>4.664991968141902E-3</v>
      </c>
      <c r="M162" s="55">
        <v>326.75875353803798</v>
      </c>
      <c r="N162" s="55">
        <v>329.29099142113995</v>
      </c>
      <c r="O162" s="54">
        <v>40</v>
      </c>
      <c r="P162" s="73">
        <v>1.4521427305094647E-2</v>
      </c>
      <c r="Q162" s="73">
        <v>0.3463</v>
      </c>
      <c r="R162" s="80">
        <f t="shared" si="69"/>
        <v>1.4521427305095832E-2</v>
      </c>
      <c r="S162" s="80">
        <f t="shared" si="70"/>
        <v>1.4909735371221726E-2</v>
      </c>
      <c r="T162" s="80">
        <f t="shared" si="71"/>
        <v>0</v>
      </c>
      <c r="U162" s="80">
        <f t="shared" si="72"/>
        <v>1.0121427305094646E-2</v>
      </c>
      <c r="V162" s="81">
        <f t="shared" si="73"/>
        <v>0</v>
      </c>
    </row>
    <row r="163" spans="1:22">
      <c r="A163" s="170">
        <v>140</v>
      </c>
      <c r="B163" s="168" t="s">
        <v>213</v>
      </c>
      <c r="C163" s="168" t="s">
        <v>85</v>
      </c>
      <c r="D163" s="55">
        <v>58463439.32</v>
      </c>
      <c r="E163" s="52">
        <f t="shared" si="67"/>
        <v>1.0973304166181962E-3</v>
      </c>
      <c r="F163" s="55">
        <v>1.1379999999999999</v>
      </c>
      <c r="G163" s="55">
        <v>1.1499999999999999</v>
      </c>
      <c r="H163" s="54">
        <v>28</v>
      </c>
      <c r="I163" s="73">
        <v>0.71</v>
      </c>
      <c r="J163" s="73">
        <v>0.16930000000000001</v>
      </c>
      <c r="K163" s="55">
        <v>59006197.420000002</v>
      </c>
      <c r="L163" s="77">
        <f t="shared" si="68"/>
        <v>1.0960902133658869E-3</v>
      </c>
      <c r="M163" s="55">
        <v>1.1479999999999999</v>
      </c>
      <c r="N163" s="55">
        <v>1.161</v>
      </c>
      <c r="O163" s="54">
        <v>28</v>
      </c>
      <c r="P163" s="73">
        <v>8.8000000000000005E-3</v>
      </c>
      <c r="Q163" s="73">
        <v>0.18</v>
      </c>
      <c r="R163" s="80">
        <f t="shared" ref="R163" si="74">((K163-D163)/D163)</f>
        <v>9.2837182744109816E-3</v>
      </c>
      <c r="S163" s="80">
        <f t="shared" ref="S163" si="75">((N163-G163)/G163)</f>
        <v>9.5652173913044532E-3</v>
      </c>
      <c r="T163" s="80">
        <f t="shared" ref="T163" si="76">((O163-H163)/H163)</f>
        <v>0</v>
      </c>
      <c r="U163" s="80">
        <f t="shared" ref="U163" si="77">P163-I163</f>
        <v>-0.70119999999999993</v>
      </c>
      <c r="V163" s="81">
        <f t="shared" ref="V163:V165" si="78">Q163-J163</f>
        <v>1.0699999999999987E-2</v>
      </c>
    </row>
    <row r="164" spans="1:22" ht="13.5" customHeight="1">
      <c r="A164" s="170">
        <v>141</v>
      </c>
      <c r="B164" s="168" t="s">
        <v>214</v>
      </c>
      <c r="C164" s="169" t="s">
        <v>37</v>
      </c>
      <c r="D164" s="51">
        <v>2873765262.3299999</v>
      </c>
      <c r="E164" s="52">
        <f t="shared" si="67"/>
        <v>5.3939180952303219E-2</v>
      </c>
      <c r="F164" s="55">
        <v>4.0584340000000001</v>
      </c>
      <c r="G164" s="55">
        <v>4.2010759999999996</v>
      </c>
      <c r="H164" s="54">
        <v>2356</v>
      </c>
      <c r="I164" s="73">
        <v>-3.8061434385386899E-3</v>
      </c>
      <c r="J164" s="73">
        <v>0.115782036125698</v>
      </c>
      <c r="K164" s="51">
        <v>2899274722.6399999</v>
      </c>
      <c r="L164" s="77">
        <f t="shared" si="68"/>
        <v>5.3856489458642354E-2</v>
      </c>
      <c r="M164" s="55">
        <v>4.0945029999999996</v>
      </c>
      <c r="N164" s="55">
        <v>4.2225419999999998</v>
      </c>
      <c r="O164" s="54">
        <v>2357</v>
      </c>
      <c r="P164" s="73">
        <v>8.8999999999999999E-3</v>
      </c>
      <c r="Q164" s="73">
        <v>0.12570000000000001</v>
      </c>
      <c r="R164" s="80">
        <f t="shared" si="69"/>
        <v>8.8766680578904727E-3</v>
      </c>
      <c r="S164" s="80">
        <f t="shared" si="70"/>
        <v>5.1096433389922506E-3</v>
      </c>
      <c r="T164" s="80">
        <f t="shared" si="71"/>
        <v>4.2444821731748726E-4</v>
      </c>
      <c r="U164" s="80">
        <f t="shared" si="72"/>
        <v>1.2706143438538689E-2</v>
      </c>
      <c r="V164" s="81">
        <f t="shared" si="78"/>
        <v>9.9179638743020077E-3</v>
      </c>
    </row>
    <row r="165" spans="1:22" ht="13.5" customHeight="1">
      <c r="A165" s="170">
        <v>142</v>
      </c>
      <c r="B165" s="168" t="s">
        <v>215</v>
      </c>
      <c r="C165" s="169" t="s">
        <v>216</v>
      </c>
      <c r="D165" s="51">
        <v>64597462.869999997</v>
      </c>
      <c r="E165" s="52">
        <f t="shared" si="67"/>
        <v>1.2124630652607929E-3</v>
      </c>
      <c r="F165" s="55">
        <v>2.0775999999999999</v>
      </c>
      <c r="G165" s="55">
        <v>2.0872000000000002</v>
      </c>
      <c r="H165" s="54">
        <v>66</v>
      </c>
      <c r="I165" s="73">
        <v>-1E-4</v>
      </c>
      <c r="J165" s="73">
        <v>4.1799999999999997E-2</v>
      </c>
      <c r="K165" s="51">
        <v>65118338.560000002</v>
      </c>
      <c r="L165" s="77">
        <f t="shared" si="68"/>
        <v>1.2096284242520919E-3</v>
      </c>
      <c r="M165" s="55">
        <v>2.0920999999999998</v>
      </c>
      <c r="N165" s="55">
        <v>2.1019000000000001</v>
      </c>
      <c r="O165" s="54">
        <v>66</v>
      </c>
      <c r="P165" s="73">
        <v>5.0000000000000001E-3</v>
      </c>
      <c r="Q165" s="73">
        <v>4.9000000000000002E-2</v>
      </c>
      <c r="R165" s="80">
        <f t="shared" ref="R165" si="79">((K165-D165)/D165)</f>
        <v>8.0634078624457449E-3</v>
      </c>
      <c r="S165" s="80">
        <f t="shared" ref="S165" si="80">((N165-G165)/G165)</f>
        <v>7.0429283250287153E-3</v>
      </c>
      <c r="T165" s="80">
        <f t="shared" ref="T165" si="81">((O165-H165)/H165)</f>
        <v>0</v>
      </c>
      <c r="U165" s="80">
        <f t="shared" ref="U165" si="82">P165-I165</f>
        <v>5.1000000000000004E-3</v>
      </c>
      <c r="V165" s="81">
        <f t="shared" si="78"/>
        <v>7.200000000000005E-3</v>
      </c>
    </row>
    <row r="166" spans="1:22">
      <c r="A166" s="170">
        <v>143</v>
      </c>
      <c r="B166" s="168" t="s">
        <v>217</v>
      </c>
      <c r="C166" s="169" t="s">
        <v>136</v>
      </c>
      <c r="D166" s="51">
        <v>360442145.86000001</v>
      </c>
      <c r="E166" s="52">
        <f t="shared" si="67"/>
        <v>6.7653243579873347E-3</v>
      </c>
      <c r="F166" s="55">
        <v>216.58</v>
      </c>
      <c r="G166" s="55">
        <v>219.69</v>
      </c>
      <c r="H166" s="54">
        <v>141</v>
      </c>
      <c r="I166" s="73">
        <v>5.9999999999999995E-4</v>
      </c>
      <c r="J166" s="73">
        <v>0.2102</v>
      </c>
      <c r="K166" s="51">
        <v>379421833.43000001</v>
      </c>
      <c r="L166" s="77">
        <f t="shared" si="68"/>
        <v>7.0480826852774448E-3</v>
      </c>
      <c r="M166" s="55">
        <v>218.48412099999999</v>
      </c>
      <c r="N166" s="55">
        <v>221.690155</v>
      </c>
      <c r="O166" s="54">
        <v>139</v>
      </c>
      <c r="P166" s="73">
        <v>5.9999999999999995E-4</v>
      </c>
      <c r="Q166" s="73">
        <v>0.21029999999999999</v>
      </c>
      <c r="R166" s="80">
        <f t="shared" si="69"/>
        <v>5.2656682321972216E-2</v>
      </c>
      <c r="S166" s="80">
        <f t="shared" si="70"/>
        <v>9.1044426236970583E-3</v>
      </c>
      <c r="T166" s="80">
        <f t="shared" si="71"/>
        <v>-1.4184397163120567E-2</v>
      </c>
      <c r="U166" s="80">
        <f t="shared" si="72"/>
        <v>0</v>
      </c>
      <c r="V166" s="81">
        <f t="shared" si="73"/>
        <v>9.9999999999988987E-5</v>
      </c>
    </row>
    <row r="167" spans="1:22">
      <c r="A167" s="170">
        <v>144</v>
      </c>
      <c r="B167" s="168" t="s">
        <v>218</v>
      </c>
      <c r="C167" s="169" t="s">
        <v>33</v>
      </c>
      <c r="D167" s="51">
        <v>2149292270.2600002</v>
      </c>
      <c r="E167" s="52">
        <f t="shared" si="67"/>
        <v>4.0341174070336494E-2</v>
      </c>
      <c r="F167" s="55">
        <v>552.22</v>
      </c>
      <c r="G167" s="55">
        <v>552.22</v>
      </c>
      <c r="H167" s="54">
        <v>823</v>
      </c>
      <c r="I167" s="73">
        <v>-1.7000000000000001E-2</v>
      </c>
      <c r="J167" s="73">
        <v>0.37480000000000002</v>
      </c>
      <c r="K167" s="51">
        <v>2161793297.23</v>
      </c>
      <c r="L167" s="77">
        <f t="shared" si="68"/>
        <v>4.0157145859574264E-2</v>
      </c>
      <c r="M167" s="55">
        <v>552.22</v>
      </c>
      <c r="N167" s="55">
        <v>552.22</v>
      </c>
      <c r="O167" s="54">
        <v>823</v>
      </c>
      <c r="P167" s="73">
        <v>2.5999999999999999E-3</v>
      </c>
      <c r="Q167" s="73">
        <v>0.38279999999999997</v>
      </c>
      <c r="R167" s="80">
        <f t="shared" si="69"/>
        <v>5.8163457538920656E-3</v>
      </c>
      <c r="S167" s="80">
        <f t="shared" si="70"/>
        <v>0</v>
      </c>
      <c r="T167" s="80">
        <f t="shared" si="71"/>
        <v>0</v>
      </c>
      <c r="U167" s="80">
        <f t="shared" si="72"/>
        <v>1.9599999999999999E-2</v>
      </c>
      <c r="V167" s="81">
        <f t="shared" si="73"/>
        <v>7.9999999999999516E-3</v>
      </c>
    </row>
    <row r="168" spans="1:22">
      <c r="A168" s="170">
        <v>145</v>
      </c>
      <c r="B168" s="168" t="s">
        <v>219</v>
      </c>
      <c r="C168" s="169" t="s">
        <v>92</v>
      </c>
      <c r="D168" s="55">
        <v>29450459.289999999</v>
      </c>
      <c r="E168" s="52">
        <f t="shared" si="67"/>
        <v>5.5277084513290871E-4</v>
      </c>
      <c r="F168" s="55">
        <v>1.81</v>
      </c>
      <c r="G168" s="55">
        <v>1.81</v>
      </c>
      <c r="H168" s="54">
        <v>8</v>
      </c>
      <c r="I168" s="73">
        <v>-6.9499999999999998E-4</v>
      </c>
      <c r="J168" s="73">
        <v>0.112591</v>
      </c>
      <c r="K168" s="55">
        <v>30864256.98</v>
      </c>
      <c r="L168" s="77">
        <f t="shared" si="68"/>
        <v>5.7332977717220541E-4</v>
      </c>
      <c r="M168" s="55">
        <v>1.84</v>
      </c>
      <c r="N168" s="55">
        <v>1.84</v>
      </c>
      <c r="O168" s="54">
        <v>8</v>
      </c>
      <c r="P168" s="73">
        <v>1.3476E-2</v>
      </c>
      <c r="Q168" s="73">
        <v>0.127583</v>
      </c>
      <c r="R168" s="80">
        <f t="shared" si="69"/>
        <v>4.8005964052318224E-2</v>
      </c>
      <c r="S168" s="80">
        <f t="shared" si="70"/>
        <v>1.6574585635359129E-2</v>
      </c>
      <c r="T168" s="80">
        <f t="shared" si="71"/>
        <v>0</v>
      </c>
      <c r="U168" s="80">
        <f t="shared" si="72"/>
        <v>1.4171E-2</v>
      </c>
      <c r="V168" s="81">
        <f t="shared" si="73"/>
        <v>1.4992000000000005E-2</v>
      </c>
    </row>
    <row r="169" spans="1:22">
      <c r="A169" s="170">
        <v>146</v>
      </c>
      <c r="B169" s="168" t="s">
        <v>220</v>
      </c>
      <c r="C169" s="169" t="s">
        <v>45</v>
      </c>
      <c r="D169" s="55">
        <v>210474268.96000001</v>
      </c>
      <c r="E169" s="52">
        <f t="shared" si="67"/>
        <v>3.9505000036198197E-3</v>
      </c>
      <c r="F169" s="55">
        <v>2.1204960000000002</v>
      </c>
      <c r="G169" s="55">
        <v>2.1678449999999998</v>
      </c>
      <c r="H169" s="54">
        <v>119</v>
      </c>
      <c r="I169" s="73">
        <v>9.2999999999999992E-3</v>
      </c>
      <c r="J169" s="73">
        <v>-8.5300000000000001E-2</v>
      </c>
      <c r="K169" s="55">
        <v>257465995.72999999</v>
      </c>
      <c r="L169" s="77">
        <f t="shared" si="68"/>
        <v>4.7826494594363266E-3</v>
      </c>
      <c r="M169" s="55">
        <v>2.596133</v>
      </c>
      <c r="N169" s="55">
        <v>2.6444190000000001</v>
      </c>
      <c r="O169" s="54">
        <v>115</v>
      </c>
      <c r="P169" s="73">
        <v>8.4000000000000005E-2</v>
      </c>
      <c r="Q169" s="73">
        <v>0.1178</v>
      </c>
      <c r="R169" s="80">
        <f t="shared" si="69"/>
        <v>0.22326589849769529</v>
      </c>
      <c r="S169" s="80">
        <f t="shared" si="70"/>
        <v>0.21983767289635575</v>
      </c>
      <c r="T169" s="80">
        <f t="shared" si="71"/>
        <v>-3.3613445378151259E-2</v>
      </c>
      <c r="U169" s="80">
        <f t="shared" si="72"/>
        <v>7.4700000000000003E-2</v>
      </c>
      <c r="V169" s="81">
        <f t="shared" si="73"/>
        <v>0.2031</v>
      </c>
    </row>
    <row r="170" spans="1:22">
      <c r="A170" s="170">
        <v>147</v>
      </c>
      <c r="B170" s="168" t="s">
        <v>221</v>
      </c>
      <c r="C170" s="169" t="s">
        <v>49</v>
      </c>
      <c r="D170" s="51">
        <v>2705783381.1700001</v>
      </c>
      <c r="E170" s="52">
        <f t="shared" si="67"/>
        <v>5.0786242470037907E-2</v>
      </c>
      <c r="F170" s="55">
        <v>6190.61</v>
      </c>
      <c r="G170" s="55">
        <v>6254.25</v>
      </c>
      <c r="H170" s="54">
        <v>2243</v>
      </c>
      <c r="I170" s="73">
        <v>-1.6000000000000001E-3</v>
      </c>
      <c r="J170" s="73">
        <v>0.24560000000000001</v>
      </c>
      <c r="K170" s="51">
        <v>2743060012.4099998</v>
      </c>
      <c r="L170" s="52">
        <f t="shared" si="68"/>
        <v>5.0954668589757578E-2</v>
      </c>
      <c r="M170" s="55">
        <v>6284.44</v>
      </c>
      <c r="N170" s="55">
        <v>6349.67</v>
      </c>
      <c r="O170" s="54">
        <v>2243</v>
      </c>
      <c r="P170" s="73">
        <v>1.5299999999999999E-2</v>
      </c>
      <c r="Q170" s="73">
        <v>0.2646</v>
      </c>
      <c r="R170" s="80">
        <f t="shared" si="69"/>
        <v>1.3776650229805568E-2</v>
      </c>
      <c r="S170" s="80">
        <f t="shared" si="70"/>
        <v>1.5256825358756058E-2</v>
      </c>
      <c r="T170" s="80">
        <f t="shared" si="71"/>
        <v>0</v>
      </c>
      <c r="U170" s="80">
        <f t="shared" si="72"/>
        <v>1.6899999999999998E-2</v>
      </c>
      <c r="V170" s="81">
        <f t="shared" si="73"/>
        <v>1.8999999999999989E-2</v>
      </c>
    </row>
    <row r="171" spans="1:22">
      <c r="A171" s="170">
        <v>148</v>
      </c>
      <c r="B171" s="168" t="s">
        <v>222</v>
      </c>
      <c r="C171" s="168" t="s">
        <v>102</v>
      </c>
      <c r="D171" s="51">
        <v>82462793.609999999</v>
      </c>
      <c r="E171" s="52">
        <f t="shared" si="67"/>
        <v>1.5477866632558153E-3</v>
      </c>
      <c r="F171" s="55">
        <v>1063.22</v>
      </c>
      <c r="G171" s="55">
        <v>1079.67</v>
      </c>
      <c r="H171" s="54">
        <v>8</v>
      </c>
      <c r="I171" s="73">
        <v>6.9009635787462553E-3</v>
      </c>
      <c r="J171" s="73">
        <v>7.46E-2</v>
      </c>
      <c r="K171" s="51">
        <v>82041217.390000001</v>
      </c>
      <c r="L171" s="52">
        <f t="shared" si="68"/>
        <v>1.5239852660514351E-3</v>
      </c>
      <c r="M171" s="55">
        <v>1070.9000000000001</v>
      </c>
      <c r="N171" s="55">
        <v>1087.74</v>
      </c>
      <c r="O171" s="54">
        <v>8</v>
      </c>
      <c r="P171" s="73">
        <v>-4.8257190474545464E-3</v>
      </c>
      <c r="Q171" s="73">
        <v>8.3199999999999996E-2</v>
      </c>
      <c r="R171" s="80">
        <f t="shared" si="69"/>
        <v>-5.1123203755842148E-3</v>
      </c>
      <c r="S171" s="80">
        <f t="shared" si="70"/>
        <v>7.4745060990857723E-3</v>
      </c>
      <c r="T171" s="80">
        <f t="shared" si="71"/>
        <v>0</v>
      </c>
      <c r="U171" s="80">
        <f t="shared" si="72"/>
        <v>-1.1726682626200802E-2</v>
      </c>
      <c r="V171" s="81">
        <f t="shared" si="73"/>
        <v>8.5999999999999965E-3</v>
      </c>
    </row>
    <row r="172" spans="1:22">
      <c r="A172" s="170">
        <v>149</v>
      </c>
      <c r="B172" s="168" t="s">
        <v>223</v>
      </c>
      <c r="C172" s="168" t="s">
        <v>85</v>
      </c>
      <c r="D172" s="51">
        <v>695716286.70000005</v>
      </c>
      <c r="E172" s="52">
        <f t="shared" si="67"/>
        <v>1.3058257461623719E-2</v>
      </c>
      <c r="F172" s="55">
        <v>1.3280000000000001</v>
      </c>
      <c r="G172" s="55">
        <v>1.3280000000000001</v>
      </c>
      <c r="H172" s="54">
        <v>43</v>
      </c>
      <c r="I172" s="73">
        <v>3.0000000000000001E-3</v>
      </c>
      <c r="J172" s="73">
        <v>0.247</v>
      </c>
      <c r="K172" s="51">
        <v>697775004.14999998</v>
      </c>
      <c r="L172" s="52">
        <f t="shared" si="68"/>
        <v>1.2961763113393251E-2</v>
      </c>
      <c r="M172" s="55">
        <v>1.3320000000000001</v>
      </c>
      <c r="N172" s="55">
        <v>1.3320000000000001</v>
      </c>
      <c r="O172" s="54">
        <v>44</v>
      </c>
      <c r="P172" s="73">
        <v>3.0000000000000001E-3</v>
      </c>
      <c r="Q172" s="73">
        <v>0.251</v>
      </c>
      <c r="R172" s="80">
        <f t="shared" si="69"/>
        <v>2.9591336143143482E-3</v>
      </c>
      <c r="S172" s="80">
        <f t="shared" si="70"/>
        <v>3.0120481927710867E-3</v>
      </c>
      <c r="T172" s="80">
        <f t="shared" si="71"/>
        <v>2.3255813953488372E-2</v>
      </c>
      <c r="U172" s="80">
        <f t="shared" si="72"/>
        <v>0</v>
      </c>
      <c r="V172" s="81">
        <f t="shared" si="73"/>
        <v>4.0000000000000036E-3</v>
      </c>
    </row>
    <row r="173" spans="1:22">
      <c r="A173" s="170">
        <v>150</v>
      </c>
      <c r="B173" s="168" t="s">
        <v>224</v>
      </c>
      <c r="C173" s="169" t="s">
        <v>52</v>
      </c>
      <c r="D173" s="55">
        <v>2024311743.8</v>
      </c>
      <c r="E173" s="52">
        <f t="shared" si="67"/>
        <v>3.7995350171423366E-2</v>
      </c>
      <c r="F173" s="55">
        <v>1.8847</v>
      </c>
      <c r="G173" s="55">
        <v>1.8962000000000001</v>
      </c>
      <c r="H173" s="54">
        <v>2198</v>
      </c>
      <c r="I173" s="73">
        <v>-3.5999999999999999E-3</v>
      </c>
      <c r="J173" s="73">
        <v>0.21190000000000001</v>
      </c>
      <c r="K173" s="55">
        <v>2096253484.0599999</v>
      </c>
      <c r="L173" s="77">
        <f t="shared" si="68"/>
        <v>3.8939688186609277E-2</v>
      </c>
      <c r="M173" s="55">
        <v>1.9530000000000001</v>
      </c>
      <c r="N173" s="55">
        <v>1.9653</v>
      </c>
      <c r="O173" s="54">
        <v>2202</v>
      </c>
      <c r="P173" s="73">
        <v>3.6200000000000003E-2</v>
      </c>
      <c r="Q173" s="73">
        <v>0.24879999999999999</v>
      </c>
      <c r="R173" s="80">
        <f t="shared" si="69"/>
        <v>3.5538864248721054E-2</v>
      </c>
      <c r="S173" s="80">
        <f t="shared" si="70"/>
        <v>3.6441303659951449E-2</v>
      </c>
      <c r="T173" s="80">
        <f t="shared" si="71"/>
        <v>1.8198362147406734E-3</v>
      </c>
      <c r="U173" s="80">
        <f t="shared" si="72"/>
        <v>3.9800000000000002E-2</v>
      </c>
      <c r="V173" s="81">
        <f t="shared" si="73"/>
        <v>3.6899999999999988E-2</v>
      </c>
    </row>
    <row r="174" spans="1:22">
      <c r="A174" s="170">
        <v>151</v>
      </c>
      <c r="B174" s="168" t="s">
        <v>225</v>
      </c>
      <c r="C174" s="169" t="s">
        <v>52</v>
      </c>
      <c r="D174" s="55">
        <v>1159840999.9400001</v>
      </c>
      <c r="E174" s="52">
        <f t="shared" si="67"/>
        <v>2.1769653350510849E-2</v>
      </c>
      <c r="F174" s="55">
        <v>1.4681</v>
      </c>
      <c r="G174" s="55">
        <v>1.4762</v>
      </c>
      <c r="H174" s="54">
        <v>811</v>
      </c>
      <c r="I174" s="73">
        <v>3.3E-3</v>
      </c>
      <c r="J174" s="73">
        <v>0.22409999999999999</v>
      </c>
      <c r="K174" s="55">
        <v>1180498126.77</v>
      </c>
      <c r="L174" s="77">
        <f t="shared" si="68"/>
        <v>2.1928754948218096E-2</v>
      </c>
      <c r="M174" s="55">
        <v>1.4952000000000001</v>
      </c>
      <c r="N174" s="55">
        <v>1.5036</v>
      </c>
      <c r="O174" s="54">
        <v>815</v>
      </c>
      <c r="P174" s="73">
        <v>1.84E-2</v>
      </c>
      <c r="Q174" s="73">
        <v>0.24310000000000001</v>
      </c>
      <c r="R174" s="80">
        <f t="shared" si="69"/>
        <v>1.7810309198475083E-2</v>
      </c>
      <c r="S174" s="80">
        <f t="shared" si="70"/>
        <v>1.8561170573093137E-2</v>
      </c>
      <c r="T174" s="80">
        <f t="shared" si="71"/>
        <v>4.9321824907521579E-3</v>
      </c>
      <c r="U174" s="80">
        <f t="shared" si="72"/>
        <v>1.5099999999999999E-2</v>
      </c>
      <c r="V174" s="81">
        <f t="shared" si="73"/>
        <v>1.9000000000000017E-2</v>
      </c>
    </row>
    <row r="175" spans="1:22">
      <c r="A175" s="170">
        <v>152</v>
      </c>
      <c r="B175" s="168" t="s">
        <v>226</v>
      </c>
      <c r="C175" s="169" t="s">
        <v>107</v>
      </c>
      <c r="D175" s="51">
        <v>9799862029.8999996</v>
      </c>
      <c r="E175" s="52">
        <f t="shared" si="67"/>
        <v>0.18393865994114098</v>
      </c>
      <c r="F175" s="55">
        <v>531.67999999999995</v>
      </c>
      <c r="G175" s="55">
        <v>537.48</v>
      </c>
      <c r="H175" s="54">
        <v>37</v>
      </c>
      <c r="I175" s="73">
        <v>-2.5000000000000001E-3</v>
      </c>
      <c r="J175" s="73">
        <v>0.5282</v>
      </c>
      <c r="K175" s="51">
        <v>9655410865.8899994</v>
      </c>
      <c r="L175" s="77">
        <f t="shared" si="68"/>
        <v>0.17935745428227717</v>
      </c>
      <c r="M175" s="55">
        <v>523.67999999999995</v>
      </c>
      <c r="N175" s="55">
        <v>529.64</v>
      </c>
      <c r="O175" s="54">
        <v>37</v>
      </c>
      <c r="P175" s="73">
        <v>-1.4740057907036919E-2</v>
      </c>
      <c r="Q175" s="73">
        <v>0.50564667441910238</v>
      </c>
      <c r="R175" s="80">
        <f t="shared" si="69"/>
        <v>-1.474012221491186E-2</v>
      </c>
      <c r="S175" s="80">
        <f t="shared" si="70"/>
        <v>-1.4586589268437955E-2</v>
      </c>
      <c r="T175" s="80">
        <f t="shared" si="71"/>
        <v>0</v>
      </c>
      <c r="U175" s="80">
        <f t="shared" si="72"/>
        <v>-1.2240057907036918E-2</v>
      </c>
      <c r="V175" s="81">
        <f t="shared" si="73"/>
        <v>-2.2553325580897621E-2</v>
      </c>
    </row>
    <row r="176" spans="1:22">
      <c r="A176" s="170">
        <v>153</v>
      </c>
      <c r="B176" s="168" t="s">
        <v>227</v>
      </c>
      <c r="C176" s="169" t="s">
        <v>47</v>
      </c>
      <c r="D176" s="51">
        <v>527934577.22000003</v>
      </c>
      <c r="E176" s="52">
        <f t="shared" si="67"/>
        <v>9.9090761047612962E-3</v>
      </c>
      <c r="F176" s="55">
        <v>255.12</v>
      </c>
      <c r="G176" s="55">
        <v>258.27</v>
      </c>
      <c r="H176" s="54">
        <v>690</v>
      </c>
      <c r="I176" s="73">
        <v>-6.1999999999999998E-3</v>
      </c>
      <c r="J176" s="73">
        <v>0.32200000000000001</v>
      </c>
      <c r="K176" s="51">
        <v>533379019.5</v>
      </c>
      <c r="L176" s="77">
        <f t="shared" si="68"/>
        <v>9.9079681262511446E-3</v>
      </c>
      <c r="M176" s="55">
        <v>257.68</v>
      </c>
      <c r="N176" s="55">
        <v>260.89</v>
      </c>
      <c r="O176" s="54">
        <v>711</v>
      </c>
      <c r="P176" s="73">
        <v>1.54E-2</v>
      </c>
      <c r="Q176" s="73">
        <v>0.33529999999999999</v>
      </c>
      <c r="R176" s="80">
        <f t="shared" si="69"/>
        <v>1.0312721528241883E-2</v>
      </c>
      <c r="S176" s="80">
        <f t="shared" si="70"/>
        <v>1.0144422503581541E-2</v>
      </c>
      <c r="T176" s="80">
        <f t="shared" si="71"/>
        <v>3.0434782608695653E-2</v>
      </c>
      <c r="U176" s="80">
        <f t="shared" si="72"/>
        <v>2.1600000000000001E-2</v>
      </c>
      <c r="V176" s="81">
        <f t="shared" si="73"/>
        <v>1.3299999999999979E-2</v>
      </c>
    </row>
    <row r="177" spans="1:24">
      <c r="A177" s="58"/>
      <c r="B177" s="59"/>
      <c r="C177" s="60" t="s">
        <v>53</v>
      </c>
      <c r="D177" s="99">
        <f>SUM(D148:D176)</f>
        <v>53277880968.774506</v>
      </c>
      <c r="E177" s="62">
        <f>(D177/$D$207)</f>
        <v>1.3837036419560356E-2</v>
      </c>
      <c r="F177" s="63"/>
      <c r="G177" s="100"/>
      <c r="H177" s="65">
        <f>SUM(H148:H176)</f>
        <v>69880</v>
      </c>
      <c r="I177" s="106"/>
      <c r="J177" s="106"/>
      <c r="K177" s="99">
        <f>SUM(K148:K176)</f>
        <v>53833340267.497757</v>
      </c>
      <c r="L177" s="62">
        <f>(K177/$K$207)</f>
        <v>1.4287112324058465E-2</v>
      </c>
      <c r="M177" s="63"/>
      <c r="N177" s="100"/>
      <c r="O177" s="65">
        <f>SUM(O148:O176)</f>
        <v>69883</v>
      </c>
      <c r="P177" s="106"/>
      <c r="Q177" s="106"/>
      <c r="R177" s="80">
        <f t="shared" si="69"/>
        <v>1.0425701785114146E-2</v>
      </c>
      <c r="S177" s="80" t="e">
        <f t="shared" si="70"/>
        <v>#DIV/0!</v>
      </c>
      <c r="T177" s="80">
        <f t="shared" si="71"/>
        <v>4.293073840870063E-5</v>
      </c>
      <c r="U177" s="80">
        <f t="shared" si="72"/>
        <v>0</v>
      </c>
      <c r="V177" s="81">
        <f t="shared" si="73"/>
        <v>0</v>
      </c>
    </row>
    <row r="178" spans="1:24" ht="5.25" customHeight="1">
      <c r="A178" s="58"/>
      <c r="B178" s="178"/>
      <c r="C178" s="178"/>
      <c r="D178" s="178"/>
      <c r="E178" s="178"/>
      <c r="F178" s="178"/>
      <c r="G178" s="178"/>
      <c r="H178" s="178"/>
      <c r="I178" s="178"/>
      <c r="J178" s="178"/>
      <c r="K178" s="178"/>
      <c r="L178" s="178"/>
      <c r="M178" s="178"/>
      <c r="N178" s="178"/>
      <c r="O178" s="178"/>
      <c r="P178" s="178"/>
      <c r="Q178" s="178"/>
      <c r="R178" s="178"/>
      <c r="S178" s="178"/>
      <c r="T178" s="178"/>
      <c r="U178" s="178"/>
      <c r="V178" s="178"/>
    </row>
    <row r="179" spans="1:24" ht="15" customHeight="1">
      <c r="A179" s="180" t="s">
        <v>228</v>
      </c>
      <c r="B179" s="180"/>
      <c r="C179" s="180"/>
      <c r="D179" s="180"/>
      <c r="E179" s="180"/>
      <c r="F179" s="180"/>
      <c r="G179" s="180"/>
      <c r="H179" s="180"/>
      <c r="I179" s="180"/>
      <c r="J179" s="180"/>
      <c r="K179" s="180"/>
      <c r="L179" s="180"/>
      <c r="M179" s="180"/>
      <c r="N179" s="180"/>
      <c r="O179" s="180"/>
      <c r="P179" s="180"/>
      <c r="Q179" s="180"/>
      <c r="R179" s="180"/>
      <c r="S179" s="180"/>
      <c r="T179" s="180"/>
      <c r="U179" s="180"/>
      <c r="V179" s="180"/>
    </row>
    <row r="180" spans="1:24" ht="16.2" customHeight="1">
      <c r="A180" s="170">
        <v>154</v>
      </c>
      <c r="B180" s="168" t="s">
        <v>229</v>
      </c>
      <c r="C180" s="169" t="s">
        <v>23</v>
      </c>
      <c r="D180" s="102">
        <v>941191823.27999997</v>
      </c>
      <c r="E180" s="52">
        <f>(D180/$D$183)</f>
        <v>0.16671873444819077</v>
      </c>
      <c r="F180" s="101">
        <v>65.802700000000002</v>
      </c>
      <c r="G180" s="101">
        <v>67.786699999999996</v>
      </c>
      <c r="H180" s="56">
        <v>1648</v>
      </c>
      <c r="I180" s="74">
        <v>0.23619999999999999</v>
      </c>
      <c r="J180" s="74">
        <v>0.2266</v>
      </c>
      <c r="K180" s="102">
        <v>961699574.08000004</v>
      </c>
      <c r="L180" s="77">
        <f>(K180/$K$183)</f>
        <v>0.16736604787303411</v>
      </c>
      <c r="M180" s="101">
        <v>66.834400000000002</v>
      </c>
      <c r="N180" s="101">
        <v>68.849599999999995</v>
      </c>
      <c r="O180" s="56">
        <v>1649</v>
      </c>
      <c r="P180" s="74">
        <v>0.81979999999999997</v>
      </c>
      <c r="Q180" s="74">
        <v>0.2422</v>
      </c>
      <c r="R180" s="80">
        <f>((K180-D180)/D180)</f>
        <v>2.1789129795594404E-2</v>
      </c>
      <c r="S180" s="80">
        <f t="shared" ref="S180:T183" si="83">((N180-G180)/G180)</f>
        <v>1.5680067033798654E-2</v>
      </c>
      <c r="T180" s="80">
        <f t="shared" si="83"/>
        <v>6.0679611650485432E-4</v>
      </c>
      <c r="U180" s="80">
        <f t="shared" ref="U180:V183" si="84">P180-I180</f>
        <v>0.58360000000000001</v>
      </c>
      <c r="V180" s="81">
        <f t="shared" si="84"/>
        <v>1.5600000000000003E-2</v>
      </c>
    </row>
    <row r="181" spans="1:24">
      <c r="A181" s="170">
        <v>155</v>
      </c>
      <c r="B181" s="168" t="s">
        <v>230</v>
      </c>
      <c r="C181" s="169" t="s">
        <v>231</v>
      </c>
      <c r="D181" s="102">
        <v>922234558.58000004</v>
      </c>
      <c r="E181" s="52">
        <f>(D181/$D$183)</f>
        <v>0.16336072484673772</v>
      </c>
      <c r="F181" s="101">
        <v>26.237100000000002</v>
      </c>
      <c r="G181" s="101">
        <v>26.4434</v>
      </c>
      <c r="H181" s="54">
        <v>1482</v>
      </c>
      <c r="I181" s="73">
        <v>-2.5999999999999999E-3</v>
      </c>
      <c r="J181" s="73">
        <v>0.25030000000000002</v>
      </c>
      <c r="K181" s="102">
        <v>922918725.98000002</v>
      </c>
      <c r="L181" s="77">
        <f>(K181/$K$183)</f>
        <v>0.16061695755980335</v>
      </c>
      <c r="M181" s="101">
        <v>26.157599999999999</v>
      </c>
      <c r="N181" s="101">
        <v>26.422999999999998</v>
      </c>
      <c r="O181" s="54">
        <v>1482</v>
      </c>
      <c r="P181" s="73">
        <v>6.0000000000000001E-3</v>
      </c>
      <c r="Q181" s="73">
        <v>0.20100000000000001</v>
      </c>
      <c r="R181" s="80">
        <f>((K181-D181)/D181)</f>
        <v>7.4185834138921765E-4</v>
      </c>
      <c r="S181" s="80">
        <f t="shared" si="83"/>
        <v>-7.7145904081934221E-4</v>
      </c>
      <c r="T181" s="80">
        <f t="shared" si="83"/>
        <v>0</v>
      </c>
      <c r="U181" s="80">
        <f t="shared" si="84"/>
        <v>8.6E-3</v>
      </c>
      <c r="V181" s="81">
        <f t="shared" si="84"/>
        <v>-4.930000000000001E-2</v>
      </c>
    </row>
    <row r="182" spans="1:24">
      <c r="A182" s="170">
        <v>156</v>
      </c>
      <c r="B182" s="168" t="s">
        <v>232</v>
      </c>
      <c r="C182" s="169" t="s">
        <v>49</v>
      </c>
      <c r="D182" s="67">
        <v>3781960901.0700002</v>
      </c>
      <c r="E182" s="52">
        <f>(D182/$D$183)</f>
        <v>0.66992054070507145</v>
      </c>
      <c r="F182" s="101">
        <v>2.73</v>
      </c>
      <c r="G182" s="101">
        <v>2.76</v>
      </c>
      <c r="H182" s="54">
        <v>10178</v>
      </c>
      <c r="I182" s="73">
        <v>-7.1999999999999998E-3</v>
      </c>
      <c r="J182" s="73">
        <v>0.32690000000000002</v>
      </c>
      <c r="K182" s="67">
        <v>3861466920.3400002</v>
      </c>
      <c r="L182" s="77">
        <f>(K182/$K$183)</f>
        <v>0.67201699456716268</v>
      </c>
      <c r="M182" s="101">
        <v>2.79</v>
      </c>
      <c r="N182" s="101">
        <v>2.83</v>
      </c>
      <c r="O182" s="54">
        <v>10180</v>
      </c>
      <c r="P182" s="73">
        <v>2.5399999999999999E-2</v>
      </c>
      <c r="Q182" s="73">
        <v>0.36059999999999998</v>
      </c>
      <c r="R182" s="80">
        <f>((K182-D182)/D182)</f>
        <v>2.1022432899162436E-2</v>
      </c>
      <c r="S182" s="80">
        <f t="shared" si="83"/>
        <v>2.5362318840579816E-2</v>
      </c>
      <c r="T182" s="80">
        <f t="shared" si="83"/>
        <v>1.9650225977598743E-4</v>
      </c>
      <c r="U182" s="80">
        <f t="shared" si="84"/>
        <v>3.2599999999999997E-2</v>
      </c>
      <c r="V182" s="81">
        <f t="shared" si="84"/>
        <v>3.3699999999999952E-2</v>
      </c>
    </row>
    <row r="183" spans="1:24">
      <c r="A183" s="58"/>
      <c r="B183" s="59"/>
      <c r="C183" s="95" t="s">
        <v>53</v>
      </c>
      <c r="D183" s="99">
        <f>SUM(D180:D182)</f>
        <v>5645387282.9300003</v>
      </c>
      <c r="E183" s="62">
        <f>(D183/$D$207)</f>
        <v>1.4661887450480202E-3</v>
      </c>
      <c r="F183" s="63"/>
      <c r="G183" s="100"/>
      <c r="H183" s="65">
        <f>SUM(H180:H182)</f>
        <v>13308</v>
      </c>
      <c r="I183" s="106"/>
      <c r="J183" s="106"/>
      <c r="K183" s="99">
        <f>SUM(K180:K182)</f>
        <v>5746085220.3999996</v>
      </c>
      <c r="L183" s="62">
        <f>(K183/$K$207)</f>
        <v>1.5249836729346038E-3</v>
      </c>
      <c r="M183" s="63"/>
      <c r="N183" s="100"/>
      <c r="O183" s="65">
        <f>SUM(O180:O182)</f>
        <v>13311</v>
      </c>
      <c r="P183" s="106"/>
      <c r="Q183" s="106"/>
      <c r="R183" s="80">
        <f>((K183-D183)/D183)</f>
        <v>1.7837206275374662E-2</v>
      </c>
      <c r="S183" s="80" t="e">
        <f t="shared" si="83"/>
        <v>#DIV/0!</v>
      </c>
      <c r="T183" s="80">
        <f t="shared" si="83"/>
        <v>2.2542831379621279E-4</v>
      </c>
      <c r="U183" s="80">
        <f t="shared" si="84"/>
        <v>0</v>
      </c>
      <c r="V183" s="81">
        <f t="shared" si="84"/>
        <v>0</v>
      </c>
    </row>
    <row r="184" spans="1:24" ht="6" customHeight="1">
      <c r="A184" s="58"/>
      <c r="B184" s="178"/>
      <c r="C184" s="178"/>
      <c r="D184" s="178"/>
      <c r="E184" s="178"/>
      <c r="F184" s="178"/>
      <c r="G184" s="178"/>
      <c r="H184" s="178"/>
      <c r="I184" s="178"/>
      <c r="J184" s="178"/>
      <c r="K184" s="178"/>
      <c r="L184" s="178"/>
      <c r="M184" s="178"/>
      <c r="N184" s="178"/>
      <c r="O184" s="178"/>
      <c r="P184" s="178"/>
      <c r="Q184" s="178"/>
      <c r="R184" s="178"/>
      <c r="S184" s="178"/>
      <c r="T184" s="178"/>
      <c r="U184" s="178"/>
      <c r="V184" s="178"/>
    </row>
    <row r="185" spans="1:24" ht="15" customHeight="1">
      <c r="A185" s="181" t="s">
        <v>233</v>
      </c>
      <c r="B185" s="181"/>
      <c r="C185" s="181"/>
      <c r="D185" s="181"/>
      <c r="E185" s="181"/>
      <c r="F185" s="181"/>
      <c r="G185" s="181"/>
      <c r="H185" s="181"/>
      <c r="I185" s="181"/>
      <c r="J185" s="181"/>
      <c r="K185" s="181"/>
      <c r="L185" s="181"/>
      <c r="M185" s="181"/>
      <c r="N185" s="181"/>
      <c r="O185" s="181"/>
      <c r="P185" s="181"/>
      <c r="Q185" s="181"/>
      <c r="R185" s="181"/>
      <c r="S185" s="181"/>
      <c r="T185" s="181"/>
      <c r="U185" s="181"/>
      <c r="V185" s="181"/>
    </row>
    <row r="186" spans="1:24">
      <c r="A186" s="182" t="s">
        <v>234</v>
      </c>
      <c r="B186" s="182"/>
      <c r="C186" s="182"/>
      <c r="D186" s="182"/>
      <c r="E186" s="182"/>
      <c r="F186" s="182"/>
      <c r="G186" s="182"/>
      <c r="H186" s="182"/>
      <c r="I186" s="182"/>
      <c r="J186" s="182"/>
      <c r="K186" s="182"/>
      <c r="L186" s="182"/>
      <c r="M186" s="182"/>
      <c r="N186" s="182"/>
      <c r="O186" s="182"/>
      <c r="P186" s="182"/>
      <c r="Q186" s="182"/>
      <c r="R186" s="182"/>
      <c r="S186" s="182"/>
      <c r="T186" s="182"/>
      <c r="U186" s="182"/>
      <c r="V186" s="182"/>
    </row>
    <row r="187" spans="1:24">
      <c r="A187" s="170">
        <v>157</v>
      </c>
      <c r="B187" s="168" t="s">
        <v>235</v>
      </c>
      <c r="C187" s="169" t="s">
        <v>236</v>
      </c>
      <c r="D187" s="70">
        <v>4645431322.5299997</v>
      </c>
      <c r="E187" s="52">
        <f>(D187/$D$206)</f>
        <v>9.034810560908936E-2</v>
      </c>
      <c r="F187" s="103">
        <v>2.15</v>
      </c>
      <c r="G187" s="103">
        <v>2.19</v>
      </c>
      <c r="H187" s="69">
        <v>14970</v>
      </c>
      <c r="I187" s="76">
        <v>8.9999999999999998E-4</v>
      </c>
      <c r="J187" s="76">
        <v>0.2455</v>
      </c>
      <c r="K187" s="70">
        <v>4645431322.5299997</v>
      </c>
      <c r="L187" s="52">
        <f>(K187/$K$206)</f>
        <v>9.0242842873038853E-2</v>
      </c>
      <c r="M187" s="103">
        <v>2.15</v>
      </c>
      <c r="N187" s="103">
        <v>2.19</v>
      </c>
      <c r="O187" s="69">
        <v>14970</v>
      </c>
      <c r="P187" s="76">
        <v>8.9999999999999998E-4</v>
      </c>
      <c r="Q187" s="76">
        <v>0.2455</v>
      </c>
      <c r="R187" s="80">
        <f>((K187-D187)/D187)</f>
        <v>0</v>
      </c>
      <c r="S187" s="80">
        <f>((N187-G187)/G187)</f>
        <v>0</v>
      </c>
      <c r="T187" s="80">
        <f>((O187-H187)/H187)</f>
        <v>0</v>
      </c>
      <c r="U187" s="80">
        <f>P187-I187</f>
        <v>0</v>
      </c>
      <c r="V187" s="81">
        <f>Q187-J187</f>
        <v>0</v>
      </c>
    </row>
    <row r="188" spans="1:24">
      <c r="A188" s="170">
        <v>158</v>
      </c>
      <c r="B188" s="168" t="s">
        <v>237</v>
      </c>
      <c r="C188" s="169" t="s">
        <v>49</v>
      </c>
      <c r="D188" s="70">
        <v>636485808.74000001</v>
      </c>
      <c r="E188" s="52">
        <f>(D188/$D$206)</f>
        <v>1.2378890801341044E-2</v>
      </c>
      <c r="F188" s="103">
        <v>447.12</v>
      </c>
      <c r="G188" s="103">
        <v>453.06</v>
      </c>
      <c r="H188" s="69">
        <v>849</v>
      </c>
      <c r="I188" s="76">
        <v>9.2999999999999992E-3</v>
      </c>
      <c r="J188" s="76">
        <v>0.18640000000000001</v>
      </c>
      <c r="K188" s="70">
        <v>690924176.00999999</v>
      </c>
      <c r="L188" s="52">
        <f>(K188/$K$206)</f>
        <v>1.3421996263394681E-2</v>
      </c>
      <c r="M188" s="103">
        <v>471.6</v>
      </c>
      <c r="N188" s="103">
        <v>477.79</v>
      </c>
      <c r="O188" s="69">
        <v>851</v>
      </c>
      <c r="P188" s="76">
        <v>5.4600000000000003E-2</v>
      </c>
      <c r="Q188" s="76">
        <v>0.25119999999999998</v>
      </c>
      <c r="R188" s="80">
        <f>((K188-D188)/D188)</f>
        <v>8.5529585298637301E-2</v>
      </c>
      <c r="S188" s="80">
        <f>((N188-G188)/G188)</f>
        <v>5.4584381759590378E-2</v>
      </c>
      <c r="T188" s="80">
        <f>((O188-H188)/H188)</f>
        <v>2.3557126030624262E-3</v>
      </c>
      <c r="U188" s="80">
        <f>P188-I188</f>
        <v>4.5300000000000007E-2</v>
      </c>
      <c r="V188" s="81">
        <f>Q188-J188</f>
        <v>6.4799999999999969E-2</v>
      </c>
    </row>
    <row r="189" spans="1:24" ht="6" customHeight="1">
      <c r="A189" s="58"/>
      <c r="B189" s="178"/>
      <c r="C189" s="178"/>
      <c r="D189" s="178"/>
      <c r="E189" s="178"/>
      <c r="F189" s="178"/>
      <c r="G189" s="178"/>
      <c r="H189" s="178"/>
      <c r="I189" s="178"/>
      <c r="J189" s="178"/>
      <c r="K189" s="178"/>
      <c r="L189" s="178"/>
      <c r="M189" s="178"/>
      <c r="N189" s="178"/>
      <c r="O189" s="178"/>
      <c r="P189" s="178"/>
      <c r="Q189" s="178"/>
      <c r="R189" s="178"/>
      <c r="S189" s="178"/>
      <c r="T189" s="178"/>
      <c r="U189" s="178"/>
      <c r="V189" s="178"/>
    </row>
    <row r="190" spans="1:24" ht="15" customHeight="1">
      <c r="A190" s="182" t="s">
        <v>175</v>
      </c>
      <c r="B190" s="182"/>
      <c r="C190" s="182"/>
      <c r="D190" s="182"/>
      <c r="E190" s="182"/>
      <c r="F190" s="182"/>
      <c r="G190" s="182"/>
      <c r="H190" s="182"/>
      <c r="I190" s="182"/>
      <c r="J190" s="182"/>
      <c r="K190" s="182"/>
      <c r="L190" s="182"/>
      <c r="M190" s="182"/>
      <c r="N190" s="182"/>
      <c r="O190" s="182"/>
      <c r="P190" s="182"/>
      <c r="Q190" s="182"/>
      <c r="R190" s="182"/>
      <c r="S190" s="182"/>
      <c r="T190" s="182"/>
      <c r="U190" s="182"/>
      <c r="V190" s="182"/>
    </row>
    <row r="191" spans="1:24">
      <c r="A191" s="170">
        <v>159</v>
      </c>
      <c r="B191" s="168" t="s">
        <v>238</v>
      </c>
      <c r="C191" s="169" t="s">
        <v>239</v>
      </c>
      <c r="D191" s="51">
        <v>340023183.07999998</v>
      </c>
      <c r="E191" s="52">
        <f t="shared" ref="E191:E202" si="85">(D191/$D$206)</f>
        <v>6.6130458770230103E-3</v>
      </c>
      <c r="F191" s="101">
        <v>1047.3399999999999</v>
      </c>
      <c r="G191" s="101">
        <v>1047.3399999999999</v>
      </c>
      <c r="H191" s="54">
        <v>18</v>
      </c>
      <c r="I191" s="73">
        <v>1.6000000000000001E-3</v>
      </c>
      <c r="J191" s="73">
        <v>0.1313</v>
      </c>
      <c r="K191" s="51">
        <v>340433229.22000003</v>
      </c>
      <c r="L191" s="52">
        <f t="shared" ref="L191:L202" si="86">(K191/$K$206)</f>
        <v>6.6133067696564326E-3</v>
      </c>
      <c r="M191" s="101">
        <v>1048.6099999999999</v>
      </c>
      <c r="N191" s="101">
        <v>1048.6099999999999</v>
      </c>
      <c r="O191" s="54">
        <v>18</v>
      </c>
      <c r="P191" s="73">
        <v>1.8E-3</v>
      </c>
      <c r="Q191" s="73">
        <v>0.1331</v>
      </c>
      <c r="R191" s="80">
        <f>((K191-D191)/D191)</f>
        <v>1.2059358314505586E-3</v>
      </c>
      <c r="S191" s="80">
        <f>((N191-G191)/G191)</f>
        <v>1.2125957186777761E-3</v>
      </c>
      <c r="T191" s="80">
        <f>((O191-H191)/H191)</f>
        <v>0</v>
      </c>
      <c r="U191" s="80">
        <f>P191-I191</f>
        <v>1.9999999999999987E-4</v>
      </c>
      <c r="V191" s="81">
        <f>Q191-J191</f>
        <v>1.799999999999996E-3</v>
      </c>
      <c r="X191" s="107"/>
    </row>
    <row r="192" spans="1:24">
      <c r="A192" s="170">
        <v>160</v>
      </c>
      <c r="B192" s="168" t="s">
        <v>240</v>
      </c>
      <c r="C192" s="169" t="s">
        <v>67</v>
      </c>
      <c r="D192" s="51">
        <v>129956051.64</v>
      </c>
      <c r="E192" s="52">
        <f t="shared" si="85"/>
        <v>2.5274904014115185E-3</v>
      </c>
      <c r="F192" s="101">
        <v>114.61</v>
      </c>
      <c r="G192" s="101">
        <v>114.61</v>
      </c>
      <c r="H192" s="54">
        <v>75</v>
      </c>
      <c r="I192" s="73">
        <v>2.5000000000000001E-3</v>
      </c>
      <c r="J192" s="73">
        <v>0.1396</v>
      </c>
      <c r="K192" s="51">
        <v>130260774.81</v>
      </c>
      <c r="L192" s="52">
        <f t="shared" si="86"/>
        <v>2.5304652716934477E-3</v>
      </c>
      <c r="M192" s="101">
        <v>114.83</v>
      </c>
      <c r="N192" s="101">
        <v>114.83</v>
      </c>
      <c r="O192" s="54">
        <v>75</v>
      </c>
      <c r="P192" s="73">
        <v>1.9E-3</v>
      </c>
      <c r="Q192" s="73">
        <v>0.14199999999999999</v>
      </c>
      <c r="R192" s="80">
        <f t="shared" ref="R192:R207" si="87">((K192-D192)/D192)</f>
        <v>2.3448170835794237E-3</v>
      </c>
      <c r="S192" s="80">
        <f t="shared" ref="S192:S206" si="88">((N192-G192)/G192)</f>
        <v>1.919553267603166E-3</v>
      </c>
      <c r="T192" s="80">
        <f t="shared" ref="T192:T206" si="89">((O192-H192)/H192)</f>
        <v>0</v>
      </c>
      <c r="U192" s="80">
        <f t="shared" ref="U192:U206" si="90">P192-I192</f>
        <v>-6.0000000000000006E-4</v>
      </c>
      <c r="V192" s="81">
        <f t="shared" ref="V192:V206" si="91">Q192-J192</f>
        <v>2.3999999999999855E-3</v>
      </c>
    </row>
    <row r="193" spans="1:22">
      <c r="A193" s="170">
        <v>161</v>
      </c>
      <c r="B193" s="187" t="s">
        <v>241</v>
      </c>
      <c r="C193" s="169" t="s">
        <v>73</v>
      </c>
      <c r="D193" s="67">
        <v>59072323.609999999</v>
      </c>
      <c r="E193" s="52">
        <f t="shared" si="85"/>
        <v>1.1488863275636375E-3</v>
      </c>
      <c r="F193" s="101">
        <v>105.42</v>
      </c>
      <c r="G193" s="101">
        <v>109.18</v>
      </c>
      <c r="H193" s="54">
        <v>14</v>
      </c>
      <c r="I193" s="73">
        <v>2.5000000000000001E-3</v>
      </c>
      <c r="J193" s="73">
        <v>0.113</v>
      </c>
      <c r="K193" s="67">
        <v>59126838.810000002</v>
      </c>
      <c r="L193" s="52">
        <f t="shared" si="86"/>
        <v>1.148606803943525E-3</v>
      </c>
      <c r="M193" s="101">
        <v>105.51</v>
      </c>
      <c r="N193" s="101">
        <v>109.38</v>
      </c>
      <c r="O193" s="54">
        <v>14</v>
      </c>
      <c r="P193" s="73">
        <v>1.8E-3</v>
      </c>
      <c r="Q193" s="73">
        <v>0.1145</v>
      </c>
      <c r="R193" s="80">
        <f t="shared" si="87"/>
        <v>9.228551827403388E-4</v>
      </c>
      <c r="S193" s="80">
        <f t="shared" si="88"/>
        <v>1.8318373328447392E-3</v>
      </c>
      <c r="T193" s="80">
        <f t="shared" si="89"/>
        <v>0</v>
      </c>
      <c r="U193" s="80">
        <f t="shared" si="90"/>
        <v>-7.000000000000001E-4</v>
      </c>
      <c r="V193" s="81">
        <f t="shared" si="91"/>
        <v>1.5000000000000013E-3</v>
      </c>
    </row>
    <row r="194" spans="1:22">
      <c r="A194" s="170">
        <v>162</v>
      </c>
      <c r="B194" s="168" t="s">
        <v>242</v>
      </c>
      <c r="C194" s="169" t="s">
        <v>76</v>
      </c>
      <c r="D194" s="67">
        <v>104323080.23999999</v>
      </c>
      <c r="E194" s="52">
        <v>0</v>
      </c>
      <c r="F194" s="101">
        <v>1.0322</v>
      </c>
      <c r="G194" s="101">
        <v>1.0322</v>
      </c>
      <c r="H194" s="54">
        <v>25</v>
      </c>
      <c r="I194" s="73">
        <v>2.2000000000000001E-3</v>
      </c>
      <c r="J194" s="73">
        <v>9.8699999999999996E-2</v>
      </c>
      <c r="K194" s="67">
        <v>106004921.2</v>
      </c>
      <c r="L194" s="52">
        <f t="shared" si="86"/>
        <v>2.0592674357761292E-3</v>
      </c>
      <c r="M194" s="101">
        <v>1.0345</v>
      </c>
      <c r="N194" s="101">
        <v>1.0345</v>
      </c>
      <c r="O194" s="54">
        <v>26</v>
      </c>
      <c r="P194" s="73">
        <v>1.5E-3</v>
      </c>
      <c r="Q194" s="73">
        <v>9.9599999999999994E-2</v>
      </c>
      <c r="R194" s="80">
        <f t="shared" ref="R194:R195" si="92">((K194-D194)/D194)</f>
        <v>1.6121465701845236E-2</v>
      </c>
      <c r="S194" s="80">
        <f t="shared" ref="S194:S195" si="93">((N194-G194)/G194)</f>
        <v>2.228250339081543E-3</v>
      </c>
      <c r="T194" s="80">
        <f t="shared" ref="T194" si="94">((O194-H194)/H194)</f>
        <v>0.04</v>
      </c>
      <c r="U194" s="80">
        <f t="shared" ref="U194" si="95">P194-I194</f>
        <v>-7.000000000000001E-4</v>
      </c>
      <c r="V194" s="81">
        <f t="shared" ref="V194" si="96">Q194-J194</f>
        <v>8.9999999999999802E-4</v>
      </c>
    </row>
    <row r="195" spans="1:22">
      <c r="A195" s="170">
        <v>163</v>
      </c>
      <c r="B195" s="168" t="s">
        <v>243</v>
      </c>
      <c r="C195" s="169" t="s">
        <v>31</v>
      </c>
      <c r="D195" s="51">
        <v>7987741690.75</v>
      </c>
      <c r="E195" s="52">
        <f t="shared" si="85"/>
        <v>0.15535206092788956</v>
      </c>
      <c r="F195" s="101">
        <v>141.55000000000001</v>
      </c>
      <c r="G195" s="101">
        <v>141.55000000000001</v>
      </c>
      <c r="H195" s="54">
        <v>690</v>
      </c>
      <c r="I195" s="73">
        <v>2.8E-3</v>
      </c>
      <c r="J195" s="73">
        <v>0.13830000000000001</v>
      </c>
      <c r="K195" s="51">
        <v>7985963742.9700003</v>
      </c>
      <c r="L195" s="52">
        <f t="shared" si="86"/>
        <v>0.15513652472944786</v>
      </c>
      <c r="M195" s="101">
        <v>141.94</v>
      </c>
      <c r="N195" s="101">
        <v>141.94</v>
      </c>
      <c r="O195" s="54">
        <v>691</v>
      </c>
      <c r="P195" s="73">
        <v>2.8E-3</v>
      </c>
      <c r="Q195" s="73">
        <v>0.14119999999999999</v>
      </c>
      <c r="R195" s="80">
        <f t="shared" si="92"/>
        <v>-2.2258453625993439E-4</v>
      </c>
      <c r="S195" s="80">
        <f t="shared" si="93"/>
        <v>2.7552101730836196E-3</v>
      </c>
      <c r="T195" s="80">
        <f t="shared" si="89"/>
        <v>1.4492753623188406E-3</v>
      </c>
      <c r="U195" s="80">
        <f t="shared" si="90"/>
        <v>0</v>
      </c>
      <c r="V195" s="81">
        <f t="shared" si="91"/>
        <v>2.8999999999999859E-3</v>
      </c>
    </row>
    <row r="196" spans="1:22">
      <c r="A196" s="170">
        <v>164</v>
      </c>
      <c r="B196" s="168" t="s">
        <v>244</v>
      </c>
      <c r="C196" s="169" t="s">
        <v>65</v>
      </c>
      <c r="D196" s="51">
        <v>466404687.53389299</v>
      </c>
      <c r="E196" s="52">
        <f t="shared" si="85"/>
        <v>9.0710155936471418E-3</v>
      </c>
      <c r="F196" s="57">
        <v>1168.93607543806</v>
      </c>
      <c r="G196" s="57">
        <v>1168.93607543806</v>
      </c>
      <c r="H196" s="54">
        <v>96</v>
      </c>
      <c r="I196" s="73">
        <v>0.17092651628219499</v>
      </c>
      <c r="J196" s="73">
        <v>0.14865565009466</v>
      </c>
      <c r="K196" s="51">
        <v>473222035.52226102</v>
      </c>
      <c r="L196" s="52">
        <f t="shared" si="86"/>
        <v>9.1928819587923701E-3</v>
      </c>
      <c r="M196" s="57">
        <v>1172.6621950819101</v>
      </c>
      <c r="N196" s="57">
        <v>1172.6621950819101</v>
      </c>
      <c r="O196" s="54">
        <v>98</v>
      </c>
      <c r="P196" s="73">
        <v>0.16666679315181851</v>
      </c>
      <c r="Q196" s="73">
        <v>0.14948951019855536</v>
      </c>
      <c r="R196" s="80">
        <f t="shared" si="87"/>
        <v>1.4616808472519107E-2</v>
      </c>
      <c r="S196" s="80">
        <f t="shared" si="88"/>
        <v>3.1876162624664742E-3</v>
      </c>
      <c r="T196" s="80">
        <f t="shared" si="89"/>
        <v>2.0833333333333332E-2</v>
      </c>
      <c r="U196" s="80">
        <f t="shared" si="90"/>
        <v>-4.2597231303764804E-3</v>
      </c>
      <c r="V196" s="81">
        <f t="shared" si="91"/>
        <v>8.3386010389535636E-4</v>
      </c>
    </row>
    <row r="197" spans="1:22">
      <c r="A197" s="170">
        <v>165</v>
      </c>
      <c r="B197" s="168" t="s">
        <v>245</v>
      </c>
      <c r="C197" s="169" t="s">
        <v>236</v>
      </c>
      <c r="D197" s="51">
        <v>24298672663.720001</v>
      </c>
      <c r="E197" s="52">
        <f t="shared" si="85"/>
        <v>0.47258023885429856</v>
      </c>
      <c r="F197" s="57">
        <v>1244.45</v>
      </c>
      <c r="G197" s="57">
        <v>1244.45</v>
      </c>
      <c r="H197" s="54">
        <v>9286</v>
      </c>
      <c r="I197" s="73">
        <v>3.3E-3</v>
      </c>
      <c r="J197" s="73">
        <v>0.13389999999999999</v>
      </c>
      <c r="K197" s="51">
        <v>24298672663.720001</v>
      </c>
      <c r="L197" s="52">
        <f t="shared" si="86"/>
        <v>0.47202964525181129</v>
      </c>
      <c r="M197" s="57">
        <v>1244.45</v>
      </c>
      <c r="N197" s="57">
        <v>1244.45</v>
      </c>
      <c r="O197" s="54">
        <v>9286</v>
      </c>
      <c r="P197" s="73">
        <v>3.3E-3</v>
      </c>
      <c r="Q197" s="73">
        <v>0.13389999999999999</v>
      </c>
      <c r="R197" s="80">
        <f t="shared" si="87"/>
        <v>0</v>
      </c>
      <c r="S197" s="80">
        <f t="shared" si="88"/>
        <v>0</v>
      </c>
      <c r="T197" s="80">
        <f t="shared" si="89"/>
        <v>0</v>
      </c>
      <c r="U197" s="80">
        <f t="shared" si="90"/>
        <v>0</v>
      </c>
      <c r="V197" s="81">
        <f t="shared" si="91"/>
        <v>0</v>
      </c>
    </row>
    <row r="198" spans="1:22">
      <c r="A198" s="170">
        <v>166</v>
      </c>
      <c r="B198" s="168" t="s">
        <v>246</v>
      </c>
      <c r="C198" s="169" t="s">
        <v>247</v>
      </c>
      <c r="D198" s="51">
        <v>409720219.75999999</v>
      </c>
      <c r="E198" s="52">
        <f t="shared" si="85"/>
        <v>7.968570217694081E-3</v>
      </c>
      <c r="F198" s="103">
        <v>126.98</v>
      </c>
      <c r="G198" s="103">
        <v>127.22</v>
      </c>
      <c r="H198" s="69">
        <v>149</v>
      </c>
      <c r="I198" s="73">
        <v>-1.8E-3</v>
      </c>
      <c r="J198" s="73">
        <v>0.27810000000000001</v>
      </c>
      <c r="K198" s="51">
        <v>410734555.05000001</v>
      </c>
      <c r="L198" s="52">
        <f t="shared" si="86"/>
        <v>7.9789908278566114E-3</v>
      </c>
      <c r="M198" s="103">
        <v>127.24</v>
      </c>
      <c r="N198" s="103">
        <v>127.49</v>
      </c>
      <c r="O198" s="69">
        <v>149</v>
      </c>
      <c r="P198" s="73">
        <v>-1.6000000000000001E-3</v>
      </c>
      <c r="Q198" s="73">
        <v>0.28070000000000001</v>
      </c>
      <c r="R198" s="80">
        <f t="shared" si="87"/>
        <v>2.4756778920849553E-3</v>
      </c>
      <c r="S198" s="80">
        <f t="shared" si="88"/>
        <v>2.122307813236881E-3</v>
      </c>
      <c r="T198" s="80">
        <f t="shared" si="89"/>
        <v>0</v>
      </c>
      <c r="U198" s="80">
        <f t="shared" si="90"/>
        <v>1.9999999999999987E-4</v>
      </c>
      <c r="V198" s="81">
        <f t="shared" si="91"/>
        <v>2.5999999999999912E-3</v>
      </c>
    </row>
    <row r="199" spans="1:22">
      <c r="A199" s="170">
        <v>167</v>
      </c>
      <c r="B199" s="168" t="s">
        <v>248</v>
      </c>
      <c r="C199" s="169" t="s">
        <v>247</v>
      </c>
      <c r="D199" s="51">
        <v>108642426.18000001</v>
      </c>
      <c r="E199" s="52">
        <f t="shared" si="85"/>
        <v>2.1129657748965563E-3</v>
      </c>
      <c r="F199" s="103">
        <v>110.4</v>
      </c>
      <c r="G199" s="103">
        <v>110.4</v>
      </c>
      <c r="H199" s="69">
        <v>67</v>
      </c>
      <c r="I199" s="73">
        <v>-5.1000000000000004E-3</v>
      </c>
      <c r="J199" s="73">
        <v>0.1024</v>
      </c>
      <c r="K199" s="51">
        <v>108783162.5</v>
      </c>
      <c r="L199" s="52">
        <f t="shared" si="86"/>
        <v>2.1132379663237086E-3</v>
      </c>
      <c r="M199" s="103">
        <v>110.79</v>
      </c>
      <c r="N199" s="103">
        <v>110.79</v>
      </c>
      <c r="O199" s="69">
        <v>66</v>
      </c>
      <c r="P199" s="73">
        <v>4.1000000000000003E-3</v>
      </c>
      <c r="Q199" s="73">
        <v>0.1062</v>
      </c>
      <c r="R199" s="80">
        <f t="shared" si="87"/>
        <v>1.2954084785148235E-3</v>
      </c>
      <c r="S199" s="80">
        <f t="shared" si="88"/>
        <v>3.5326086956521787E-3</v>
      </c>
      <c r="T199" s="80">
        <f t="shared" si="89"/>
        <v>-1.4925373134328358E-2</v>
      </c>
      <c r="U199" s="80">
        <f t="shared" si="90"/>
        <v>9.1999999999999998E-3</v>
      </c>
      <c r="V199" s="81">
        <f t="shared" si="91"/>
        <v>3.7999999999999978E-3</v>
      </c>
    </row>
    <row r="200" spans="1:22" ht="13.5" customHeight="1">
      <c r="A200" s="170">
        <v>168</v>
      </c>
      <c r="B200" s="168" t="s">
        <v>249</v>
      </c>
      <c r="C200" s="169" t="s">
        <v>90</v>
      </c>
      <c r="D200" s="51">
        <v>1234243352.1700001</v>
      </c>
      <c r="E200" s="52">
        <f t="shared" si="85"/>
        <v>2.4004562975314874E-2</v>
      </c>
      <c r="F200" s="83">
        <v>104.91</v>
      </c>
      <c r="G200" s="83">
        <v>104.91</v>
      </c>
      <c r="H200" s="54">
        <v>587</v>
      </c>
      <c r="I200" s="73">
        <v>2.5999999999999999E-3</v>
      </c>
      <c r="J200" s="73">
        <v>0.1231</v>
      </c>
      <c r="K200" s="51">
        <v>1254575951.8</v>
      </c>
      <c r="L200" s="52">
        <f t="shared" si="86"/>
        <v>2.4371579866327778E-2</v>
      </c>
      <c r="M200" s="83">
        <v>105.18</v>
      </c>
      <c r="N200" s="83">
        <v>105.18</v>
      </c>
      <c r="O200" s="54">
        <v>588</v>
      </c>
      <c r="P200" s="73">
        <v>2.5999999999999999E-3</v>
      </c>
      <c r="Q200" s="73">
        <v>0.115</v>
      </c>
      <c r="R200" s="80">
        <f t="shared" si="87"/>
        <v>1.6473736394246617E-2</v>
      </c>
      <c r="S200" s="80">
        <f t="shared" si="88"/>
        <v>2.5736345438948645E-3</v>
      </c>
      <c r="T200" s="80">
        <f t="shared" si="89"/>
        <v>1.7035775127768314E-3</v>
      </c>
      <c r="U200" s="80">
        <f t="shared" si="90"/>
        <v>0</v>
      </c>
      <c r="V200" s="81">
        <f t="shared" si="91"/>
        <v>-8.0999999999999961E-3</v>
      </c>
    </row>
    <row r="201" spans="1:22" ht="15.75" customHeight="1">
      <c r="A201" s="170">
        <v>169</v>
      </c>
      <c r="B201" s="168" t="s">
        <v>250</v>
      </c>
      <c r="C201" s="169" t="s">
        <v>49</v>
      </c>
      <c r="D201" s="51">
        <v>6954001415.5200005</v>
      </c>
      <c r="E201" s="52">
        <f t="shared" si="85"/>
        <v>0.13524704396081416</v>
      </c>
      <c r="F201" s="83">
        <v>133.37</v>
      </c>
      <c r="G201" s="83">
        <v>133.37</v>
      </c>
      <c r="H201" s="54">
        <v>1257</v>
      </c>
      <c r="I201" s="73">
        <v>1E-4</v>
      </c>
      <c r="J201" s="73">
        <v>3.9600000000000003E-2</v>
      </c>
      <c r="K201" s="51">
        <v>6923457146.7600002</v>
      </c>
      <c r="L201" s="52">
        <f t="shared" si="86"/>
        <v>0.13449611285890359</v>
      </c>
      <c r="M201" s="83">
        <v>133.47999999999999</v>
      </c>
      <c r="N201" s="83">
        <v>133.47999999999999</v>
      </c>
      <c r="O201" s="54">
        <v>1255</v>
      </c>
      <c r="P201" s="73">
        <v>8.0000000000000004E-4</v>
      </c>
      <c r="Q201" s="73">
        <v>4.0500000000000001E-2</v>
      </c>
      <c r="R201" s="80">
        <f t="shared" si="87"/>
        <v>-4.3923299601048779E-3</v>
      </c>
      <c r="S201" s="80">
        <f t="shared" si="88"/>
        <v>8.247731873733614E-4</v>
      </c>
      <c r="T201" s="80">
        <f t="shared" si="89"/>
        <v>-1.5910898965791568E-3</v>
      </c>
      <c r="U201" s="80">
        <f t="shared" si="90"/>
        <v>6.9999999999999999E-4</v>
      </c>
      <c r="V201" s="81">
        <f t="shared" si="91"/>
        <v>8.9999999999999802E-4</v>
      </c>
    </row>
    <row r="202" spans="1:22">
      <c r="A202" s="170">
        <v>170</v>
      </c>
      <c r="B202" s="168" t="s">
        <v>251</v>
      </c>
      <c r="C202" s="169" t="s">
        <v>52</v>
      </c>
      <c r="D202" s="51">
        <v>3820283741.3600001</v>
      </c>
      <c r="E202" s="52">
        <f t="shared" si="85"/>
        <v>7.4299968066926764E-2</v>
      </c>
      <c r="F202" s="83">
        <v>1.2032</v>
      </c>
      <c r="G202" s="83">
        <v>1.2032</v>
      </c>
      <c r="H202" s="54">
        <v>1211</v>
      </c>
      <c r="I202" s="73">
        <v>9.5399999999999999E-2</v>
      </c>
      <c r="J202" s="73">
        <v>9.5799999999999996E-2</v>
      </c>
      <c r="K202" s="51">
        <v>3827386255.6999998</v>
      </c>
      <c r="L202" s="52">
        <f t="shared" si="86"/>
        <v>7.435137719342165E-2</v>
      </c>
      <c r="M202" s="83">
        <v>1.2053</v>
      </c>
      <c r="N202" s="83">
        <v>1.2053</v>
      </c>
      <c r="O202" s="54">
        <v>1234</v>
      </c>
      <c r="P202" s="73">
        <v>9.5200000000000007E-2</v>
      </c>
      <c r="Q202" s="73">
        <v>9.5600000000000004E-2</v>
      </c>
      <c r="R202" s="80">
        <f t="shared" si="87"/>
        <v>1.8591588533346005E-3</v>
      </c>
      <c r="S202" s="80">
        <f t="shared" si="88"/>
        <v>1.7453457446808434E-3</v>
      </c>
      <c r="T202" s="80">
        <f t="shared" si="89"/>
        <v>1.8992568125516102E-2</v>
      </c>
      <c r="U202" s="80">
        <f t="shared" si="90"/>
        <v>-1.9999999999999185E-4</v>
      </c>
      <c r="V202" s="81">
        <f t="shared" si="91"/>
        <v>-1.9999999999999185E-4</v>
      </c>
    </row>
    <row r="203" spans="1:22" ht="6" customHeight="1">
      <c r="A203" s="58"/>
      <c r="B203" s="178"/>
      <c r="C203" s="178"/>
      <c r="D203" s="178"/>
      <c r="E203" s="178"/>
      <c r="F203" s="178"/>
      <c r="G203" s="178"/>
      <c r="H203" s="178"/>
      <c r="I203" s="178"/>
      <c r="J203" s="178"/>
      <c r="K203" s="178"/>
      <c r="L203" s="178"/>
      <c r="M203" s="178"/>
      <c r="N203" s="178"/>
      <c r="O203" s="178"/>
      <c r="P203" s="178"/>
      <c r="Q203" s="178"/>
      <c r="R203" s="178"/>
      <c r="S203" s="178"/>
      <c r="T203" s="178"/>
      <c r="U203" s="178"/>
      <c r="V203" s="178"/>
    </row>
    <row r="204" spans="1:22">
      <c r="A204" s="182" t="s">
        <v>252</v>
      </c>
      <c r="B204" s="182"/>
      <c r="C204" s="182"/>
      <c r="D204" s="182"/>
      <c r="E204" s="182"/>
      <c r="F204" s="182"/>
      <c r="G204" s="182"/>
      <c r="H204" s="182"/>
      <c r="I204" s="182"/>
      <c r="J204" s="182"/>
      <c r="K204" s="182"/>
      <c r="L204" s="182"/>
      <c r="M204" s="182"/>
      <c r="N204" s="182"/>
      <c r="O204" s="182"/>
      <c r="P204" s="182"/>
      <c r="Q204" s="182"/>
      <c r="R204" s="182"/>
      <c r="S204" s="182"/>
      <c r="T204" s="182"/>
      <c r="U204" s="182"/>
      <c r="V204" s="182"/>
    </row>
    <row r="205" spans="1:22">
      <c r="A205" s="189">
        <v>171</v>
      </c>
      <c r="B205" s="168" t="s">
        <v>253</v>
      </c>
      <c r="C205" s="169" t="s">
        <v>236</v>
      </c>
      <c r="D205" s="51">
        <v>222028763.5</v>
      </c>
      <c r="E205" s="52">
        <f t="shared" ref="E205" si="97">(D205/$D$206)</f>
        <v>4.3181949705433367E-3</v>
      </c>
      <c r="F205" s="57">
        <v>1189.19</v>
      </c>
      <c r="G205" s="57">
        <v>1189.19</v>
      </c>
      <c r="H205" s="54">
        <v>91</v>
      </c>
      <c r="I205" s="73">
        <v>1.8E-3</v>
      </c>
      <c r="J205" s="73">
        <v>0.18920000000000001</v>
      </c>
      <c r="K205" s="51">
        <v>222028763.5</v>
      </c>
      <c r="L205" s="52">
        <f t="shared" ref="L205" si="98">(K205/$K$206)</f>
        <v>4.3131639296118797E-3</v>
      </c>
      <c r="M205" s="57">
        <v>1189.19</v>
      </c>
      <c r="N205" s="57">
        <v>1189.19</v>
      </c>
      <c r="O205" s="54">
        <v>91</v>
      </c>
      <c r="P205" s="73">
        <v>1.8E-3</v>
      </c>
      <c r="Q205" s="73">
        <v>0.18920000000000001</v>
      </c>
      <c r="R205" s="80">
        <f t="shared" ref="R205" si="99">((K205-D205)/D205)</f>
        <v>0</v>
      </c>
      <c r="S205" s="80">
        <f t="shared" ref="S205" si="100">((N205-G205)/G205)</f>
        <v>0</v>
      </c>
      <c r="T205" s="80">
        <f t="shared" ref="T205" si="101">((O205-H205)/H205)</f>
        <v>0</v>
      </c>
      <c r="U205" s="80">
        <f t="shared" ref="U205" si="102">P205-I205</f>
        <v>0</v>
      </c>
      <c r="V205" s="81">
        <f t="shared" ref="V205" si="103">Q205-J205</f>
        <v>0</v>
      </c>
    </row>
    <row r="206" spans="1:22">
      <c r="A206" s="58"/>
      <c r="B206" s="59"/>
      <c r="C206" s="95" t="s">
        <v>53</v>
      </c>
      <c r="D206" s="71">
        <f>SUM(D187:D205)</f>
        <v>51417030730.333893</v>
      </c>
      <c r="E206" s="62">
        <f>(D206/$D$207)</f>
        <v>1.3353746693083784E-2</v>
      </c>
      <c r="F206" s="63"/>
      <c r="G206" s="98"/>
      <c r="H206" s="108">
        <f>SUM(H187:H205)</f>
        <v>29385</v>
      </c>
      <c r="I206" s="105"/>
      <c r="J206" s="105"/>
      <c r="K206" s="71">
        <f>SUM(K187:K205)</f>
        <v>51477005540.102272</v>
      </c>
      <c r="L206" s="62">
        <f>(K206/$K$207)</f>
        <v>1.3661752300769986E-2</v>
      </c>
      <c r="M206" s="63"/>
      <c r="N206" s="98"/>
      <c r="O206" s="108">
        <f>SUM(O187:O205)</f>
        <v>29412</v>
      </c>
      <c r="P206" s="105"/>
      <c r="Q206" s="105"/>
      <c r="R206" s="80">
        <f t="shared" si="87"/>
        <v>1.1664386083072003E-3</v>
      </c>
      <c r="S206" s="80" t="e">
        <f t="shared" si="88"/>
        <v>#DIV/0!</v>
      </c>
      <c r="T206" s="80">
        <f t="shared" si="89"/>
        <v>9.1883614088820824E-4</v>
      </c>
      <c r="U206" s="80">
        <f t="shared" si="90"/>
        <v>0</v>
      </c>
      <c r="V206" s="81">
        <f t="shared" si="91"/>
        <v>0</v>
      </c>
    </row>
    <row r="207" spans="1:22">
      <c r="A207" s="109"/>
      <c r="B207" s="109"/>
      <c r="C207" s="110" t="s">
        <v>254</v>
      </c>
      <c r="D207" s="111">
        <f>SUM(D24,D64,D103,D137,D145,D177,D183,D206)</f>
        <v>3850382361750.5015</v>
      </c>
      <c r="E207" s="112"/>
      <c r="F207" s="112"/>
      <c r="G207" s="113"/>
      <c r="H207" s="111">
        <f>SUM(H24,H64,H103,H137,H145,H177,H183,H206)</f>
        <v>797295</v>
      </c>
      <c r="I207" s="137"/>
      <c r="J207" s="137"/>
      <c r="K207" s="111">
        <f>SUM(K24,K64,K103,K137,K145,K177,K183,K206)</f>
        <v>3767965075548.9829</v>
      </c>
      <c r="L207" s="112"/>
      <c r="M207" s="112"/>
      <c r="N207" s="113"/>
      <c r="O207" s="111">
        <f>SUM(O24,O64,O103,O137,O145,O177,O183,O206)</f>
        <v>800443</v>
      </c>
      <c r="P207" s="138"/>
      <c r="Q207" s="111"/>
      <c r="R207" s="144">
        <f t="shared" si="87"/>
        <v>-2.1404961496875635E-2</v>
      </c>
      <c r="S207" s="144"/>
      <c r="T207" s="144"/>
      <c r="U207" s="144"/>
      <c r="V207" s="144"/>
    </row>
    <row r="208" spans="1:22" ht="6.75" customHeight="1">
      <c r="A208" s="58"/>
      <c r="B208" s="178"/>
      <c r="C208" s="178"/>
      <c r="D208" s="178"/>
      <c r="E208" s="178"/>
      <c r="F208" s="178"/>
      <c r="G208" s="178"/>
      <c r="H208" s="178"/>
      <c r="I208" s="178"/>
      <c r="J208" s="178"/>
      <c r="K208" s="178"/>
      <c r="L208" s="178"/>
      <c r="M208" s="178"/>
      <c r="N208" s="178"/>
      <c r="O208" s="178"/>
      <c r="P208" s="178"/>
      <c r="Q208" s="178"/>
      <c r="R208" s="178"/>
      <c r="S208" s="178"/>
      <c r="T208" s="178"/>
      <c r="U208" s="178"/>
      <c r="V208" s="59"/>
    </row>
    <row r="209" spans="1:22" ht="14.4" customHeight="1">
      <c r="A209" s="183" t="s">
        <v>255</v>
      </c>
      <c r="B209" s="181"/>
      <c r="C209" s="181"/>
      <c r="D209" s="181"/>
      <c r="E209" s="181"/>
      <c r="F209" s="181"/>
      <c r="G209" s="181"/>
      <c r="H209" s="181"/>
      <c r="I209" s="181"/>
      <c r="J209" s="181"/>
      <c r="K209" s="181"/>
      <c r="L209" s="181"/>
      <c r="M209" s="181"/>
      <c r="N209" s="181"/>
      <c r="O209" s="181"/>
      <c r="P209" s="181"/>
      <c r="Q209" s="181"/>
      <c r="R209" s="181"/>
      <c r="S209" s="181"/>
      <c r="T209" s="181"/>
      <c r="U209" s="181"/>
      <c r="V209" s="181"/>
    </row>
    <row r="210" spans="1:22" ht="14.4" customHeight="1">
      <c r="A210" s="170">
        <v>1</v>
      </c>
      <c r="B210" s="168" t="s">
        <v>256</v>
      </c>
      <c r="C210" s="169" t="s">
        <v>191</v>
      </c>
      <c r="D210" s="51">
        <v>3993394500.9921598</v>
      </c>
      <c r="E210" s="52">
        <f t="shared" ref="E210" si="104">(D210/$D$206)</f>
        <v>7.7666766133117529E-2</v>
      </c>
      <c r="F210" s="57">
        <v>123.2</v>
      </c>
      <c r="G210" s="57">
        <v>123.2</v>
      </c>
      <c r="H210" s="54">
        <v>9</v>
      </c>
      <c r="I210" s="73">
        <v>0.29987384566740699</v>
      </c>
      <c r="J210" s="73">
        <v>0.241743241504463</v>
      </c>
      <c r="K210" s="51">
        <v>3686481206.0707502</v>
      </c>
      <c r="L210" s="52">
        <f>(K210/$K$211)</f>
        <v>1</v>
      </c>
      <c r="M210" s="57">
        <v>123.2</v>
      </c>
      <c r="N210" s="57">
        <v>123.2</v>
      </c>
      <c r="O210" s="54">
        <v>9</v>
      </c>
      <c r="P210" s="73">
        <v>0.30357371025212698</v>
      </c>
      <c r="Q210" s="73">
        <v>0.262727045319541</v>
      </c>
      <c r="R210" s="80">
        <f t="shared" ref="R210:R211" si="105">((K210-D210)/D210)</f>
        <v>-7.6855240534126276E-2</v>
      </c>
      <c r="S210" s="80">
        <f t="shared" ref="S210" si="106">((N210-G210)/G210)</f>
        <v>0</v>
      </c>
      <c r="T210" s="80">
        <f t="shared" ref="T210" si="107">((O210-H210)/H210)</f>
        <v>0</v>
      </c>
      <c r="U210" s="80">
        <f t="shared" ref="U210" si="108">P210-I210</f>
        <v>3.6998645847199918E-3</v>
      </c>
      <c r="V210" s="81">
        <f t="shared" ref="V210" si="109">Q210-J210</f>
        <v>2.0983803815078E-2</v>
      </c>
    </row>
    <row r="211" spans="1:22" ht="14.4" customHeight="1">
      <c r="A211" s="114"/>
      <c r="B211" s="114"/>
      <c r="C211" s="114" t="s">
        <v>53</v>
      </c>
      <c r="D211" s="114">
        <f>SUM(D210:D210)</f>
        <v>3993394500.9921598</v>
      </c>
      <c r="E211" s="114"/>
      <c r="F211" s="114"/>
      <c r="G211" s="114"/>
      <c r="H211" s="114">
        <f>SUM(H210:H210)</f>
        <v>9</v>
      </c>
      <c r="I211" s="114"/>
      <c r="J211" s="114"/>
      <c r="K211" s="114">
        <f>SUM(K210:K210)</f>
        <v>3686481206.0707502</v>
      </c>
      <c r="L211" s="62"/>
      <c r="M211" s="114"/>
      <c r="N211" s="114"/>
      <c r="O211" s="114">
        <f>SUM(O210:O210)</f>
        <v>9</v>
      </c>
      <c r="P211" s="114"/>
      <c r="Q211" s="114"/>
      <c r="R211" s="144">
        <f t="shared" si="105"/>
        <v>-7.6855240534126276E-2</v>
      </c>
      <c r="S211" s="114"/>
      <c r="T211" s="114"/>
      <c r="U211" s="114"/>
      <c r="V211" s="114"/>
    </row>
    <row r="212" spans="1:22" ht="6" customHeight="1">
      <c r="A212" s="58"/>
      <c r="B212" s="66"/>
      <c r="C212" s="95"/>
      <c r="D212" s="66"/>
      <c r="E212" s="66"/>
      <c r="F212" s="66"/>
      <c r="G212" s="66"/>
      <c r="H212" s="66"/>
      <c r="I212" s="66"/>
      <c r="J212" s="66"/>
      <c r="K212" s="66"/>
      <c r="L212" s="66"/>
      <c r="M212" s="66"/>
      <c r="N212" s="66"/>
      <c r="O212" s="66"/>
      <c r="P212" s="66"/>
      <c r="Q212" s="66"/>
      <c r="R212" s="66"/>
      <c r="S212" s="66"/>
      <c r="T212" s="66"/>
      <c r="U212" s="66"/>
      <c r="V212" s="59"/>
    </row>
    <row r="213" spans="1:22" ht="15.6">
      <c r="A213" s="181" t="s">
        <v>257</v>
      </c>
      <c r="B213" s="181"/>
      <c r="C213" s="181"/>
      <c r="D213" s="181"/>
      <c r="E213" s="181"/>
      <c r="F213" s="181"/>
      <c r="G213" s="181"/>
      <c r="H213" s="181"/>
      <c r="I213" s="181"/>
      <c r="J213" s="181"/>
      <c r="K213" s="181"/>
      <c r="L213" s="181"/>
      <c r="M213" s="181"/>
      <c r="N213" s="181"/>
      <c r="O213" s="181"/>
      <c r="P213" s="181"/>
      <c r="Q213" s="181"/>
      <c r="R213" s="181"/>
      <c r="S213" s="181"/>
      <c r="T213" s="181"/>
      <c r="U213" s="181"/>
      <c r="V213" s="181"/>
    </row>
    <row r="214" spans="1:22">
      <c r="A214" s="170">
        <v>1</v>
      </c>
      <c r="B214" s="168" t="s">
        <v>258</v>
      </c>
      <c r="C214" s="169" t="s">
        <v>259</v>
      </c>
      <c r="D214" s="51">
        <v>103175705234</v>
      </c>
      <c r="E214" s="52">
        <f>(D214/$D$216)</f>
        <v>0.87830635956619019</v>
      </c>
      <c r="F214" s="83">
        <v>107.39</v>
      </c>
      <c r="G214" s="83">
        <v>107.39</v>
      </c>
      <c r="H214" s="54">
        <v>0</v>
      </c>
      <c r="I214" s="73">
        <v>0.13800000000000001</v>
      </c>
      <c r="J214" s="73">
        <v>0.13800000000000001</v>
      </c>
      <c r="K214" s="51">
        <v>117431274879</v>
      </c>
      <c r="L214" s="52">
        <f>(K214/$K$216)</f>
        <v>0.89110830988433132</v>
      </c>
      <c r="M214" s="83">
        <v>111.28</v>
      </c>
      <c r="N214" s="83">
        <v>111.28</v>
      </c>
      <c r="O214" s="54">
        <v>0</v>
      </c>
      <c r="P214" s="73">
        <v>0.23899999999999999</v>
      </c>
      <c r="Q214" s="73">
        <v>0.23899999999999999</v>
      </c>
      <c r="R214" s="80">
        <f>((K214-D214)/D214)</f>
        <v>0.13816789148829867</v>
      </c>
      <c r="S214" s="80">
        <f>((N214-G214)/G214)</f>
        <v>3.6223112021603505E-2</v>
      </c>
      <c r="T214" s="80" t="e">
        <f>((O214-H214)/H214)</f>
        <v>#DIV/0!</v>
      </c>
      <c r="U214" s="80">
        <f>P214-I214</f>
        <v>0.10099999999999998</v>
      </c>
      <c r="V214" s="81">
        <f>Q214-J214</f>
        <v>0.10099999999999998</v>
      </c>
    </row>
    <row r="215" spans="1:22">
      <c r="A215" s="170">
        <v>2</v>
      </c>
      <c r="B215" s="168" t="s">
        <v>260</v>
      </c>
      <c r="C215" s="169" t="s">
        <v>52</v>
      </c>
      <c r="D215" s="51">
        <v>14295498418.629999</v>
      </c>
      <c r="E215" s="52">
        <f>(D215/$D$216)</f>
        <v>0.12169364043380979</v>
      </c>
      <c r="F215" s="115">
        <v>1000000</v>
      </c>
      <c r="G215" s="115">
        <v>1000000</v>
      </c>
      <c r="H215" s="54">
        <v>26</v>
      </c>
      <c r="I215" s="73">
        <v>0.19389999999999999</v>
      </c>
      <c r="J215" s="73">
        <v>0.19389999999999999</v>
      </c>
      <c r="K215" s="51">
        <v>14349871785.700001</v>
      </c>
      <c r="L215" s="52">
        <f>(K215/$K$216)</f>
        <v>0.10889169011566871</v>
      </c>
      <c r="M215" s="115">
        <v>1000000</v>
      </c>
      <c r="N215" s="115">
        <v>1000000</v>
      </c>
      <c r="O215" s="54">
        <v>26</v>
      </c>
      <c r="P215" s="73">
        <v>0.19420000000000001</v>
      </c>
      <c r="Q215" s="73">
        <v>0.19420000000000001</v>
      </c>
      <c r="R215" s="80">
        <f>((K215-D215)/D215)</f>
        <v>3.8035306974076419E-3</v>
      </c>
      <c r="S215" s="80">
        <f>((N215-G215)/G215)</f>
        <v>0</v>
      </c>
      <c r="T215" s="80">
        <f>((O215-H215)/H215)</f>
        <v>0</v>
      </c>
      <c r="U215" s="80">
        <f>P215-I215</f>
        <v>3.0000000000002247E-4</v>
      </c>
      <c r="V215" s="81">
        <f>Q215-J215</f>
        <v>3.0000000000002247E-4</v>
      </c>
    </row>
    <row r="216" spans="1:22">
      <c r="A216" s="109"/>
      <c r="B216" s="109"/>
      <c r="C216" s="110" t="s">
        <v>261</v>
      </c>
      <c r="D216" s="114">
        <f>SUM(D214:D215)</f>
        <v>117471203652.63</v>
      </c>
      <c r="E216" s="116"/>
      <c r="F216" s="117"/>
      <c r="G216" s="117"/>
      <c r="H216" s="114">
        <f>SUM(H214:H215)</f>
        <v>26</v>
      </c>
      <c r="I216" s="139"/>
      <c r="J216" s="139"/>
      <c r="K216" s="114">
        <f>SUM(K214:K215)</f>
        <v>131781146664.7</v>
      </c>
      <c r="L216" s="116"/>
      <c r="M216" s="117"/>
      <c r="N216" s="117"/>
      <c r="O216" s="114">
        <f>SUM(O214:O215)</f>
        <v>26</v>
      </c>
      <c r="P216" s="139"/>
      <c r="Q216" s="114"/>
      <c r="R216" s="144">
        <f>((K216-D216)/D216)</f>
        <v>0.12181660327909319</v>
      </c>
      <c r="S216" s="145"/>
      <c r="T216" s="145"/>
      <c r="U216" s="144"/>
      <c r="V216" s="146"/>
    </row>
    <row r="217" spans="1:22" ht="4.5" customHeight="1">
      <c r="A217" s="58"/>
      <c r="B217" s="184"/>
      <c r="C217" s="184"/>
      <c r="D217" s="184"/>
      <c r="E217" s="184"/>
      <c r="F217" s="184"/>
      <c r="G217" s="184"/>
      <c r="H217" s="184"/>
      <c r="I217" s="184"/>
      <c r="J217" s="184"/>
      <c r="K217" s="184"/>
      <c r="L217" s="184"/>
      <c r="M217" s="184"/>
      <c r="N217" s="184"/>
      <c r="O217" s="184"/>
      <c r="P217" s="184"/>
      <c r="Q217" s="184"/>
      <c r="R217" s="184"/>
      <c r="S217" s="184"/>
      <c r="T217" s="184"/>
      <c r="U217" s="184"/>
      <c r="V217" s="184"/>
    </row>
    <row r="218" spans="1:22" ht="15.6">
      <c r="A218" s="181" t="s">
        <v>262</v>
      </c>
      <c r="B218" s="181"/>
      <c r="C218" s="181"/>
      <c r="D218" s="181"/>
      <c r="E218" s="181"/>
      <c r="F218" s="181"/>
      <c r="G218" s="181"/>
      <c r="H218" s="181"/>
      <c r="I218" s="181"/>
      <c r="J218" s="181"/>
      <c r="K218" s="181"/>
      <c r="L218" s="181"/>
      <c r="M218" s="181"/>
      <c r="N218" s="181"/>
      <c r="O218" s="181"/>
      <c r="P218" s="181"/>
      <c r="Q218" s="181"/>
      <c r="R218" s="181"/>
      <c r="S218" s="181"/>
      <c r="T218" s="181"/>
      <c r="U218" s="181"/>
      <c r="V218" s="181"/>
    </row>
    <row r="219" spans="1:22">
      <c r="A219" s="170">
        <v>1</v>
      </c>
      <c r="B219" s="168" t="s">
        <v>263</v>
      </c>
      <c r="C219" s="169" t="s">
        <v>83</v>
      </c>
      <c r="D219" s="118">
        <v>930476130.04562497</v>
      </c>
      <c r="E219" s="119">
        <f t="shared" ref="E219:E230" si="110">(D219/$D$231)</f>
        <v>7.3971029608496289E-2</v>
      </c>
      <c r="F219" s="115">
        <v>219.27091552860301</v>
      </c>
      <c r="G219" s="115">
        <v>221.428752704136</v>
      </c>
      <c r="H219" s="120">
        <v>61</v>
      </c>
      <c r="I219" s="75">
        <v>-1.09E-2</v>
      </c>
      <c r="J219" s="75">
        <v>0.2525</v>
      </c>
      <c r="K219" s="118">
        <v>944148090.93660522</v>
      </c>
      <c r="L219" s="119">
        <f t="shared" ref="L219:L230" si="111">(K219/$K$231)</f>
        <v>7.5648483197860272E-2</v>
      </c>
      <c r="M219" s="115">
        <v>222.4927750528114</v>
      </c>
      <c r="N219" s="115">
        <v>224.75268782373041</v>
      </c>
      <c r="O219" s="120">
        <v>61</v>
      </c>
      <c r="P219" s="75">
        <v>1.47E-2</v>
      </c>
      <c r="Q219" s="75">
        <v>0.27095153120536603</v>
      </c>
      <c r="R219" s="80">
        <f>((K219-D219)/D219)</f>
        <v>1.4693510611937839E-2</v>
      </c>
      <c r="S219" s="80">
        <f>((N219-G219)/G219)</f>
        <v>1.5011307605727766E-2</v>
      </c>
      <c r="T219" s="80">
        <f>((O219-H219)/H219)</f>
        <v>0</v>
      </c>
      <c r="U219" s="80">
        <f>P219-I219</f>
        <v>2.5599999999999998E-2</v>
      </c>
      <c r="V219" s="81">
        <f>Q219-J219</f>
        <v>1.8451531205366023E-2</v>
      </c>
    </row>
    <row r="220" spans="1:22">
      <c r="A220" s="170">
        <v>2</v>
      </c>
      <c r="B220" s="168" t="s">
        <v>264</v>
      </c>
      <c r="C220" s="169" t="s">
        <v>236</v>
      </c>
      <c r="D220" s="118">
        <v>968562631.63</v>
      </c>
      <c r="E220" s="119">
        <f t="shared" si="110"/>
        <v>7.6998831875969495E-2</v>
      </c>
      <c r="F220" s="115">
        <v>27.55</v>
      </c>
      <c r="G220" s="115">
        <v>30.45</v>
      </c>
      <c r="H220" s="120">
        <v>212</v>
      </c>
      <c r="I220" s="75">
        <v>1.35E-2</v>
      </c>
      <c r="J220" s="75">
        <v>0.2853</v>
      </c>
      <c r="K220" s="118">
        <v>968562631.63</v>
      </c>
      <c r="L220" s="119">
        <f t="shared" si="111"/>
        <v>7.7604662518834786E-2</v>
      </c>
      <c r="M220" s="115">
        <v>27.55</v>
      </c>
      <c r="N220" s="115">
        <v>30.45</v>
      </c>
      <c r="O220" s="120">
        <v>212</v>
      </c>
      <c r="P220" s="75">
        <v>1.35E-2</v>
      </c>
      <c r="Q220" s="75">
        <v>0.2853</v>
      </c>
      <c r="R220" s="80">
        <f t="shared" ref="R220:R231" si="112">((K220-D220)/D220)</f>
        <v>0</v>
      </c>
      <c r="S220" s="80">
        <f t="shared" ref="S220:S231" si="113">((N220-G220)/G220)</f>
        <v>0</v>
      </c>
      <c r="T220" s="80">
        <f t="shared" ref="T220:T231" si="114">((O220-H220)/H220)</f>
        <v>0</v>
      </c>
      <c r="U220" s="80">
        <f t="shared" ref="U220:U231" si="115">P220-I220</f>
        <v>0</v>
      </c>
      <c r="V220" s="81">
        <f t="shared" ref="V220:V231" si="116">Q220-J220</f>
        <v>0</v>
      </c>
    </row>
    <row r="221" spans="1:22">
      <c r="A221" s="170">
        <v>3</v>
      </c>
      <c r="B221" s="168" t="s">
        <v>265</v>
      </c>
      <c r="C221" s="169" t="s">
        <v>43</v>
      </c>
      <c r="D221" s="118">
        <v>340962219.29000002</v>
      </c>
      <c r="E221" s="119">
        <f t="shared" si="110"/>
        <v>2.7105828515173722E-2</v>
      </c>
      <c r="F221" s="115">
        <v>25.439471999999999</v>
      </c>
      <c r="G221" s="115">
        <v>25.749616</v>
      </c>
      <c r="H221" s="120">
        <v>167</v>
      </c>
      <c r="I221" s="75">
        <v>-5.8610670712844204E-4</v>
      </c>
      <c r="J221" s="75">
        <v>0.10217142859957699</v>
      </c>
      <c r="K221" s="118">
        <v>367731086.96999997</v>
      </c>
      <c r="L221" s="119">
        <f t="shared" si="111"/>
        <v>2.9463914846647503E-2</v>
      </c>
      <c r="M221" s="115">
        <v>27.436717999999999</v>
      </c>
      <c r="N221" s="115">
        <v>27.684238000000001</v>
      </c>
      <c r="O221" s="120">
        <v>167</v>
      </c>
      <c r="P221" s="75">
        <v>5.1071016677102898E-2</v>
      </c>
      <c r="Q221" s="75">
        <v>0.74421467566029453</v>
      </c>
      <c r="R221" s="80">
        <f t="shared" si="112"/>
        <v>7.8509776642532086E-2</v>
      </c>
      <c r="S221" s="80">
        <f t="shared" si="113"/>
        <v>7.5132071872450482E-2</v>
      </c>
      <c r="T221" s="80">
        <f t="shared" si="114"/>
        <v>0</v>
      </c>
      <c r="U221" s="80">
        <f t="shared" si="115"/>
        <v>5.165712338423134E-2</v>
      </c>
      <c r="V221" s="81">
        <f t="shared" si="116"/>
        <v>0.64204324706071758</v>
      </c>
    </row>
    <row r="222" spans="1:22">
      <c r="A222" s="170">
        <v>4</v>
      </c>
      <c r="B222" s="168" t="s">
        <v>266</v>
      </c>
      <c r="C222" s="169" t="s">
        <v>43</v>
      </c>
      <c r="D222" s="118">
        <v>819986732.49000001</v>
      </c>
      <c r="E222" s="119">
        <f t="shared" si="110"/>
        <v>6.5187338942932091E-2</v>
      </c>
      <c r="F222" s="115">
        <v>61.530628999999998</v>
      </c>
      <c r="G222" s="115">
        <v>62.003765999999999</v>
      </c>
      <c r="H222" s="120">
        <v>99</v>
      </c>
      <c r="I222" s="75">
        <v>-1.6687570364442701E-2</v>
      </c>
      <c r="J222" s="75">
        <v>0.66075460929521701</v>
      </c>
      <c r="K222" s="118">
        <v>861864288.57999992</v>
      </c>
      <c r="L222" s="119">
        <f t="shared" si="111"/>
        <v>6.9055614028517578E-2</v>
      </c>
      <c r="M222" s="115">
        <v>64.673060000000007</v>
      </c>
      <c r="N222" s="115">
        <v>65.006084000000001</v>
      </c>
      <c r="O222" s="120">
        <v>99</v>
      </c>
      <c r="P222" s="75">
        <v>7.8509776642532003E-2</v>
      </c>
      <c r="Q222" s="75">
        <v>0.18719865352582965</v>
      </c>
      <c r="R222" s="80">
        <f t="shared" si="112"/>
        <v>5.1071016677102912E-2</v>
      </c>
      <c r="S222" s="80">
        <f t="shared" si="113"/>
        <v>4.8421542652747937E-2</v>
      </c>
      <c r="T222" s="80">
        <f t="shared" si="114"/>
        <v>0</v>
      </c>
      <c r="U222" s="80">
        <f t="shared" si="115"/>
        <v>9.51973470069747E-2</v>
      </c>
      <c r="V222" s="81">
        <f t="shared" si="116"/>
        <v>-0.47355595576938736</v>
      </c>
    </row>
    <row r="223" spans="1:22">
      <c r="A223" s="170">
        <v>5</v>
      </c>
      <c r="B223" s="168" t="s">
        <v>267</v>
      </c>
      <c r="C223" s="169" t="s">
        <v>268</v>
      </c>
      <c r="D223" s="118">
        <v>1395719136.23</v>
      </c>
      <c r="E223" s="119">
        <f t="shared" si="110"/>
        <v>0.11095693722540931</v>
      </c>
      <c r="F223" s="115">
        <v>40200</v>
      </c>
      <c r="G223" s="115">
        <v>44770</v>
      </c>
      <c r="H223" s="120">
        <v>226</v>
      </c>
      <c r="I223" s="75">
        <v>-0.02</v>
      </c>
      <c r="J223" s="75">
        <v>1.39</v>
      </c>
      <c r="K223" s="118">
        <v>1299369711.6600001</v>
      </c>
      <c r="L223" s="119">
        <f t="shared" si="111"/>
        <v>0.10411009538006905</v>
      </c>
      <c r="M223" s="115">
        <v>40500</v>
      </c>
      <c r="N223" s="115">
        <v>45118</v>
      </c>
      <c r="O223" s="120">
        <v>219</v>
      </c>
      <c r="P223" s="75">
        <v>-7.0000000000000007E-2</v>
      </c>
      <c r="Q223" s="75">
        <v>1.22</v>
      </c>
      <c r="R223" s="80">
        <f t="shared" si="112"/>
        <v>-6.9032101136229276E-2</v>
      </c>
      <c r="S223" s="80">
        <f t="shared" si="113"/>
        <v>7.7730623185168638E-3</v>
      </c>
      <c r="T223" s="80">
        <f t="shared" si="114"/>
        <v>-3.0973451327433628E-2</v>
      </c>
      <c r="U223" s="80">
        <f t="shared" si="115"/>
        <v>-0.05</v>
      </c>
      <c r="V223" s="81">
        <f t="shared" si="116"/>
        <v>-0.16999999999999993</v>
      </c>
    </row>
    <row r="224" spans="1:22">
      <c r="A224" s="170">
        <v>6</v>
      </c>
      <c r="B224" s="168" t="s">
        <v>269</v>
      </c>
      <c r="C224" s="169" t="s">
        <v>270</v>
      </c>
      <c r="D224" s="118">
        <v>1116823696.45</v>
      </c>
      <c r="E224" s="119">
        <f t="shared" si="110"/>
        <v>8.8785296097302777E-2</v>
      </c>
      <c r="F224" s="115">
        <v>273.08999999999997</v>
      </c>
      <c r="G224" s="115">
        <v>276.94</v>
      </c>
      <c r="H224" s="120">
        <v>130</v>
      </c>
      <c r="I224" s="75">
        <v>-4.7999999999999996E-3</v>
      </c>
      <c r="J224" s="75">
        <v>0.26690000000000003</v>
      </c>
      <c r="K224" s="118">
        <v>948826490.40999997</v>
      </c>
      <c r="L224" s="119">
        <f t="shared" si="111"/>
        <v>7.6023333104727003E-2</v>
      </c>
      <c r="M224" s="115">
        <v>839.99</v>
      </c>
      <c r="N224" s="115">
        <v>839.99</v>
      </c>
      <c r="O224" s="120">
        <v>129</v>
      </c>
      <c r="P224" s="75">
        <v>2.8000000000000001E-2</v>
      </c>
      <c r="Q224" s="75">
        <v>0.30159999999999998</v>
      </c>
      <c r="R224" s="80">
        <f t="shared" si="112"/>
        <v>-0.15042410594797159</v>
      </c>
      <c r="S224" s="80">
        <f t="shared" si="113"/>
        <v>2.0331118653860041</v>
      </c>
      <c r="T224" s="80">
        <f t="shared" si="114"/>
        <v>-7.6923076923076927E-3</v>
      </c>
      <c r="U224" s="80">
        <f t="shared" si="115"/>
        <v>3.2800000000000003E-2</v>
      </c>
      <c r="V224" s="81">
        <f t="shared" si="116"/>
        <v>3.4699999999999953E-2</v>
      </c>
    </row>
    <row r="225" spans="1:22">
      <c r="A225" s="170">
        <v>7</v>
      </c>
      <c r="B225" s="168" t="s">
        <v>271</v>
      </c>
      <c r="C225" s="169" t="s">
        <v>270</v>
      </c>
      <c r="D225" s="118">
        <v>809921801.91999996</v>
      </c>
      <c r="E225" s="119">
        <f t="shared" si="110"/>
        <v>6.4387196679030673E-2</v>
      </c>
      <c r="F225" s="115">
        <v>205.15</v>
      </c>
      <c r="G225" s="115">
        <v>208.74</v>
      </c>
      <c r="H225" s="120">
        <v>591</v>
      </c>
      <c r="I225" s="75">
        <v>-2.3E-3</v>
      </c>
      <c r="J225" s="75">
        <v>0.33329999999999999</v>
      </c>
      <c r="K225" s="118">
        <v>822913152.59000003</v>
      </c>
      <c r="L225" s="119">
        <f t="shared" si="111"/>
        <v>6.5934711296453563E-2</v>
      </c>
      <c r="M225" s="115">
        <v>360</v>
      </c>
      <c r="N225" s="115">
        <v>360</v>
      </c>
      <c r="O225" s="120">
        <v>601</v>
      </c>
      <c r="P225" s="75">
        <v>1.6E-2</v>
      </c>
      <c r="Q225" s="75">
        <v>0.35439999999999999</v>
      </c>
      <c r="R225" s="80">
        <f t="shared" si="112"/>
        <v>1.6040253070361596E-2</v>
      </c>
      <c r="S225" s="80">
        <f t="shared" si="113"/>
        <v>0.72463351537798215</v>
      </c>
      <c r="T225" s="80">
        <f t="shared" si="114"/>
        <v>1.6920473773265651E-2</v>
      </c>
      <c r="U225" s="80">
        <f t="shared" si="115"/>
        <v>1.83E-2</v>
      </c>
      <c r="V225" s="81">
        <f t="shared" si="116"/>
        <v>2.1100000000000008E-2</v>
      </c>
    </row>
    <row r="226" spans="1:22">
      <c r="A226" s="170">
        <v>8</v>
      </c>
      <c r="B226" s="168" t="s">
        <v>272</v>
      </c>
      <c r="C226" s="169" t="s">
        <v>273</v>
      </c>
      <c r="D226" s="118">
        <v>55168827.840000004</v>
      </c>
      <c r="E226" s="119">
        <f t="shared" si="110"/>
        <v>4.385813741851252E-3</v>
      </c>
      <c r="F226" s="115">
        <v>15.85</v>
      </c>
      <c r="G226" s="115">
        <v>15.95</v>
      </c>
      <c r="H226" s="120">
        <v>61</v>
      </c>
      <c r="I226" s="75">
        <v>0</v>
      </c>
      <c r="J226" s="75">
        <v>0.43230000000000002</v>
      </c>
      <c r="K226" s="118">
        <v>55200002.990000002</v>
      </c>
      <c r="L226" s="119">
        <f t="shared" si="111"/>
        <v>4.4228194059773148E-3</v>
      </c>
      <c r="M226" s="115">
        <v>15.87</v>
      </c>
      <c r="N226" s="115">
        <v>15.97</v>
      </c>
      <c r="O226" s="120">
        <v>61</v>
      </c>
      <c r="P226" s="75">
        <v>1.23E-2</v>
      </c>
      <c r="Q226" s="75">
        <v>0.44990000000000002</v>
      </c>
      <c r="R226" s="80">
        <f t="shared" si="112"/>
        <v>5.6508632176149041E-4</v>
      </c>
      <c r="S226" s="80">
        <f t="shared" si="113"/>
        <v>1.2539184952978903E-3</v>
      </c>
      <c r="T226" s="80">
        <f t="shared" si="114"/>
        <v>0</v>
      </c>
      <c r="U226" s="80">
        <f t="shared" si="115"/>
        <v>1.23E-2</v>
      </c>
      <c r="V226" s="81">
        <f t="shared" si="116"/>
        <v>1.7600000000000005E-2</v>
      </c>
    </row>
    <row r="227" spans="1:22">
      <c r="A227" s="170">
        <v>9</v>
      </c>
      <c r="B227" s="168" t="s">
        <v>274</v>
      </c>
      <c r="C227" s="169" t="s">
        <v>273</v>
      </c>
      <c r="D227" s="121">
        <v>658798598.76999998</v>
      </c>
      <c r="E227" s="119">
        <f t="shared" si="110"/>
        <v>5.2373198067168052E-2</v>
      </c>
      <c r="F227" s="115">
        <v>10.18</v>
      </c>
      <c r="G227" s="115">
        <v>10.28</v>
      </c>
      <c r="H227" s="120">
        <v>106</v>
      </c>
      <c r="I227" s="75">
        <v>0</v>
      </c>
      <c r="J227" s="75">
        <v>0.1552</v>
      </c>
      <c r="K227" s="121">
        <v>666736832.04999995</v>
      </c>
      <c r="L227" s="119">
        <f t="shared" si="111"/>
        <v>5.3421312314145895E-2</v>
      </c>
      <c r="M227" s="115">
        <v>10.32</v>
      </c>
      <c r="N227" s="115">
        <v>10.42</v>
      </c>
      <c r="O227" s="120">
        <v>106</v>
      </c>
      <c r="P227" s="75">
        <v>0</v>
      </c>
      <c r="Q227" s="75">
        <v>0.1552</v>
      </c>
      <c r="R227" s="80">
        <f t="shared" si="112"/>
        <v>1.2049560054955992E-2</v>
      </c>
      <c r="S227" s="80">
        <f t="shared" si="113"/>
        <v>1.3618677042801612E-2</v>
      </c>
      <c r="T227" s="80">
        <f t="shared" si="114"/>
        <v>0</v>
      </c>
      <c r="U227" s="80">
        <f t="shared" si="115"/>
        <v>0</v>
      </c>
      <c r="V227" s="81">
        <f t="shared" si="116"/>
        <v>0</v>
      </c>
    </row>
    <row r="228" spans="1:22" ht="15" customHeight="1">
      <c r="A228" s="170">
        <v>10</v>
      </c>
      <c r="B228" s="168" t="s">
        <v>275</v>
      </c>
      <c r="C228" s="169" t="s">
        <v>273</v>
      </c>
      <c r="D228" s="118">
        <v>96357358.969999999</v>
      </c>
      <c r="E228" s="119">
        <f t="shared" si="110"/>
        <v>7.6602212815678333E-3</v>
      </c>
      <c r="F228" s="115">
        <v>131.71</v>
      </c>
      <c r="G228" s="115">
        <v>133.71</v>
      </c>
      <c r="H228" s="120">
        <v>281</v>
      </c>
      <c r="I228" s="75">
        <v>-1.43E-2</v>
      </c>
      <c r="J228" s="75">
        <v>0.39860000000000001</v>
      </c>
      <c r="K228" s="118">
        <v>96317942.569999993</v>
      </c>
      <c r="L228" s="119">
        <f t="shared" si="111"/>
        <v>7.7173341026734697E-3</v>
      </c>
      <c r="M228" s="115">
        <v>131.65</v>
      </c>
      <c r="N228" s="115">
        <v>133.65</v>
      </c>
      <c r="O228" s="120">
        <v>281</v>
      </c>
      <c r="P228" s="75">
        <v>1.4500000000000001E-2</v>
      </c>
      <c r="Q228" s="75">
        <v>0.41889999999999999</v>
      </c>
      <c r="R228" s="80">
        <f t="shared" si="112"/>
        <v>-4.090647608168454E-4</v>
      </c>
      <c r="S228" s="80">
        <f t="shared" si="113"/>
        <v>-4.4873233116447738E-4</v>
      </c>
      <c r="T228" s="80">
        <f t="shared" si="114"/>
        <v>0</v>
      </c>
      <c r="U228" s="80">
        <f t="shared" si="115"/>
        <v>2.8799999999999999E-2</v>
      </c>
      <c r="V228" s="81">
        <f t="shared" si="116"/>
        <v>2.0299999999999985E-2</v>
      </c>
    </row>
    <row r="229" spans="1:22">
      <c r="A229" s="170">
        <v>11</v>
      </c>
      <c r="B229" s="168" t="s">
        <v>276</v>
      </c>
      <c r="C229" s="169" t="s">
        <v>273</v>
      </c>
      <c r="D229" s="118">
        <v>5323285283.4099998</v>
      </c>
      <c r="E229" s="119">
        <f t="shared" si="110"/>
        <v>0.4231907521306168</v>
      </c>
      <c r="F229" s="115">
        <v>36.9</v>
      </c>
      <c r="G229" s="115">
        <v>37.1</v>
      </c>
      <c r="H229" s="120">
        <v>284</v>
      </c>
      <c r="I229" s="75">
        <v>0</v>
      </c>
      <c r="J229" s="75">
        <v>0.4259</v>
      </c>
      <c r="K229" s="118">
        <v>5384698522.1899996</v>
      </c>
      <c r="L229" s="119">
        <f t="shared" si="111"/>
        <v>0.43144108386359525</v>
      </c>
      <c r="M229" s="115">
        <v>37.340000000000003</v>
      </c>
      <c r="N229" s="115">
        <v>37.54</v>
      </c>
      <c r="O229" s="120">
        <v>284</v>
      </c>
      <c r="P229" s="75">
        <v>0</v>
      </c>
      <c r="Q229" s="75">
        <v>0.4259</v>
      </c>
      <c r="R229" s="80">
        <f t="shared" si="112"/>
        <v>1.1536717555114673E-2</v>
      </c>
      <c r="S229" s="80">
        <f t="shared" si="113"/>
        <v>1.1859838274932553E-2</v>
      </c>
      <c r="T229" s="80">
        <f t="shared" si="114"/>
        <v>0</v>
      </c>
      <c r="U229" s="80">
        <f t="shared" si="115"/>
        <v>0</v>
      </c>
      <c r="V229" s="81">
        <f t="shared" si="116"/>
        <v>0</v>
      </c>
    </row>
    <row r="230" spans="1:22">
      <c r="A230" s="170">
        <v>12</v>
      </c>
      <c r="B230" s="168" t="s">
        <v>277</v>
      </c>
      <c r="C230" s="169" t="s">
        <v>273</v>
      </c>
      <c r="D230" s="121">
        <v>62863886.539999999</v>
      </c>
      <c r="E230" s="119">
        <f t="shared" si="110"/>
        <v>4.9975558344817267E-3</v>
      </c>
      <c r="F230" s="115">
        <v>35.159999999999997</v>
      </c>
      <c r="G230" s="115">
        <v>35.36</v>
      </c>
      <c r="H230" s="120">
        <v>60</v>
      </c>
      <c r="I230" s="75">
        <v>0</v>
      </c>
      <c r="J230" s="75">
        <v>0.69810000000000005</v>
      </c>
      <c r="K230" s="121">
        <v>64358567.060000002</v>
      </c>
      <c r="L230" s="119">
        <f t="shared" si="111"/>
        <v>5.1566359404985312E-3</v>
      </c>
      <c r="M230" s="115">
        <v>36.049999999999997</v>
      </c>
      <c r="N230" s="115">
        <v>36.25</v>
      </c>
      <c r="O230" s="120">
        <v>60</v>
      </c>
      <c r="P230" s="75">
        <v>0</v>
      </c>
      <c r="Q230" s="75">
        <v>0.69810000000000005</v>
      </c>
      <c r="R230" s="80">
        <f t="shared" si="112"/>
        <v>2.3776457394961495E-2</v>
      </c>
      <c r="S230" s="80">
        <f t="shared" si="113"/>
        <v>2.516968325791857E-2</v>
      </c>
      <c r="T230" s="80">
        <f t="shared" si="114"/>
        <v>0</v>
      </c>
      <c r="U230" s="80">
        <f t="shared" si="115"/>
        <v>0</v>
      </c>
      <c r="V230" s="81">
        <f t="shared" si="116"/>
        <v>0</v>
      </c>
    </row>
    <row r="231" spans="1:22">
      <c r="A231" s="122"/>
      <c r="B231" s="122"/>
      <c r="C231" s="123" t="s">
        <v>278</v>
      </c>
      <c r="D231" s="114">
        <f>SUM(D219:D230)</f>
        <v>12578926303.585625</v>
      </c>
      <c r="E231" s="116"/>
      <c r="F231" s="116"/>
      <c r="G231" s="117"/>
      <c r="H231" s="114">
        <f>SUM(H219:H230)</f>
        <v>2278</v>
      </c>
      <c r="I231" s="139"/>
      <c r="J231" s="139"/>
      <c r="K231" s="114">
        <f>SUM(K219:K230)</f>
        <v>12480727319.636602</v>
      </c>
      <c r="L231" s="116"/>
      <c r="M231" s="116"/>
      <c r="N231" s="117"/>
      <c r="O231" s="114">
        <f>SUM(O219:O230)</f>
        <v>2280</v>
      </c>
      <c r="P231" s="139"/>
      <c r="Q231" s="139"/>
      <c r="R231" s="80">
        <f t="shared" si="112"/>
        <v>-7.8066268598004787E-3</v>
      </c>
      <c r="S231" s="80" t="e">
        <f t="shared" si="113"/>
        <v>#DIV/0!</v>
      </c>
      <c r="T231" s="80">
        <f t="shared" si="114"/>
        <v>8.7796312554872696E-4</v>
      </c>
      <c r="U231" s="80">
        <f t="shared" si="115"/>
        <v>0</v>
      </c>
      <c r="V231" s="81">
        <f t="shared" si="116"/>
        <v>0</v>
      </c>
    </row>
    <row r="232" spans="1:22">
      <c r="A232" s="124"/>
      <c r="B232" s="124"/>
      <c r="C232" s="125" t="s">
        <v>279</v>
      </c>
      <c r="D232" s="126">
        <f>SUM(D207,D211,D216,D231)</f>
        <v>3984425886207.709</v>
      </c>
      <c r="E232" s="127"/>
      <c r="F232" s="127"/>
      <c r="G232" s="128"/>
      <c r="H232" s="126">
        <f>SUM(H207,H211,H216,H231)</f>
        <v>799608</v>
      </c>
      <c r="I232" s="140"/>
      <c r="J232" s="140"/>
      <c r="K232" s="126">
        <f>SUM(K207,K211,K216,K231)</f>
        <v>3915913430739.3906</v>
      </c>
      <c r="L232" s="127"/>
      <c r="M232" s="127"/>
      <c r="N232" s="126"/>
      <c r="O232" s="126">
        <f>SUM(O207,O211,O216,O231)</f>
        <v>802758</v>
      </c>
      <c r="P232" s="141"/>
      <c r="Q232" s="126"/>
      <c r="R232" s="147"/>
      <c r="S232" s="148"/>
      <c r="T232" s="148"/>
      <c r="U232" s="149"/>
      <c r="V232" s="149"/>
    </row>
    <row r="233" spans="1:22">
      <c r="A233" s="129" t="s">
        <v>280</v>
      </c>
      <c r="B233" s="165" t="s">
        <v>301</v>
      </c>
      <c r="C233" s="130"/>
      <c r="D233" s="130"/>
      <c r="E233" s="130"/>
      <c r="F233" s="130"/>
      <c r="G233" s="130"/>
      <c r="H233" s="130"/>
      <c r="I233" s="130"/>
      <c r="J233" s="130"/>
      <c r="K233" s="130"/>
      <c r="L233" s="130"/>
      <c r="M233" s="130"/>
      <c r="N233" s="130"/>
      <c r="O233" s="130"/>
      <c r="P233" s="130"/>
      <c r="Q233" s="130"/>
      <c r="R233" s="130"/>
      <c r="S233" s="130"/>
      <c r="T233" s="130"/>
      <c r="U233" s="130"/>
      <c r="V233" s="130"/>
    </row>
    <row r="234" spans="1:22">
      <c r="B234" s="166"/>
    </row>
    <row r="235" spans="1:22">
      <c r="B235" s="131"/>
      <c r="C235" s="131"/>
      <c r="D235" s="132"/>
      <c r="K235" s="132"/>
    </row>
    <row r="236" spans="1:22" ht="15">
      <c r="B236" s="133"/>
      <c r="C236" s="134"/>
      <c r="D236" s="135"/>
      <c r="F236" s="136"/>
      <c r="G236" s="136"/>
      <c r="I236" s="142"/>
      <c r="J236" s="143"/>
    </row>
    <row r="239" spans="1:22">
      <c r="B239" s="131"/>
    </row>
  </sheetData>
  <mergeCells count="34">
    <mergeCell ref="A209:V209"/>
    <mergeCell ref="A213:V213"/>
    <mergeCell ref="B217:V217"/>
    <mergeCell ref="A218:V218"/>
    <mergeCell ref="B189:V189"/>
    <mergeCell ref="A190:V190"/>
    <mergeCell ref="B203:V203"/>
    <mergeCell ref="A204:V204"/>
    <mergeCell ref="B208:U208"/>
    <mergeCell ref="B178:V178"/>
    <mergeCell ref="A179:V179"/>
    <mergeCell ref="B184:V184"/>
    <mergeCell ref="A185:V185"/>
    <mergeCell ref="A186:V186"/>
    <mergeCell ref="A123:V123"/>
    <mergeCell ref="B138:V138"/>
    <mergeCell ref="A139:V139"/>
    <mergeCell ref="B146:V146"/>
    <mergeCell ref="A147:V147"/>
    <mergeCell ref="A66:V66"/>
    <mergeCell ref="B104:V104"/>
    <mergeCell ref="A105:V105"/>
    <mergeCell ref="A106:V106"/>
    <mergeCell ref="B122:V122"/>
    <mergeCell ref="B4:V4"/>
    <mergeCell ref="A5:V5"/>
    <mergeCell ref="B25:V25"/>
    <mergeCell ref="A26:V26"/>
    <mergeCell ref="B65:V65"/>
    <mergeCell ref="A1:V1"/>
    <mergeCell ref="D2:J2"/>
    <mergeCell ref="K2:Q2"/>
    <mergeCell ref="R2:T2"/>
    <mergeCell ref="U2:V2"/>
  </mergeCells>
  <pageMargins left="0.7" right="0.7" top="0.75" bottom="0.75" header="0.3" footer="0.3"/>
  <pageSetup paperSize="9" orientation="portrait" horizontalDpi="300" verticalDpi="300" r:id="rId1"/>
  <ignoredErrors>
    <ignoredError sqref="L89 E89 E71 L45 E45" formula="1"/>
    <ignoredError sqref="S145 S24 T36 S64 S103 S137 T155 S177 S183 S206 S231 T214:T215 R46:T46" evalError="1"/>
    <ignoredError sqref="P114 I11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E29"/>
  <sheetViews>
    <sheetView workbookViewId="0">
      <selection activeCell="F5" sqref="F5"/>
    </sheetView>
  </sheetViews>
  <sheetFormatPr defaultColWidth="9" defaultRowHeight="14.4"/>
  <cols>
    <col min="1" max="1" width="34" customWidth="1"/>
    <col min="2" max="2" width="17.6640625" customWidth="1"/>
    <col min="3" max="3" width="17.44140625" customWidth="1"/>
  </cols>
  <sheetData>
    <row r="1" spans="1:5">
      <c r="A1" s="155"/>
      <c r="B1" s="155"/>
      <c r="C1" s="155"/>
      <c r="D1" s="155"/>
      <c r="E1" s="19"/>
    </row>
    <row r="2" spans="1:5" ht="27.6">
      <c r="A2" s="26" t="s">
        <v>281</v>
      </c>
      <c r="B2" s="27" t="s">
        <v>296</v>
      </c>
      <c r="C2" s="27" t="s">
        <v>303</v>
      </c>
      <c r="D2" s="28"/>
      <c r="E2" s="19"/>
    </row>
    <row r="3" spans="1:5">
      <c r="A3" s="29" t="s">
        <v>17</v>
      </c>
      <c r="B3" s="30">
        <f t="shared" ref="B3:C10" si="0">B13</f>
        <v>29.963223384749995</v>
      </c>
      <c r="C3" s="30">
        <f t="shared" si="0"/>
        <v>30.290917801960003</v>
      </c>
      <c r="D3" s="28"/>
      <c r="E3" s="19"/>
    </row>
    <row r="4" spans="1:5" ht="17.25" customHeight="1">
      <c r="A4" s="26" t="s">
        <v>54</v>
      </c>
      <c r="B4" s="31">
        <f t="shared" si="0"/>
        <v>1581.147259519779</v>
      </c>
      <c r="C4" s="31">
        <f t="shared" si="0"/>
        <v>1605.1471654078784</v>
      </c>
      <c r="D4" s="28"/>
      <c r="E4" s="19"/>
    </row>
    <row r="5" spans="1:5" ht="19.5" customHeight="1">
      <c r="A5" s="26" t="s">
        <v>282</v>
      </c>
      <c r="B5" s="30">
        <f t="shared" si="0"/>
        <v>211.81708627375338</v>
      </c>
      <c r="C5" s="30">
        <f t="shared" si="0"/>
        <v>200.48940085013456</v>
      </c>
      <c r="D5" s="28"/>
      <c r="E5" s="19"/>
    </row>
    <row r="6" spans="1:5">
      <c r="A6" s="26" t="s">
        <v>158</v>
      </c>
      <c r="B6" s="31">
        <f t="shared" si="0"/>
        <v>1817.8268801037505</v>
      </c>
      <c r="C6" s="31">
        <f t="shared" si="0"/>
        <v>1721.2274038896946</v>
      </c>
      <c r="D6" s="28"/>
      <c r="E6" s="19"/>
    </row>
    <row r="7" spans="1:5">
      <c r="A7" s="26" t="s">
        <v>283</v>
      </c>
      <c r="B7" s="30">
        <f t="shared" si="0"/>
        <v>99.287613486429763</v>
      </c>
      <c r="C7" s="30">
        <f t="shared" si="0"/>
        <v>99.753756571315762</v>
      </c>
      <c r="D7" s="28"/>
      <c r="E7" s="19"/>
    </row>
    <row r="8" spans="1:5">
      <c r="A8" s="26" t="s">
        <v>196</v>
      </c>
      <c r="B8" s="32">
        <f t="shared" si="0"/>
        <v>53.277880968774504</v>
      </c>
      <c r="C8" s="32">
        <f t="shared" si="0"/>
        <v>53.833340267497753</v>
      </c>
      <c r="D8" s="28"/>
      <c r="E8" s="19"/>
    </row>
    <row r="9" spans="1:5">
      <c r="A9" s="26" t="s">
        <v>228</v>
      </c>
      <c r="B9" s="30">
        <f t="shared" si="0"/>
        <v>5.6453872829300007</v>
      </c>
      <c r="C9" s="30">
        <f t="shared" si="0"/>
        <v>5.7460852203999995</v>
      </c>
      <c r="D9" s="28"/>
      <c r="E9" s="19"/>
    </row>
    <row r="10" spans="1:5">
      <c r="A10" s="26" t="s">
        <v>284</v>
      </c>
      <c r="B10" s="30">
        <f t="shared" si="0"/>
        <v>51.417030730333892</v>
      </c>
      <c r="C10" s="30">
        <f t="shared" si="0"/>
        <v>51.477005540102269</v>
      </c>
      <c r="D10" s="28"/>
      <c r="E10" s="19"/>
    </row>
    <row r="11" spans="1:5">
      <c r="A11" s="26"/>
      <c r="B11" s="30"/>
      <c r="C11" s="30"/>
      <c r="D11" s="28"/>
      <c r="E11" s="19"/>
    </row>
    <row r="12" spans="1:5">
      <c r="A12" s="155"/>
      <c r="B12" s="155"/>
      <c r="C12" s="155"/>
      <c r="D12" s="155"/>
      <c r="E12" s="19"/>
    </row>
    <row r="13" spans="1:5">
      <c r="A13" s="33" t="s">
        <v>17</v>
      </c>
      <c r="B13" s="34">
        <f>'Weekly Valuation'!D24/1000000000</f>
        <v>29.963223384749995</v>
      </c>
      <c r="C13" s="35">
        <f>'Weekly Valuation'!K24/1000000000</f>
        <v>30.290917801960003</v>
      </c>
      <c r="D13" s="155"/>
      <c r="E13" s="19"/>
    </row>
    <row r="14" spans="1:5">
      <c r="A14" s="36" t="s">
        <v>54</v>
      </c>
      <c r="B14" s="34">
        <f>'Weekly Valuation'!D64/1000000000</f>
        <v>1581.147259519779</v>
      </c>
      <c r="C14" s="37">
        <f>'Weekly Valuation'!K64/1000000000</f>
        <v>1605.1471654078784</v>
      </c>
      <c r="D14" s="155"/>
      <c r="E14" s="19"/>
    </row>
    <row r="15" spans="1:5">
      <c r="A15" s="36" t="s">
        <v>282</v>
      </c>
      <c r="B15" s="34">
        <f>'Weekly Valuation'!D103/1000000000</f>
        <v>211.81708627375338</v>
      </c>
      <c r="C15" s="35">
        <f>'Weekly Valuation'!K103/1000000000</f>
        <v>200.48940085013456</v>
      </c>
      <c r="D15" s="155"/>
      <c r="E15" s="19"/>
    </row>
    <row r="16" spans="1:5">
      <c r="A16" s="36" t="s">
        <v>158</v>
      </c>
      <c r="B16" s="34">
        <f>'Weekly Valuation'!D137/1000000000</f>
        <v>1817.8268801037505</v>
      </c>
      <c r="C16" s="37">
        <f>'Weekly Valuation'!K137/1000000000</f>
        <v>1721.2274038896946</v>
      </c>
      <c r="D16" s="155"/>
      <c r="E16" s="19"/>
    </row>
    <row r="17" spans="1:5">
      <c r="A17" s="36" t="s">
        <v>283</v>
      </c>
      <c r="B17" s="34">
        <f>'Weekly Valuation'!D145/1000000000</f>
        <v>99.287613486429763</v>
      </c>
      <c r="C17" s="35">
        <f>'Weekly Valuation'!K145/1000000000</f>
        <v>99.753756571315762</v>
      </c>
      <c r="D17" s="155"/>
      <c r="E17" s="19"/>
    </row>
    <row r="18" spans="1:5">
      <c r="A18" s="36" t="s">
        <v>196</v>
      </c>
      <c r="B18" s="34">
        <f>'Weekly Valuation'!D177/1000000000</f>
        <v>53.277880968774504</v>
      </c>
      <c r="C18" s="38">
        <f>'Weekly Valuation'!K177/1000000000</f>
        <v>53.833340267497753</v>
      </c>
      <c r="D18" s="155"/>
      <c r="E18" s="19"/>
    </row>
    <row r="19" spans="1:5">
      <c r="A19" s="36" t="s">
        <v>228</v>
      </c>
      <c r="B19" s="34">
        <f>'Weekly Valuation'!D183/1000000000</f>
        <v>5.6453872829300007</v>
      </c>
      <c r="C19" s="35">
        <f>'Weekly Valuation'!K183/1000000000</f>
        <v>5.7460852203999995</v>
      </c>
      <c r="D19" s="155"/>
      <c r="E19" s="19"/>
    </row>
    <row r="20" spans="1:5">
      <c r="A20" s="36" t="s">
        <v>284</v>
      </c>
      <c r="B20" s="34">
        <f>'Weekly Valuation'!D206/1000000000</f>
        <v>51.417030730333892</v>
      </c>
      <c r="C20" s="35">
        <f>'Weekly Valuation'!K206/1000000000</f>
        <v>51.477005540102269</v>
      </c>
      <c r="D20" s="155"/>
      <c r="E20" s="19"/>
    </row>
    <row r="21" spans="1:5">
      <c r="A21" s="21"/>
      <c r="B21" s="155"/>
      <c r="C21" s="24"/>
      <c r="D21" s="155"/>
      <c r="E21" s="19"/>
    </row>
    <row r="22" spans="1:5">
      <c r="A22" s="21"/>
      <c r="B22" s="155"/>
      <c r="C22" s="22"/>
      <c r="D22" s="155"/>
      <c r="E22" s="19"/>
    </row>
    <row r="23" spans="1:5">
      <c r="A23" s="39"/>
      <c r="B23" s="40"/>
      <c r="C23" s="23"/>
      <c r="D23" s="19"/>
      <c r="E23" s="19"/>
    </row>
    <row r="24" spans="1:5">
      <c r="A24" s="41"/>
      <c r="B24" s="42"/>
      <c r="C24" s="42"/>
      <c r="D24" s="15"/>
      <c r="E24" s="19"/>
    </row>
    <row r="25" spans="1:5">
      <c r="A25" s="41"/>
      <c r="B25" s="42"/>
      <c r="C25" s="42"/>
      <c r="D25" s="15"/>
      <c r="E25" s="15"/>
    </row>
    <row r="26" spans="1:5">
      <c r="A26" s="41"/>
      <c r="B26" s="42"/>
      <c r="C26" s="42"/>
      <c r="D26" s="15"/>
      <c r="E26" s="15"/>
    </row>
    <row r="27" spans="1:5">
      <c r="A27" s="41"/>
      <c r="B27" s="42"/>
      <c r="C27" s="42"/>
      <c r="D27" s="15"/>
      <c r="E27" s="15"/>
    </row>
    <row r="28" spans="1:5">
      <c r="A28" s="15"/>
      <c r="B28" s="15"/>
      <c r="C28" s="15"/>
      <c r="D28" s="15"/>
    </row>
    <row r="29" spans="1:5">
      <c r="A29" s="15"/>
      <c r="B29" s="15"/>
      <c r="C29" s="15"/>
      <c r="D29" s="15"/>
    </row>
  </sheetData>
  <sheetProtection algorithmName="SHA-512" hashValue="/XTmvSdG+lXrGSilEKm/u/ZC++XaJ2w0ZQNqfvUD403I3FAnmZ1KGaO565uxuqZNSXOwNf8H8rPWrEfLqUcm9w==" saltValue="U78HwNA3vq3uJ7KEtI4EAA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3"/>
  <sheetViews>
    <sheetView zoomScale="85" zoomScaleNormal="85" workbookViewId="0">
      <selection activeCell="K3" sqref="K3"/>
    </sheetView>
  </sheetViews>
  <sheetFormatPr defaultColWidth="9" defaultRowHeight="14.4"/>
  <cols>
    <col min="1" max="1" width="26.6640625" customWidth="1"/>
    <col min="2" max="2" width="17.44140625" customWidth="1"/>
    <col min="16" max="16" width="7.5546875" customWidth="1"/>
  </cols>
  <sheetData>
    <row r="1" spans="1:6" ht="15.6">
      <c r="A1" s="157" t="s">
        <v>281</v>
      </c>
      <c r="B1" s="158">
        <v>45632</v>
      </c>
      <c r="C1" s="19"/>
      <c r="D1" s="15"/>
      <c r="E1" s="15"/>
    </row>
    <row r="2" spans="1:6">
      <c r="A2" s="21" t="s">
        <v>228</v>
      </c>
      <c r="B2" s="22">
        <f>'Weekly Valuation'!K183</f>
        <v>5746085220.3999996</v>
      </c>
      <c r="C2" s="19"/>
      <c r="D2" s="15"/>
      <c r="E2" s="15"/>
    </row>
    <row r="3" spans="1:6">
      <c r="A3" s="21" t="s">
        <v>17</v>
      </c>
      <c r="B3" s="22">
        <f>'Weekly Valuation'!K24</f>
        <v>30290917801.960003</v>
      </c>
      <c r="C3" s="19"/>
      <c r="D3" s="15"/>
      <c r="E3" s="15"/>
    </row>
    <row r="4" spans="1:6">
      <c r="A4" s="21" t="s">
        <v>284</v>
      </c>
      <c r="B4" s="23">
        <f>'Weekly Valuation'!K206</f>
        <v>51477005540.102272</v>
      </c>
      <c r="C4" s="19"/>
      <c r="D4" s="15"/>
      <c r="E4" s="15"/>
    </row>
    <row r="5" spans="1:6">
      <c r="A5" s="21" t="s">
        <v>196</v>
      </c>
      <c r="B5" s="22">
        <f>'Weekly Valuation'!K177</f>
        <v>53833340267.497757</v>
      </c>
      <c r="C5" s="19"/>
      <c r="D5" s="15"/>
      <c r="E5" s="15"/>
    </row>
    <row r="6" spans="1:6">
      <c r="A6" s="21" t="s">
        <v>283</v>
      </c>
      <c r="B6" s="22">
        <f>'Weekly Valuation'!K145</f>
        <v>99753756571.315765</v>
      </c>
      <c r="C6" s="19"/>
      <c r="D6" s="15"/>
      <c r="E6" s="15"/>
    </row>
    <row r="7" spans="1:6">
      <c r="A7" s="21" t="s">
        <v>282</v>
      </c>
      <c r="B7" s="22">
        <f>'Weekly Valuation'!K103</f>
        <v>200489400850.13455</v>
      </c>
      <c r="C7" s="19"/>
      <c r="D7" s="15"/>
      <c r="E7" s="15"/>
    </row>
    <row r="8" spans="1:6">
      <c r="A8" s="21" t="s">
        <v>54</v>
      </c>
      <c r="B8" s="24">
        <f>'Weekly Valuation'!K64</f>
        <v>1605147165407.8784</v>
      </c>
      <c r="C8" s="19"/>
      <c r="D8" s="15"/>
      <c r="E8" s="15"/>
    </row>
    <row r="9" spans="1:6">
      <c r="A9" s="21" t="s">
        <v>158</v>
      </c>
      <c r="B9" s="24">
        <f>'Weekly Valuation'!K137</f>
        <v>1721227403889.6946</v>
      </c>
      <c r="C9" s="19"/>
      <c r="D9" s="15"/>
      <c r="E9" s="15"/>
      <c r="F9" t="s">
        <v>285</v>
      </c>
    </row>
    <row r="10" spans="1:6">
      <c r="A10" s="155"/>
      <c r="B10" s="155"/>
      <c r="C10" s="19"/>
      <c r="D10" s="15"/>
      <c r="E10" s="15"/>
    </row>
    <row r="11" spans="1:6">
      <c r="A11" s="21"/>
      <c r="B11" s="159"/>
      <c r="C11" s="19"/>
      <c r="D11" s="15"/>
      <c r="E11" s="15"/>
    </row>
    <row r="12" spans="1:6">
      <c r="A12" s="21"/>
      <c r="B12" s="19"/>
      <c r="C12" s="19"/>
      <c r="D12" s="15"/>
      <c r="E12" s="15"/>
    </row>
    <row r="13" spans="1:6">
      <c r="A13" s="40"/>
      <c r="B13" s="40"/>
      <c r="C13" s="19"/>
      <c r="D13" s="15"/>
      <c r="E13" s="15"/>
    </row>
    <row r="14" spans="1:6">
      <c r="A14" s="40"/>
      <c r="B14" s="40"/>
      <c r="C14" s="19"/>
      <c r="D14" s="15"/>
      <c r="E14" s="15"/>
    </row>
    <row r="15" spans="1:6" ht="16.5" customHeight="1">
      <c r="A15" s="154"/>
      <c r="B15" s="154"/>
      <c r="C15" s="15"/>
      <c r="D15" s="15"/>
      <c r="E15" s="15"/>
    </row>
    <row r="16" spans="1:6">
      <c r="A16" s="42"/>
      <c r="B16" s="42"/>
      <c r="C16" s="15"/>
      <c r="D16" s="15"/>
      <c r="E16" s="15"/>
    </row>
    <row r="17" spans="1:17">
      <c r="A17" s="42"/>
      <c r="B17" s="42"/>
      <c r="C17" s="15"/>
      <c r="D17" s="15"/>
      <c r="E17" s="15"/>
    </row>
    <row r="18" spans="1:17">
      <c r="A18" s="156"/>
      <c r="B18" s="42"/>
      <c r="C18" s="15"/>
      <c r="D18" s="15"/>
      <c r="E18" s="15"/>
    </row>
    <row r="19" spans="1:17">
      <c r="A19" s="156"/>
      <c r="B19" s="156"/>
      <c r="C19" s="15"/>
      <c r="D19" s="15"/>
      <c r="E19" s="15"/>
    </row>
    <row r="20" spans="1:17">
      <c r="A20" s="156"/>
      <c r="B20" s="156"/>
      <c r="C20" s="15"/>
      <c r="D20" s="15"/>
      <c r="E20" s="15"/>
    </row>
    <row r="21" spans="1:17">
      <c r="A21" s="41"/>
      <c r="B21" s="156"/>
      <c r="C21" s="15"/>
      <c r="D21" s="15"/>
      <c r="E21" s="15"/>
    </row>
    <row r="22" spans="1:17">
      <c r="A22" s="15"/>
      <c r="B22" s="156"/>
      <c r="C22" s="15"/>
      <c r="D22" s="15"/>
      <c r="E22" s="15"/>
    </row>
    <row r="23" spans="1:17">
      <c r="A23" s="15"/>
      <c r="B23" s="15"/>
      <c r="C23" s="15"/>
      <c r="D23" s="15"/>
      <c r="E23" s="15"/>
    </row>
    <row r="24" spans="1:17">
      <c r="A24" s="15"/>
      <c r="B24" s="15"/>
      <c r="C24" s="15"/>
      <c r="D24" s="15"/>
      <c r="E24" s="15"/>
    </row>
    <row r="25" spans="1:17">
      <c r="A25" s="15"/>
      <c r="B25" s="15"/>
      <c r="C25" s="15"/>
      <c r="D25" s="15"/>
      <c r="E25" s="15"/>
    </row>
    <row r="26" spans="1:17">
      <c r="A26" s="15"/>
      <c r="B26" s="15"/>
    </row>
    <row r="32" spans="1:17" ht="16.5" customHeight="1">
      <c r="A32" s="185" t="s">
        <v>304</v>
      </c>
      <c r="B32" s="186"/>
      <c r="C32" s="186"/>
      <c r="D32" s="186"/>
      <c r="E32" s="186"/>
      <c r="F32" s="186"/>
      <c r="G32" s="186"/>
      <c r="H32" s="186"/>
      <c r="I32" s="186"/>
      <c r="J32" s="186"/>
      <c r="K32" s="186"/>
      <c r="L32" s="186"/>
      <c r="M32" s="186"/>
      <c r="N32" s="186"/>
      <c r="O32" s="186"/>
      <c r="P32" s="186"/>
      <c r="Q32" s="25"/>
    </row>
    <row r="33" spans="1:17" ht="15" customHeight="1">
      <c r="A33" s="186"/>
      <c r="B33" s="186"/>
      <c r="C33" s="186"/>
      <c r="D33" s="186"/>
      <c r="E33" s="186"/>
      <c r="F33" s="186"/>
      <c r="G33" s="186"/>
      <c r="H33" s="186"/>
      <c r="I33" s="186"/>
      <c r="J33" s="186"/>
      <c r="K33" s="186"/>
      <c r="L33" s="186"/>
      <c r="M33" s="186"/>
      <c r="N33" s="186"/>
      <c r="O33" s="186"/>
      <c r="P33" s="186"/>
      <c r="Q33" s="25"/>
    </row>
  </sheetData>
  <sheetProtection algorithmName="SHA-512" hashValue="aYL3ISb6RXnMZA0Pklnbz6T3TePz6DnJEJGYttzL2wfOkfhJXPogu0CoUTo0b3lbOWGT/zenCADKp6MUJN0cjQ==" saltValue="f4Om3Npkh82zmBb8/lTB9Q==" spinCount="100000" sheet="1" selectLockedCells="1" selectUnlockedCells="1"/>
  <sortState ref="A2:B9">
    <sortCondition ref="B2:B9"/>
  </sortState>
  <mergeCells count="1">
    <mergeCell ref="A32:P33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M8"/>
  <sheetViews>
    <sheetView zoomScale="110" zoomScaleNormal="110" workbookViewId="0">
      <selection activeCell="F6" sqref="F6"/>
    </sheetView>
  </sheetViews>
  <sheetFormatPr defaultColWidth="9" defaultRowHeight="14.4"/>
  <cols>
    <col min="1" max="2" width="10.5546875" customWidth="1"/>
    <col min="3" max="3" width="11.109375" customWidth="1"/>
    <col min="4" max="4" width="10.5546875" customWidth="1"/>
    <col min="5" max="5" width="10.88671875" customWidth="1"/>
    <col min="6" max="6" width="11.109375" customWidth="1"/>
    <col min="7" max="7" width="12.109375" customWidth="1"/>
    <col min="8" max="8" width="11.6640625" customWidth="1"/>
    <col min="9" max="9" width="11.44140625" customWidth="1"/>
  </cols>
  <sheetData>
    <row r="1" spans="1:13">
      <c r="A1" s="19"/>
      <c r="B1" s="19"/>
      <c r="C1" s="19"/>
      <c r="D1" s="19"/>
      <c r="E1" s="19"/>
      <c r="F1" s="19"/>
      <c r="G1" s="19"/>
      <c r="H1" s="19"/>
      <c r="I1" s="19"/>
      <c r="J1" s="19"/>
      <c r="K1" s="15"/>
      <c r="L1" s="15"/>
      <c r="M1" s="15"/>
    </row>
    <row r="2" spans="1:13">
      <c r="A2" s="160" t="s">
        <v>286</v>
      </c>
      <c r="B2" s="161">
        <v>45583</v>
      </c>
      <c r="C2" s="161">
        <v>45590</v>
      </c>
      <c r="D2" s="161">
        <v>45597</v>
      </c>
      <c r="E2" s="161">
        <v>45604</v>
      </c>
      <c r="F2" s="161">
        <v>45611</v>
      </c>
      <c r="G2" s="161">
        <v>45618</v>
      </c>
      <c r="H2" s="161">
        <v>45625</v>
      </c>
      <c r="I2" s="161">
        <v>45632</v>
      </c>
      <c r="J2" s="19"/>
      <c r="K2" s="15"/>
      <c r="L2" s="15"/>
      <c r="M2" s="15"/>
    </row>
    <row r="3" spans="1:13">
      <c r="A3" s="160" t="s">
        <v>287</v>
      </c>
      <c r="B3" s="162">
        <f t="shared" ref="B3:I3" si="0">B4</f>
        <v>3649.8560176552623</v>
      </c>
      <c r="C3" s="162">
        <f t="shared" si="0"/>
        <v>3681.0930784539851</v>
      </c>
      <c r="D3" s="162">
        <f t="shared" si="0"/>
        <v>3756.0739614136678</v>
      </c>
      <c r="E3" s="162">
        <f t="shared" si="0"/>
        <v>3781.6039580427923</v>
      </c>
      <c r="F3" s="162">
        <f t="shared" si="0"/>
        <v>3775.5209725078448</v>
      </c>
      <c r="G3" s="162">
        <f t="shared" si="0"/>
        <v>3826.7471799710661</v>
      </c>
      <c r="H3" s="162">
        <f t="shared" si="0"/>
        <v>3850.3823617505013</v>
      </c>
      <c r="I3" s="162">
        <f t="shared" si="0"/>
        <v>3767.9650755489829</v>
      </c>
      <c r="J3" s="19"/>
      <c r="K3" s="15"/>
      <c r="L3" s="15"/>
      <c r="M3" s="15"/>
    </row>
    <row r="4" spans="1:13">
      <c r="A4" s="19"/>
      <c r="B4" s="163">
        <f>'NAV Trend'!C10/1000000000</f>
        <v>3649.8560176552623</v>
      </c>
      <c r="C4" s="163">
        <f>'NAV Trend'!D10/1000000000</f>
        <v>3681.0930784539851</v>
      </c>
      <c r="D4" s="163">
        <f>'NAV Trend'!E10/1000000000</f>
        <v>3756.0739614136678</v>
      </c>
      <c r="E4" s="163">
        <f>'NAV Trend'!F10/1000000000</f>
        <v>3781.6039580427923</v>
      </c>
      <c r="F4" s="163">
        <f>'NAV Trend'!G10/1000000000</f>
        <v>3775.5209725078448</v>
      </c>
      <c r="G4" s="163">
        <f>'NAV Trend'!H10/1000000000</f>
        <v>3826.7471799710661</v>
      </c>
      <c r="H4" s="164">
        <f>'NAV Trend'!I10/1000000000</f>
        <v>3850.3823617505013</v>
      </c>
      <c r="I4" s="164">
        <f>'NAV Trend'!J10/1000000000</f>
        <v>3767.9650755489829</v>
      </c>
      <c r="J4" s="19"/>
      <c r="K4" s="15"/>
      <c r="L4" s="15"/>
      <c r="M4" s="15"/>
    </row>
    <row r="5" spans="1:13">
      <c r="A5" s="19"/>
      <c r="B5" s="19"/>
      <c r="C5" s="19"/>
      <c r="D5" s="19"/>
      <c r="E5" s="19"/>
      <c r="F5" s="19"/>
      <c r="G5" s="19"/>
      <c r="H5" s="19"/>
      <c r="I5" s="19"/>
      <c r="J5" s="19"/>
      <c r="K5" s="15"/>
      <c r="L5" s="15"/>
      <c r="M5" s="15"/>
    </row>
    <row r="6" spans="1:13">
      <c r="A6" s="19"/>
      <c r="B6" s="19"/>
      <c r="C6" s="19"/>
      <c r="D6" s="19"/>
      <c r="E6" s="19"/>
      <c r="F6" s="19"/>
      <c r="G6" s="19"/>
      <c r="H6" s="19"/>
      <c r="I6" s="19"/>
      <c r="J6" s="19"/>
      <c r="K6" s="15"/>
      <c r="L6" s="15"/>
    </row>
    <row r="7" spans="1:13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</row>
    <row r="8" spans="1:13">
      <c r="A8" s="15"/>
      <c r="B8" s="15"/>
      <c r="C8" s="15"/>
      <c r="D8" s="15"/>
      <c r="E8" s="15"/>
      <c r="F8" s="15"/>
      <c r="G8" s="15"/>
      <c r="H8" s="15"/>
      <c r="I8" s="15"/>
      <c r="J8" s="15"/>
      <c r="K8" s="20"/>
    </row>
  </sheetData>
  <sheetProtection algorithmName="SHA-512" hashValue="eHHgMVW4JksdzHFcNlZ/elh/HUp2tDu6FPt16VCWT6ULwtMm0v/9pa8YBuKqCWGluOns0G8aIqsMzaEB9LfXpA==" saltValue="4CdJK8tpzxOy9m4GfWxD5w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L8"/>
  <sheetViews>
    <sheetView workbookViewId="0">
      <selection activeCell="H6" sqref="H6"/>
    </sheetView>
  </sheetViews>
  <sheetFormatPr defaultColWidth="9" defaultRowHeight="14.4"/>
  <cols>
    <col min="1" max="1" width="16.5546875" customWidth="1"/>
    <col min="2" max="2" width="11.109375" customWidth="1"/>
    <col min="3" max="3" width="11.44140625" customWidth="1"/>
    <col min="4" max="4" width="11.5546875" customWidth="1"/>
    <col min="5" max="5" width="11.109375" customWidth="1"/>
    <col min="6" max="7" width="11.33203125" customWidth="1"/>
    <col min="8" max="8" width="11.6640625" customWidth="1"/>
    <col min="9" max="9" width="11.109375" customWidth="1"/>
  </cols>
  <sheetData>
    <row r="1" spans="1:12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5"/>
    </row>
    <row r="2" spans="1:12">
      <c r="A2" s="160" t="s">
        <v>286</v>
      </c>
      <c r="B2" s="161">
        <v>45583</v>
      </c>
      <c r="C2" s="161">
        <v>45590</v>
      </c>
      <c r="D2" s="161">
        <v>45597</v>
      </c>
      <c r="E2" s="161">
        <v>45604</v>
      </c>
      <c r="F2" s="161">
        <v>45611</v>
      </c>
      <c r="G2" s="161">
        <v>45618</v>
      </c>
      <c r="H2" s="161">
        <v>45625</v>
      </c>
      <c r="I2" s="161">
        <v>45632</v>
      </c>
      <c r="J2" s="19"/>
      <c r="K2" s="19"/>
      <c r="L2" s="15"/>
    </row>
    <row r="3" spans="1:12">
      <c r="A3" s="160" t="s">
        <v>288</v>
      </c>
      <c r="B3" s="162">
        <f t="shared" ref="B3:I3" si="0">B4</f>
        <v>12.701048297550301</v>
      </c>
      <c r="C3" s="162">
        <f t="shared" si="0"/>
        <v>12.789155111611999</v>
      </c>
      <c r="D3" s="162">
        <f t="shared" si="0"/>
        <v>13.1600670153069</v>
      </c>
      <c r="E3" s="162">
        <f t="shared" si="0"/>
        <v>12.888080361994271</v>
      </c>
      <c r="F3" s="162">
        <f t="shared" si="0"/>
        <v>12.879805353681869</v>
      </c>
      <c r="G3" s="162">
        <f t="shared" si="0"/>
        <v>12.922326068600094</v>
      </c>
      <c r="H3" s="162">
        <f t="shared" si="0"/>
        <v>12.578926303585625</v>
      </c>
      <c r="I3" s="162">
        <f t="shared" si="0"/>
        <v>12.480727319636602</v>
      </c>
      <c r="J3" s="19"/>
      <c r="K3" s="19"/>
      <c r="L3" s="15"/>
    </row>
    <row r="4" spans="1:12">
      <c r="A4" s="19"/>
      <c r="B4" s="163">
        <f>'NAV Trend'!C16/1000000000</f>
        <v>12.701048297550301</v>
      </c>
      <c r="C4" s="163">
        <f>'NAV Trend'!D16/1000000000</f>
        <v>12.789155111611999</v>
      </c>
      <c r="D4" s="163">
        <f>'NAV Trend'!E16/1000000000</f>
        <v>13.1600670153069</v>
      </c>
      <c r="E4" s="163">
        <f>'NAV Trend'!F16/1000000000</f>
        <v>12.888080361994271</v>
      </c>
      <c r="F4" s="163">
        <f>'NAV Trend'!G16/1000000000</f>
        <v>12.879805353681869</v>
      </c>
      <c r="G4" s="163">
        <f>'NAV Trend'!H16/1000000000</f>
        <v>12.922326068600094</v>
      </c>
      <c r="H4" s="163">
        <f>'NAV Trend'!I16/1000000000</f>
        <v>12.578926303585625</v>
      </c>
      <c r="I4" s="164">
        <f>'NAV Trend'!J16/1000000000</f>
        <v>12.480727319636602</v>
      </c>
      <c r="J4" s="19"/>
      <c r="K4" s="19"/>
      <c r="L4" s="15"/>
    </row>
    <row r="5" spans="1:12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5"/>
    </row>
    <row r="6" spans="1:12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5"/>
    </row>
    <row r="7" spans="1:1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</row>
    <row r="8" spans="1:1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</row>
  </sheetData>
  <sheetProtection algorithmName="SHA-512" hashValue="v5NGvWaTdDafwMyXnl3k/l16UWX9sa/rXiQsgmC16L01ARholn0mybx6wmxwGVYFtsJP5WsXmW5TZY3vWjCJdQ==" saltValue="YrzRQtpP1Wgvt2e5B5cUGA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2"/>
  <sheetViews>
    <sheetView topLeftCell="F1" workbookViewId="0">
      <selection activeCell="K1" sqref="K1"/>
    </sheetView>
  </sheetViews>
  <sheetFormatPr defaultColWidth="9" defaultRowHeight="14.4"/>
  <cols>
    <col min="1" max="1" width="36.33203125" customWidth="1"/>
    <col min="2" max="2" width="23.5546875" customWidth="1"/>
    <col min="3" max="3" width="22.5546875" customWidth="1"/>
    <col min="4" max="4" width="20.88671875" customWidth="1"/>
    <col min="5" max="5" width="22.5546875" customWidth="1"/>
    <col min="6" max="6" width="24.6640625" customWidth="1"/>
    <col min="7" max="7" width="22.44140625" customWidth="1"/>
    <col min="8" max="8" width="24.33203125" customWidth="1"/>
    <col min="9" max="9" width="22.5546875" customWidth="1"/>
    <col min="10" max="10" width="21.6640625" customWidth="1"/>
    <col min="11" max="12" width="20.6640625" customWidth="1"/>
    <col min="13" max="13" width="20.5546875" customWidth="1"/>
  </cols>
  <sheetData>
    <row r="1" spans="1:11" ht="15.6">
      <c r="A1" s="1" t="s">
        <v>281</v>
      </c>
      <c r="B1" s="2">
        <v>45576</v>
      </c>
      <c r="C1" s="2">
        <v>45583</v>
      </c>
      <c r="D1" s="2">
        <v>45590</v>
      </c>
      <c r="E1" s="2">
        <v>45597</v>
      </c>
      <c r="F1" s="2">
        <v>45604</v>
      </c>
      <c r="G1" s="2">
        <v>45611</v>
      </c>
      <c r="H1" s="2">
        <v>45618</v>
      </c>
      <c r="I1" s="2">
        <v>45625</v>
      </c>
      <c r="J1" s="2">
        <v>45632</v>
      </c>
    </row>
    <row r="2" spans="1:11">
      <c r="A2" s="3" t="s">
        <v>17</v>
      </c>
      <c r="B2" s="4">
        <v>28910390807.939201</v>
      </c>
      <c r="C2" s="4">
        <v>28835332748.209999</v>
      </c>
      <c r="D2" s="4">
        <v>29468827560.84</v>
      </c>
      <c r="E2" s="4">
        <v>29662249858.959999</v>
      </c>
      <c r="F2" s="4">
        <v>29877584741.98</v>
      </c>
      <c r="G2" s="4">
        <v>30163797785.389999</v>
      </c>
      <c r="H2" s="4">
        <v>30063948704.580002</v>
      </c>
      <c r="I2" s="4">
        <v>29963223384.749996</v>
      </c>
      <c r="J2" s="4">
        <v>30290917801.960003</v>
      </c>
    </row>
    <row r="3" spans="1:11">
      <c r="A3" s="3" t="s">
        <v>54</v>
      </c>
      <c r="B3" s="4">
        <v>1454546860218.4099</v>
      </c>
      <c r="C3" s="4">
        <v>1470975929116.3201</v>
      </c>
      <c r="D3" s="4">
        <v>1494354372784.55</v>
      </c>
      <c r="E3" s="4">
        <v>1514887327409.3999</v>
      </c>
      <c r="F3" s="4">
        <v>1524333945094.0388</v>
      </c>
      <c r="G3" s="4">
        <v>1544078501312.1094</v>
      </c>
      <c r="H3" s="4">
        <v>1568511463413.2886</v>
      </c>
      <c r="I3" s="4">
        <v>1581147259519.7791</v>
      </c>
      <c r="J3" s="4">
        <v>1605147165407.8784</v>
      </c>
    </row>
    <row r="4" spans="1:11">
      <c r="A4" s="3" t="s">
        <v>282</v>
      </c>
      <c r="B4" s="5">
        <v>215873237311.21799</v>
      </c>
      <c r="C4" s="5">
        <v>217596244711.89499</v>
      </c>
      <c r="D4" s="5">
        <v>217295638150.86499</v>
      </c>
      <c r="E4" s="5">
        <v>216996701591.78</v>
      </c>
      <c r="F4" s="5">
        <v>212549652307.17569</v>
      </c>
      <c r="G4" s="5">
        <v>212512704820.16043</v>
      </c>
      <c r="H4" s="5">
        <v>211308718018.9035</v>
      </c>
      <c r="I4" s="5">
        <v>211817086273.75339</v>
      </c>
      <c r="J4" s="5">
        <v>200489400850.13455</v>
      </c>
    </row>
    <row r="5" spans="1:11">
      <c r="A5" s="3" t="s">
        <v>158</v>
      </c>
      <c r="B5" s="4">
        <v>1701912454705.3701</v>
      </c>
      <c r="C5" s="4">
        <v>1725249769600.5901</v>
      </c>
      <c r="D5" s="4">
        <v>1732271506927.05</v>
      </c>
      <c r="E5" s="4">
        <v>1786622536580.1599</v>
      </c>
      <c r="F5" s="4">
        <v>1806075096556.1135</v>
      </c>
      <c r="G5" s="4">
        <v>1779564267121.3723</v>
      </c>
      <c r="H5" s="4">
        <v>1806794587019.7612</v>
      </c>
      <c r="I5" s="4">
        <v>1817826880103.7505</v>
      </c>
      <c r="J5" s="4">
        <v>1721227403889.6946</v>
      </c>
    </row>
    <row r="6" spans="1:11">
      <c r="A6" s="3" t="s">
        <v>283</v>
      </c>
      <c r="B6" s="6">
        <v>98713044971.160706</v>
      </c>
      <c r="C6" s="6">
        <v>98768307559.7341</v>
      </c>
      <c r="D6" s="6">
        <v>98833512064.041199</v>
      </c>
      <c r="E6" s="6">
        <v>98953116968.937393</v>
      </c>
      <c r="F6" s="6">
        <v>99081658987.424438</v>
      </c>
      <c r="G6" s="6">
        <v>99228057377.56897</v>
      </c>
      <c r="H6" s="6">
        <v>99712365888.853806</v>
      </c>
      <c r="I6" s="6">
        <v>99287613486.429764</v>
      </c>
      <c r="J6" s="6">
        <v>99753756571.315765</v>
      </c>
    </row>
    <row r="7" spans="1:11">
      <c r="A7" s="3" t="s">
        <v>196</v>
      </c>
      <c r="B7" s="7">
        <v>51768750825.837799</v>
      </c>
      <c r="C7" s="7">
        <v>51772807386.093002</v>
      </c>
      <c r="D7" s="7">
        <v>52310062102.176598</v>
      </c>
      <c r="E7" s="7">
        <v>52773311659.495102</v>
      </c>
      <c r="F7" s="7">
        <v>52945664168.085022</v>
      </c>
      <c r="G7" s="7">
        <v>53058098833.391159</v>
      </c>
      <c r="H7" s="7">
        <v>53247703123.154457</v>
      </c>
      <c r="I7" s="7">
        <v>53277880968.774506</v>
      </c>
      <c r="J7" s="7">
        <v>53833340267.497757</v>
      </c>
    </row>
    <row r="8" spans="1:11">
      <c r="A8" s="3" t="s">
        <v>228</v>
      </c>
      <c r="B8" s="6">
        <v>5446732461.79</v>
      </c>
      <c r="C8" s="6">
        <v>5394637628.9300003</v>
      </c>
      <c r="D8" s="6">
        <v>5490735929.6499996</v>
      </c>
      <c r="E8" s="6">
        <v>5514830055.6700001</v>
      </c>
      <c r="F8" s="6">
        <v>5557964924.1800003</v>
      </c>
      <c r="G8" s="6">
        <v>5640379430.5799999</v>
      </c>
      <c r="H8" s="6">
        <v>5652206919.4699993</v>
      </c>
      <c r="I8" s="6">
        <v>5645387282.9300003</v>
      </c>
      <c r="J8" s="6">
        <v>5746085220.3999996</v>
      </c>
    </row>
    <row r="9" spans="1:11">
      <c r="A9" s="3" t="s">
        <v>284</v>
      </c>
      <c r="B9" s="6">
        <v>51477048630.5009</v>
      </c>
      <c r="C9" s="6">
        <v>51262988903.490097</v>
      </c>
      <c r="D9" s="6">
        <v>51068422934.812202</v>
      </c>
      <c r="E9" s="6">
        <v>50663887289.265602</v>
      </c>
      <c r="F9" s="6">
        <v>51182391263.795021</v>
      </c>
      <c r="G9" s="6">
        <v>51275165827.272346</v>
      </c>
      <c r="H9" s="6">
        <v>51456186883.054207</v>
      </c>
      <c r="I9" s="6">
        <v>51417030730.333893</v>
      </c>
      <c r="J9" s="6">
        <v>51477005540.102272</v>
      </c>
    </row>
    <row r="10" spans="1:11" ht="15.6">
      <c r="A10" s="8" t="s">
        <v>289</v>
      </c>
      <c r="B10" s="9">
        <f t="shared" ref="B10:J10" si="0">SUM(B2:B9)</f>
        <v>3608648519932.2271</v>
      </c>
      <c r="C10" s="9">
        <f t="shared" si="0"/>
        <v>3649856017655.2622</v>
      </c>
      <c r="D10" s="9">
        <f t="shared" si="0"/>
        <v>3681093078453.9849</v>
      </c>
      <c r="E10" s="9">
        <f t="shared" si="0"/>
        <v>3756073961413.668</v>
      </c>
      <c r="F10" s="9">
        <f t="shared" si="0"/>
        <v>3781603958042.7925</v>
      </c>
      <c r="G10" s="9">
        <f t="shared" si="0"/>
        <v>3775520972507.8447</v>
      </c>
      <c r="H10" s="9">
        <f t="shared" si="0"/>
        <v>3826747179971.0659</v>
      </c>
      <c r="I10" s="9">
        <f t="shared" si="0"/>
        <v>3850382361750.5015</v>
      </c>
      <c r="J10" s="9">
        <f t="shared" si="0"/>
        <v>3767965075548.9829</v>
      </c>
    </row>
    <row r="11" spans="1:11">
      <c r="A11" s="10"/>
      <c r="B11" s="11"/>
      <c r="C11" s="11"/>
      <c r="D11" s="11"/>
      <c r="E11" s="11"/>
      <c r="F11" s="11"/>
      <c r="G11" s="11"/>
      <c r="H11" s="11"/>
      <c r="I11" s="10"/>
      <c r="J11" s="10"/>
    </row>
    <row r="12" spans="1:11" ht="15.6">
      <c r="A12" s="12" t="s">
        <v>290</v>
      </c>
      <c r="B12" s="150" t="s">
        <v>291</v>
      </c>
      <c r="C12" s="13">
        <f>(B10+C10)/2</f>
        <v>3629252268793.7446</v>
      </c>
      <c r="D12" s="14">
        <f t="shared" ref="D12:J12" si="1">(C10+D10)/2</f>
        <v>3665474548054.6235</v>
      </c>
      <c r="E12" s="14">
        <f t="shared" si="1"/>
        <v>3718583519933.8262</v>
      </c>
      <c r="F12" s="14">
        <f t="shared" si="1"/>
        <v>3768838959728.2305</v>
      </c>
      <c r="G12" s="14">
        <f t="shared" si="1"/>
        <v>3778562465275.3184</v>
      </c>
      <c r="H12" s="14">
        <f t="shared" si="1"/>
        <v>3801134076239.4551</v>
      </c>
      <c r="I12" s="14">
        <f t="shared" si="1"/>
        <v>3838564770860.7837</v>
      </c>
      <c r="J12" s="14">
        <f t="shared" si="1"/>
        <v>3809173718649.7422</v>
      </c>
    </row>
    <row r="13" spans="1:11">
      <c r="C13" s="15"/>
      <c r="D13" s="15"/>
      <c r="E13" s="15"/>
      <c r="F13" s="15"/>
      <c r="G13" s="15"/>
      <c r="H13" s="15"/>
      <c r="I13" s="15"/>
      <c r="J13" s="15"/>
      <c r="K13" s="15"/>
    </row>
    <row r="14" spans="1:1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2">
        <v>45576</v>
      </c>
      <c r="C15" s="2">
        <v>45583</v>
      </c>
      <c r="D15" s="2">
        <v>45590</v>
      </c>
      <c r="E15" s="2">
        <v>45597</v>
      </c>
      <c r="F15" s="2">
        <v>45604</v>
      </c>
      <c r="G15" s="2">
        <v>45611</v>
      </c>
      <c r="H15" s="2">
        <v>45618</v>
      </c>
      <c r="I15" s="2">
        <v>45625</v>
      </c>
      <c r="J15" s="2">
        <v>45632</v>
      </c>
      <c r="K15" s="15"/>
    </row>
    <row r="16" spans="1:11">
      <c r="A16" s="16" t="s">
        <v>292</v>
      </c>
      <c r="B16" s="17">
        <v>12697813827.940001</v>
      </c>
      <c r="C16" s="17">
        <v>12701048297.550301</v>
      </c>
      <c r="D16" s="17">
        <v>12789155111.612</v>
      </c>
      <c r="E16" s="17">
        <v>13160067015.3069</v>
      </c>
      <c r="F16" s="17">
        <v>12888080361.994272</v>
      </c>
      <c r="G16" s="17">
        <v>12879805353.68187</v>
      </c>
      <c r="H16" s="17">
        <v>12922326068.600094</v>
      </c>
      <c r="I16" s="17">
        <v>12578926303.585625</v>
      </c>
      <c r="J16" s="17">
        <v>12480727319.636602</v>
      </c>
      <c r="K16" s="15"/>
    </row>
    <row r="17" spans="1:1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8" spans="1:11">
      <c r="A18" s="15"/>
      <c r="B18" s="15"/>
      <c r="C18" s="18"/>
      <c r="D18" s="18"/>
      <c r="E18" s="18"/>
      <c r="F18" s="18"/>
      <c r="G18" s="18"/>
      <c r="H18" s="18"/>
      <c r="I18" s="18"/>
      <c r="J18" s="18"/>
      <c r="K18" s="15"/>
    </row>
    <row r="19" spans="1:1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5"/>
      <c r="K22" s="19"/>
    </row>
  </sheetData>
  <sheetProtection algorithmName="SHA-512" hashValue="10JOSOqtFXCDufvEsCxUPf5jmSLObDQ0k4alHWY/Od1I+TOiZixyEBiIm1caYgujxUkI7emL2m0zZNpzBmkmBw==" saltValue="MQqxY370sRY83MS2S20Jxw==" spinCount="100000" sheet="1" objects="1" scenarios="1"/>
  <pageMargins left="0.7" right="0.7" top="0.75" bottom="0.75" header="0.3" footer="0.3"/>
  <pageSetup paperSize="9" orientation="portrait" horizontalDpi="300" verticalDpi="300"/>
  <ignoredErrors>
    <ignoredError sqref="B10:J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2023-10-09T09:40:00Z</dcterms:created>
  <dcterms:modified xsi:type="dcterms:W3CDTF">2024-12-12T12:45:59Z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A438AA3AB3D54FD3925988ED903466DD_13</vt:lpwstr>
  </property>
  <property fmtid="{D5CDD505-2E9C-101B-9397-08002B2CF9AE}" pid="3" name="KSOProductBuildVer">
    <vt:lpwstr>1033-12.2.0.13266</vt:lpwstr>
  </property>
</Properties>
</file>