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Tunde Isaac\Weekly NAV\"/>
    </mc:Choice>
  </mc:AlternateContent>
  <bookViews>
    <workbookView xWindow="0" yWindow="0" windowWidth="12516" windowHeight="729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9" i="1" l="1"/>
  <c r="M129" i="1"/>
  <c r="K129" i="1"/>
  <c r="N135" i="1" l="1"/>
  <c r="M135" i="1"/>
  <c r="K135" i="1"/>
  <c r="N110" i="1" l="1"/>
  <c r="M110" i="1"/>
  <c r="K110" i="1"/>
  <c r="N109" i="1" l="1"/>
  <c r="M109" i="1"/>
  <c r="K109" i="1"/>
  <c r="N124" i="1"/>
  <c r="M124" i="1"/>
  <c r="K124" i="1"/>
  <c r="N115" i="1"/>
  <c r="M115" i="1"/>
  <c r="K115" i="1"/>
  <c r="N114" i="1"/>
  <c r="M114" i="1"/>
  <c r="K114" i="1"/>
  <c r="K132" i="1"/>
  <c r="N128" i="1"/>
  <c r="M128" i="1"/>
  <c r="N119" i="1"/>
  <c r="M119" i="1"/>
  <c r="K119" i="1"/>
  <c r="N111" i="1"/>
  <c r="M111" i="1"/>
  <c r="K111" i="1"/>
  <c r="J10" i="4" l="1"/>
  <c r="I10" i="4"/>
  <c r="H10" i="4"/>
  <c r="I12" i="4" s="1"/>
  <c r="G10" i="4"/>
  <c r="H12" i="4" s="1"/>
  <c r="F10" i="4"/>
  <c r="G12" i="4" s="1"/>
  <c r="E10" i="4"/>
  <c r="F12" i="4" s="1"/>
  <c r="D10" i="4"/>
  <c r="E12" i="4" s="1"/>
  <c r="C10" i="4"/>
  <c r="D12" i="4" s="1"/>
  <c r="B10" i="4"/>
  <c r="C12" i="4" s="1"/>
  <c r="I4" i="6"/>
  <c r="I3" i="6" s="1"/>
  <c r="H4" i="6"/>
  <c r="H3" i="6" s="1"/>
  <c r="G4" i="6"/>
  <c r="G3" i="6" s="1"/>
  <c r="F4" i="6"/>
  <c r="E4" i="6"/>
  <c r="D4" i="6"/>
  <c r="C4" i="6"/>
  <c r="B4" i="6"/>
  <c r="B3" i="6" s="1"/>
  <c r="F3" i="6"/>
  <c r="E3" i="6"/>
  <c r="D3" i="6"/>
  <c r="C3" i="6"/>
  <c r="I4" i="5"/>
  <c r="I3" i="5" s="1"/>
  <c r="H4" i="5"/>
  <c r="G4" i="5"/>
  <c r="F4" i="5"/>
  <c r="F3" i="5" s="1"/>
  <c r="E4" i="5"/>
  <c r="E3" i="5" s="1"/>
  <c r="D4" i="5"/>
  <c r="D3" i="5" s="1"/>
  <c r="C4" i="5"/>
  <c r="C3" i="5" s="1"/>
  <c r="B4" i="5"/>
  <c r="B3" i="5" s="1"/>
  <c r="H3" i="5"/>
  <c r="G3" i="5"/>
  <c r="V226" i="1"/>
  <c r="U226" i="1"/>
  <c r="S226" i="1"/>
  <c r="O226" i="1"/>
  <c r="T226" i="1" s="1"/>
  <c r="K226" i="1"/>
  <c r="R226" i="1" s="1"/>
  <c r="H226" i="1"/>
  <c r="D226" i="1"/>
  <c r="V225" i="1"/>
  <c r="U225" i="1"/>
  <c r="T225" i="1"/>
  <c r="S225" i="1"/>
  <c r="R225" i="1"/>
  <c r="E225" i="1"/>
  <c r="V224" i="1"/>
  <c r="U224" i="1"/>
  <c r="T224" i="1"/>
  <c r="S224" i="1"/>
  <c r="R224" i="1"/>
  <c r="E224" i="1"/>
  <c r="V223" i="1"/>
  <c r="U223" i="1"/>
  <c r="T223" i="1"/>
  <c r="S223" i="1"/>
  <c r="R223" i="1"/>
  <c r="E223" i="1"/>
  <c r="V222" i="1"/>
  <c r="U222" i="1"/>
  <c r="T222" i="1"/>
  <c r="S222" i="1"/>
  <c r="R222" i="1"/>
  <c r="E222" i="1"/>
  <c r="V221" i="1"/>
  <c r="U221" i="1"/>
  <c r="T221" i="1"/>
  <c r="S221" i="1"/>
  <c r="R221" i="1"/>
  <c r="E221" i="1"/>
  <c r="V220" i="1"/>
  <c r="U220" i="1"/>
  <c r="T220" i="1"/>
  <c r="S220" i="1"/>
  <c r="R220" i="1"/>
  <c r="E220" i="1"/>
  <c r="V219" i="1"/>
  <c r="U219" i="1"/>
  <c r="T219" i="1"/>
  <c r="S219" i="1"/>
  <c r="R219" i="1"/>
  <c r="E219" i="1"/>
  <c r="V218" i="1"/>
  <c r="U218" i="1"/>
  <c r="T218" i="1"/>
  <c r="S218" i="1"/>
  <c r="R218" i="1"/>
  <c r="E218" i="1"/>
  <c r="V217" i="1"/>
  <c r="U217" i="1"/>
  <c r="T217" i="1"/>
  <c r="S217" i="1"/>
  <c r="R217" i="1"/>
  <c r="E217" i="1"/>
  <c r="V216" i="1"/>
  <c r="U216" i="1"/>
  <c r="T216" i="1"/>
  <c r="S216" i="1"/>
  <c r="R216" i="1"/>
  <c r="E216" i="1"/>
  <c r="V215" i="1"/>
  <c r="U215" i="1"/>
  <c r="T215" i="1"/>
  <c r="S215" i="1"/>
  <c r="R215" i="1"/>
  <c r="E215" i="1"/>
  <c r="V214" i="1"/>
  <c r="U214" i="1"/>
  <c r="T214" i="1"/>
  <c r="S214" i="1"/>
  <c r="R214" i="1"/>
  <c r="E214" i="1"/>
  <c r="R211" i="1"/>
  <c r="K211" i="1"/>
  <c r="H211" i="1"/>
  <c r="D211" i="1"/>
  <c r="V210" i="1"/>
  <c r="U210" i="1"/>
  <c r="T210" i="1"/>
  <c r="S210" i="1"/>
  <c r="R210" i="1"/>
  <c r="L210" i="1"/>
  <c r="E210" i="1"/>
  <c r="V209" i="1"/>
  <c r="U209" i="1"/>
  <c r="T209" i="1"/>
  <c r="S209" i="1"/>
  <c r="R209" i="1"/>
  <c r="L209" i="1"/>
  <c r="E209" i="1"/>
  <c r="V205" i="1"/>
  <c r="U205" i="1"/>
  <c r="S205" i="1"/>
  <c r="O205" i="1"/>
  <c r="T205" i="1" s="1"/>
  <c r="K205" i="1"/>
  <c r="B4" i="3" s="1"/>
  <c r="H205" i="1"/>
  <c r="D205" i="1"/>
  <c r="B20" i="2" s="1"/>
  <c r="B10" i="2" s="1"/>
  <c r="V204" i="1"/>
  <c r="U204" i="1"/>
  <c r="T204" i="1"/>
  <c r="S204" i="1"/>
  <c r="R204" i="1"/>
  <c r="E204" i="1"/>
  <c r="V201" i="1"/>
  <c r="U201" i="1"/>
  <c r="T201" i="1"/>
  <c r="S201" i="1"/>
  <c r="R201" i="1"/>
  <c r="L201" i="1"/>
  <c r="E201" i="1"/>
  <c r="V200" i="1"/>
  <c r="U200" i="1"/>
  <c r="T200" i="1"/>
  <c r="S200" i="1"/>
  <c r="R200" i="1"/>
  <c r="E200" i="1"/>
  <c r="V199" i="1"/>
  <c r="U199" i="1"/>
  <c r="T199" i="1"/>
  <c r="S199" i="1"/>
  <c r="R199" i="1"/>
  <c r="E199" i="1"/>
  <c r="V198" i="1"/>
  <c r="U198" i="1"/>
  <c r="T198" i="1"/>
  <c r="S198" i="1"/>
  <c r="R198" i="1"/>
  <c r="E198" i="1"/>
  <c r="V197" i="1"/>
  <c r="U197" i="1"/>
  <c r="T197" i="1"/>
  <c r="S197" i="1"/>
  <c r="R197" i="1"/>
  <c r="E197" i="1"/>
  <c r="V196" i="1"/>
  <c r="U196" i="1"/>
  <c r="T196" i="1"/>
  <c r="S196" i="1"/>
  <c r="R196" i="1"/>
  <c r="E196" i="1"/>
  <c r="V195" i="1"/>
  <c r="U195" i="1"/>
  <c r="T195" i="1"/>
  <c r="S195" i="1"/>
  <c r="R195" i="1"/>
  <c r="E195" i="1"/>
  <c r="V194" i="1"/>
  <c r="U194" i="1"/>
  <c r="T194" i="1"/>
  <c r="S194" i="1"/>
  <c r="R194" i="1"/>
  <c r="E194" i="1"/>
  <c r="V193" i="1"/>
  <c r="U193" i="1"/>
  <c r="T193" i="1"/>
  <c r="S193" i="1"/>
  <c r="R193" i="1"/>
  <c r="V192" i="1"/>
  <c r="U192" i="1"/>
  <c r="T192" i="1"/>
  <c r="S192" i="1"/>
  <c r="R192" i="1"/>
  <c r="E192" i="1"/>
  <c r="V191" i="1"/>
  <c r="U191" i="1"/>
  <c r="T191" i="1"/>
  <c r="S191" i="1"/>
  <c r="R191" i="1"/>
  <c r="E191" i="1"/>
  <c r="V190" i="1"/>
  <c r="U190" i="1"/>
  <c r="T190" i="1"/>
  <c r="S190" i="1"/>
  <c r="R190" i="1"/>
  <c r="E190" i="1"/>
  <c r="V187" i="1"/>
  <c r="U187" i="1"/>
  <c r="T187" i="1"/>
  <c r="S187" i="1"/>
  <c r="R187" i="1"/>
  <c r="E187" i="1"/>
  <c r="V186" i="1"/>
  <c r="U186" i="1"/>
  <c r="T186" i="1"/>
  <c r="S186" i="1"/>
  <c r="R186" i="1"/>
  <c r="E186" i="1"/>
  <c r="V182" i="1"/>
  <c r="U182" i="1"/>
  <c r="S182" i="1"/>
  <c r="O182" i="1"/>
  <c r="K182" i="1"/>
  <c r="B2" i="3" s="1"/>
  <c r="H182" i="1"/>
  <c r="T182" i="1" s="1"/>
  <c r="D182" i="1"/>
  <c r="V181" i="1"/>
  <c r="U181" i="1"/>
  <c r="T181" i="1"/>
  <c r="S181" i="1"/>
  <c r="R181" i="1"/>
  <c r="L181" i="1"/>
  <c r="V180" i="1"/>
  <c r="U180" i="1"/>
  <c r="T180" i="1"/>
  <c r="S180" i="1"/>
  <c r="R180" i="1"/>
  <c r="L180" i="1"/>
  <c r="E180" i="1"/>
  <c r="V179" i="1"/>
  <c r="U179" i="1"/>
  <c r="T179" i="1"/>
  <c r="S179" i="1"/>
  <c r="R179" i="1"/>
  <c r="V176" i="1"/>
  <c r="U176" i="1"/>
  <c r="S176" i="1"/>
  <c r="O176" i="1"/>
  <c r="K176" i="1"/>
  <c r="B5" i="3" s="1"/>
  <c r="H176" i="1"/>
  <c r="T176" i="1" s="1"/>
  <c r="D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E172" i="1"/>
  <c r="V171" i="1"/>
  <c r="U171" i="1"/>
  <c r="T171" i="1"/>
  <c r="S171" i="1"/>
  <c r="R171" i="1"/>
  <c r="V170" i="1"/>
  <c r="U170" i="1"/>
  <c r="T170" i="1"/>
  <c r="S170" i="1"/>
  <c r="R170" i="1"/>
  <c r="E170" i="1"/>
  <c r="V169" i="1"/>
  <c r="U169" i="1"/>
  <c r="T169" i="1"/>
  <c r="S169" i="1"/>
  <c r="R169" i="1"/>
  <c r="V168" i="1"/>
  <c r="U168" i="1"/>
  <c r="T168" i="1"/>
  <c r="S168" i="1"/>
  <c r="R168" i="1"/>
  <c r="E168" i="1"/>
  <c r="V167" i="1"/>
  <c r="U167" i="1"/>
  <c r="T167" i="1"/>
  <c r="S167" i="1"/>
  <c r="R167" i="1"/>
  <c r="V166" i="1"/>
  <c r="U166" i="1"/>
  <c r="T166" i="1"/>
  <c r="S166" i="1"/>
  <c r="R166" i="1"/>
  <c r="E166" i="1"/>
  <c r="V165" i="1"/>
  <c r="U165" i="1"/>
  <c r="T165" i="1"/>
  <c r="S165" i="1"/>
  <c r="R165" i="1"/>
  <c r="V164" i="1"/>
  <c r="U164" i="1"/>
  <c r="T164" i="1"/>
  <c r="S164" i="1"/>
  <c r="R164" i="1"/>
  <c r="E164" i="1"/>
  <c r="V163" i="1"/>
  <c r="U163" i="1"/>
  <c r="T163" i="1"/>
  <c r="S163" i="1"/>
  <c r="R163" i="1"/>
  <c r="V162" i="1"/>
  <c r="U162" i="1"/>
  <c r="T162" i="1"/>
  <c r="S162" i="1"/>
  <c r="R162" i="1"/>
  <c r="E162" i="1"/>
  <c r="V161" i="1"/>
  <c r="U161" i="1"/>
  <c r="T161" i="1"/>
  <c r="S161" i="1"/>
  <c r="R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E158" i="1"/>
  <c r="V157" i="1"/>
  <c r="U157" i="1"/>
  <c r="T157" i="1"/>
  <c r="S157" i="1"/>
  <c r="R157" i="1"/>
  <c r="V156" i="1"/>
  <c r="U156" i="1"/>
  <c r="T156" i="1"/>
  <c r="S156" i="1"/>
  <c r="R156" i="1"/>
  <c r="E156" i="1"/>
  <c r="V155" i="1"/>
  <c r="U155" i="1"/>
  <c r="T155" i="1"/>
  <c r="S155" i="1"/>
  <c r="R155" i="1"/>
  <c r="V154" i="1"/>
  <c r="U154" i="1"/>
  <c r="T154" i="1"/>
  <c r="S154" i="1"/>
  <c r="R154" i="1"/>
  <c r="E154" i="1"/>
  <c r="V153" i="1"/>
  <c r="U153" i="1"/>
  <c r="T153" i="1"/>
  <c r="S153" i="1"/>
  <c r="R153" i="1"/>
  <c r="V152" i="1"/>
  <c r="U152" i="1"/>
  <c r="T152" i="1"/>
  <c r="S152" i="1"/>
  <c r="R152" i="1"/>
  <c r="E152" i="1"/>
  <c r="V151" i="1"/>
  <c r="U151" i="1"/>
  <c r="T151" i="1"/>
  <c r="S151" i="1"/>
  <c r="R151" i="1"/>
  <c r="V150" i="1"/>
  <c r="U150" i="1"/>
  <c r="T150" i="1"/>
  <c r="S150" i="1"/>
  <c r="R150" i="1"/>
  <c r="E150" i="1"/>
  <c r="V149" i="1"/>
  <c r="U149" i="1"/>
  <c r="T149" i="1"/>
  <c r="S149" i="1"/>
  <c r="R149" i="1"/>
  <c r="V148" i="1"/>
  <c r="U148" i="1"/>
  <c r="T148" i="1"/>
  <c r="S148" i="1"/>
  <c r="R148" i="1"/>
  <c r="E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T144" i="1" s="1"/>
  <c r="D144" i="1"/>
  <c r="V143" i="1"/>
  <c r="U143" i="1"/>
  <c r="T143" i="1"/>
  <c r="S143" i="1"/>
  <c r="R143" i="1"/>
  <c r="L143" i="1"/>
  <c r="V142" i="1"/>
  <c r="U142" i="1"/>
  <c r="T142" i="1"/>
  <c r="S142" i="1"/>
  <c r="R142" i="1"/>
  <c r="L142" i="1"/>
  <c r="V141" i="1"/>
  <c r="U141" i="1"/>
  <c r="T141" i="1"/>
  <c r="S141" i="1"/>
  <c r="R141" i="1"/>
  <c r="L141" i="1"/>
  <c r="V140" i="1"/>
  <c r="U140" i="1"/>
  <c r="T140" i="1"/>
  <c r="S140" i="1"/>
  <c r="R140" i="1"/>
  <c r="L140" i="1"/>
  <c r="E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S135" i="1"/>
  <c r="R135" i="1"/>
  <c r="G135" i="1"/>
  <c r="F135" i="1"/>
  <c r="D135" i="1"/>
  <c r="V134" i="1"/>
  <c r="U134" i="1"/>
  <c r="T134" i="1"/>
  <c r="S134" i="1"/>
  <c r="R134" i="1"/>
  <c r="V133" i="1"/>
  <c r="U133" i="1"/>
  <c r="T133" i="1"/>
  <c r="N133" i="1"/>
  <c r="S133" i="1" s="1"/>
  <c r="M133" i="1"/>
  <c r="K133" i="1"/>
  <c r="G133" i="1"/>
  <c r="F133" i="1"/>
  <c r="D133" i="1"/>
  <c r="V132" i="1"/>
  <c r="U132" i="1"/>
  <c r="T132" i="1"/>
  <c r="S132" i="1"/>
  <c r="R132" i="1"/>
  <c r="V131" i="1"/>
  <c r="U131" i="1"/>
  <c r="T131" i="1"/>
  <c r="R131" i="1"/>
  <c r="N131" i="1"/>
  <c r="S131" i="1" s="1"/>
  <c r="M131" i="1"/>
  <c r="K131" i="1"/>
  <c r="G131" i="1"/>
  <c r="F131" i="1"/>
  <c r="V130" i="1"/>
  <c r="U130" i="1"/>
  <c r="T130" i="1"/>
  <c r="R130" i="1"/>
  <c r="N130" i="1"/>
  <c r="M130" i="1"/>
  <c r="G130" i="1"/>
  <c r="F130" i="1"/>
  <c r="V129" i="1"/>
  <c r="U129" i="1"/>
  <c r="T129" i="1"/>
  <c r="S129" i="1"/>
  <c r="R129" i="1"/>
  <c r="G129" i="1"/>
  <c r="F129" i="1"/>
  <c r="D129" i="1"/>
  <c r="V128" i="1"/>
  <c r="U128" i="1"/>
  <c r="T128" i="1"/>
  <c r="S128" i="1"/>
  <c r="G128" i="1"/>
  <c r="F128" i="1"/>
  <c r="D128" i="1"/>
  <c r="V127" i="1"/>
  <c r="U127" i="1"/>
  <c r="T127" i="1"/>
  <c r="R127" i="1"/>
  <c r="N127" i="1"/>
  <c r="S127" i="1" s="1"/>
  <c r="M127" i="1"/>
  <c r="G127" i="1"/>
  <c r="F127" i="1"/>
  <c r="V126" i="1"/>
  <c r="U126" i="1"/>
  <c r="T126" i="1"/>
  <c r="S126" i="1"/>
  <c r="R126" i="1"/>
  <c r="V125" i="1"/>
  <c r="U125" i="1"/>
  <c r="T125" i="1"/>
  <c r="S125" i="1"/>
  <c r="N125" i="1"/>
  <c r="M125" i="1"/>
  <c r="K125" i="1"/>
  <c r="R125" i="1" s="1"/>
  <c r="G125" i="1"/>
  <c r="F125" i="1"/>
  <c r="D125" i="1"/>
  <c r="V124" i="1"/>
  <c r="U124" i="1"/>
  <c r="T124" i="1"/>
  <c r="S124" i="1"/>
  <c r="G124" i="1"/>
  <c r="F124" i="1"/>
  <c r="D124" i="1"/>
  <c r="V123" i="1"/>
  <c r="U123" i="1"/>
  <c r="T123" i="1"/>
  <c r="S123" i="1"/>
  <c r="R123" i="1"/>
  <c r="V120" i="1"/>
  <c r="U120" i="1"/>
  <c r="T120" i="1"/>
  <c r="N120" i="1"/>
  <c r="M120" i="1"/>
  <c r="K120" i="1"/>
  <c r="G120" i="1"/>
  <c r="F120" i="1"/>
  <c r="D120" i="1"/>
  <c r="V119" i="1"/>
  <c r="U119" i="1"/>
  <c r="T119" i="1"/>
  <c r="S119" i="1"/>
  <c r="R119" i="1"/>
  <c r="G119" i="1"/>
  <c r="F119" i="1"/>
  <c r="D119" i="1"/>
  <c r="V118" i="1"/>
  <c r="U118" i="1"/>
  <c r="T118" i="1"/>
  <c r="N118" i="1"/>
  <c r="S118" i="1" s="1"/>
  <c r="M118" i="1"/>
  <c r="K118" i="1"/>
  <c r="R118" i="1" s="1"/>
  <c r="G118" i="1"/>
  <c r="F118" i="1"/>
  <c r="D118" i="1"/>
  <c r="V117" i="1"/>
  <c r="U117" i="1"/>
  <c r="T117" i="1"/>
  <c r="N117" i="1"/>
  <c r="S117" i="1" s="1"/>
  <c r="M117" i="1"/>
  <c r="K117" i="1"/>
  <c r="R117" i="1" s="1"/>
  <c r="G117" i="1"/>
  <c r="F117" i="1"/>
  <c r="D117" i="1"/>
  <c r="V116" i="1"/>
  <c r="U116" i="1"/>
  <c r="T116" i="1"/>
  <c r="N116" i="1"/>
  <c r="S116" i="1" s="1"/>
  <c r="M116" i="1"/>
  <c r="K116" i="1"/>
  <c r="R116" i="1" s="1"/>
  <c r="G116" i="1"/>
  <c r="F116" i="1"/>
  <c r="D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N112" i="1"/>
  <c r="S112" i="1" s="1"/>
  <c r="M112" i="1"/>
  <c r="K112" i="1"/>
  <c r="R112" i="1" s="1"/>
  <c r="G112" i="1"/>
  <c r="F112" i="1"/>
  <c r="D112" i="1"/>
  <c r="V111" i="1"/>
  <c r="U111" i="1"/>
  <c r="T111" i="1"/>
  <c r="S111" i="1"/>
  <c r="R111" i="1"/>
  <c r="G111" i="1"/>
  <c r="F111" i="1"/>
  <c r="D111" i="1"/>
  <c r="V110" i="1"/>
  <c r="U110" i="1"/>
  <c r="T110" i="1"/>
  <c r="S110" i="1"/>
  <c r="R110" i="1"/>
  <c r="G110" i="1"/>
  <c r="F110" i="1"/>
  <c r="D110" i="1"/>
  <c r="V109" i="1"/>
  <c r="U109" i="1"/>
  <c r="T109" i="1"/>
  <c r="S109" i="1"/>
  <c r="R109" i="1"/>
  <c r="G109" i="1"/>
  <c r="F109" i="1"/>
  <c r="D109" i="1"/>
  <c r="V108" i="1"/>
  <c r="U108" i="1"/>
  <c r="T108" i="1"/>
  <c r="N108" i="1"/>
  <c r="S108" i="1" s="1"/>
  <c r="M108" i="1"/>
  <c r="K108" i="1"/>
  <c r="R108" i="1" s="1"/>
  <c r="G108" i="1"/>
  <c r="F108" i="1"/>
  <c r="D108" i="1"/>
  <c r="V107" i="1"/>
  <c r="U107" i="1"/>
  <c r="T107" i="1"/>
  <c r="N107" i="1"/>
  <c r="S107" i="1" s="1"/>
  <c r="M107" i="1"/>
  <c r="K107" i="1"/>
  <c r="R107" i="1" s="1"/>
  <c r="G107" i="1"/>
  <c r="F107" i="1"/>
  <c r="D107" i="1"/>
  <c r="V106" i="1"/>
  <c r="U106" i="1"/>
  <c r="T106" i="1"/>
  <c r="N106" i="1"/>
  <c r="S106" i="1" s="1"/>
  <c r="M106" i="1"/>
  <c r="K106" i="1"/>
  <c r="K136" i="1" s="1"/>
  <c r="L135" i="1" s="1"/>
  <c r="G106" i="1"/>
  <c r="F106" i="1"/>
  <c r="D106" i="1"/>
  <c r="D136" i="1" s="1"/>
  <c r="V102" i="1"/>
  <c r="U102" i="1"/>
  <c r="S102" i="1"/>
  <c r="O102" i="1"/>
  <c r="T102" i="1" s="1"/>
  <c r="K102" i="1"/>
  <c r="R102" i="1" s="1"/>
  <c r="H102" i="1"/>
  <c r="D102" i="1"/>
  <c r="B15" i="2" s="1"/>
  <c r="B5" i="2" s="1"/>
  <c r="V101" i="1"/>
  <c r="U101" i="1"/>
  <c r="T101" i="1"/>
  <c r="S101" i="1"/>
  <c r="R101" i="1"/>
  <c r="E101" i="1"/>
  <c r="V100" i="1"/>
  <c r="U100" i="1"/>
  <c r="T100" i="1"/>
  <c r="S100" i="1"/>
  <c r="R100" i="1"/>
  <c r="E100" i="1"/>
  <c r="V99" i="1"/>
  <c r="U99" i="1"/>
  <c r="T99" i="1"/>
  <c r="S99" i="1"/>
  <c r="R99" i="1"/>
  <c r="E99" i="1"/>
  <c r="V98" i="1"/>
  <c r="U98" i="1"/>
  <c r="T98" i="1"/>
  <c r="S98" i="1"/>
  <c r="R98" i="1"/>
  <c r="E98" i="1"/>
  <c r="V97" i="1"/>
  <c r="U97" i="1"/>
  <c r="T97" i="1"/>
  <c r="S97" i="1"/>
  <c r="R97" i="1"/>
  <c r="E97" i="1"/>
  <c r="V96" i="1"/>
  <c r="U96" i="1"/>
  <c r="T96" i="1"/>
  <c r="S96" i="1"/>
  <c r="R96" i="1"/>
  <c r="E96" i="1"/>
  <c r="V95" i="1"/>
  <c r="U95" i="1"/>
  <c r="T95" i="1"/>
  <c r="S95" i="1"/>
  <c r="R95" i="1"/>
  <c r="E95" i="1"/>
  <c r="V94" i="1"/>
  <c r="U94" i="1"/>
  <c r="T94" i="1"/>
  <c r="S94" i="1"/>
  <c r="R94" i="1"/>
  <c r="E94" i="1"/>
  <c r="V93" i="1"/>
  <c r="U93" i="1"/>
  <c r="T93" i="1"/>
  <c r="S93" i="1"/>
  <c r="R93" i="1"/>
  <c r="E93" i="1"/>
  <c r="V92" i="1"/>
  <c r="U92" i="1"/>
  <c r="T92" i="1"/>
  <c r="S92" i="1"/>
  <c r="R92" i="1"/>
  <c r="E92" i="1"/>
  <c r="V91" i="1"/>
  <c r="U91" i="1"/>
  <c r="T91" i="1"/>
  <c r="S91" i="1"/>
  <c r="R91" i="1"/>
  <c r="E91" i="1"/>
  <c r="V90" i="1"/>
  <c r="U90" i="1"/>
  <c r="T90" i="1"/>
  <c r="S90" i="1"/>
  <c r="R90" i="1"/>
  <c r="E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E86" i="1"/>
  <c r="V85" i="1"/>
  <c r="U85" i="1"/>
  <c r="T85" i="1"/>
  <c r="S85" i="1"/>
  <c r="R85" i="1"/>
  <c r="E85" i="1"/>
  <c r="V84" i="1"/>
  <c r="U84" i="1"/>
  <c r="T84" i="1"/>
  <c r="S84" i="1"/>
  <c r="R84" i="1"/>
  <c r="E84" i="1"/>
  <c r="V83" i="1"/>
  <c r="U83" i="1"/>
  <c r="T83" i="1"/>
  <c r="S83" i="1"/>
  <c r="R83" i="1"/>
  <c r="E83" i="1"/>
  <c r="V82" i="1"/>
  <c r="U82" i="1"/>
  <c r="T82" i="1"/>
  <c r="S82" i="1"/>
  <c r="R82" i="1"/>
  <c r="E82" i="1"/>
  <c r="V81" i="1"/>
  <c r="U81" i="1"/>
  <c r="T81" i="1"/>
  <c r="S81" i="1"/>
  <c r="R81" i="1"/>
  <c r="E81" i="1"/>
  <c r="V80" i="1"/>
  <c r="U80" i="1"/>
  <c r="T80" i="1"/>
  <c r="S80" i="1"/>
  <c r="R80" i="1"/>
  <c r="E80" i="1"/>
  <c r="V79" i="1"/>
  <c r="U79" i="1"/>
  <c r="T79" i="1"/>
  <c r="S79" i="1"/>
  <c r="R79" i="1"/>
  <c r="E79" i="1"/>
  <c r="V78" i="1"/>
  <c r="U78" i="1"/>
  <c r="T78" i="1"/>
  <c r="S78" i="1"/>
  <c r="R78" i="1"/>
  <c r="E78" i="1"/>
  <c r="V77" i="1"/>
  <c r="U77" i="1"/>
  <c r="T77" i="1"/>
  <c r="S77" i="1"/>
  <c r="R77" i="1"/>
  <c r="E77" i="1"/>
  <c r="V76" i="1"/>
  <c r="U76" i="1"/>
  <c r="T76" i="1"/>
  <c r="S76" i="1"/>
  <c r="R76" i="1"/>
  <c r="E76" i="1"/>
  <c r="V75" i="1"/>
  <c r="U75" i="1"/>
  <c r="T75" i="1"/>
  <c r="S75" i="1"/>
  <c r="R75" i="1"/>
  <c r="E75" i="1"/>
  <c r="V74" i="1"/>
  <c r="U74" i="1"/>
  <c r="T74" i="1"/>
  <c r="S74" i="1"/>
  <c r="R74" i="1"/>
  <c r="E74" i="1"/>
  <c r="V73" i="1"/>
  <c r="U73" i="1"/>
  <c r="T73" i="1"/>
  <c r="S73" i="1"/>
  <c r="R73" i="1"/>
  <c r="E73" i="1"/>
  <c r="V72" i="1"/>
  <c r="U72" i="1"/>
  <c r="T72" i="1"/>
  <c r="S72" i="1"/>
  <c r="R72" i="1"/>
  <c r="E72" i="1"/>
  <c r="V71" i="1"/>
  <c r="U71" i="1"/>
  <c r="T71" i="1"/>
  <c r="S71" i="1"/>
  <c r="R71" i="1"/>
  <c r="E71" i="1"/>
  <c r="U70" i="1"/>
  <c r="T70" i="1"/>
  <c r="S70" i="1"/>
  <c r="R70" i="1"/>
  <c r="V69" i="1"/>
  <c r="U69" i="1"/>
  <c r="T69" i="1"/>
  <c r="S69" i="1"/>
  <c r="R69" i="1"/>
  <c r="E69" i="1"/>
  <c r="V68" i="1"/>
  <c r="U68" i="1"/>
  <c r="T68" i="1"/>
  <c r="S68" i="1"/>
  <c r="R68" i="1"/>
  <c r="E68" i="1"/>
  <c r="V67" i="1"/>
  <c r="U67" i="1"/>
  <c r="T67" i="1"/>
  <c r="S67" i="1"/>
  <c r="R67" i="1"/>
  <c r="E67" i="1"/>
  <c r="V66" i="1"/>
  <c r="U66" i="1"/>
  <c r="T66" i="1"/>
  <c r="S66" i="1"/>
  <c r="R66" i="1"/>
  <c r="E66" i="1"/>
  <c r="V63" i="1"/>
  <c r="U63" i="1"/>
  <c r="S63" i="1"/>
  <c r="O63" i="1"/>
  <c r="T63" i="1" s="1"/>
  <c r="K63" i="1"/>
  <c r="E88" i="1" s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E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20" i="1" s="1"/>
  <c r="H24" i="1"/>
  <c r="H206" i="1" s="1"/>
  <c r="H227" i="1" s="1"/>
  <c r="D24" i="1"/>
  <c r="V23" i="1"/>
  <c r="U23" i="1"/>
  <c r="T23" i="1"/>
  <c r="S23" i="1"/>
  <c r="R23" i="1"/>
  <c r="E23" i="1"/>
  <c r="V22" i="1"/>
  <c r="U22" i="1"/>
  <c r="T22" i="1"/>
  <c r="S22" i="1"/>
  <c r="R22" i="1"/>
  <c r="E22" i="1"/>
  <c r="V21" i="1"/>
  <c r="U21" i="1"/>
  <c r="T21" i="1"/>
  <c r="S21" i="1"/>
  <c r="R21" i="1"/>
  <c r="E21" i="1"/>
  <c r="V20" i="1"/>
  <c r="U20" i="1"/>
  <c r="T20" i="1"/>
  <c r="S20" i="1"/>
  <c r="R20" i="1"/>
  <c r="E20" i="1"/>
  <c r="V19" i="1"/>
  <c r="U19" i="1"/>
  <c r="T19" i="1"/>
  <c r="S19" i="1"/>
  <c r="R19" i="1"/>
  <c r="E19" i="1"/>
  <c r="V18" i="1"/>
  <c r="U18" i="1"/>
  <c r="T18" i="1"/>
  <c r="S18" i="1"/>
  <c r="R18" i="1"/>
  <c r="E18" i="1"/>
  <c r="V17" i="1"/>
  <c r="U17" i="1"/>
  <c r="T17" i="1"/>
  <c r="S17" i="1"/>
  <c r="R17" i="1"/>
  <c r="E17" i="1"/>
  <c r="V16" i="1"/>
  <c r="U16" i="1"/>
  <c r="T16" i="1"/>
  <c r="S16" i="1"/>
  <c r="R16" i="1"/>
  <c r="E16" i="1"/>
  <c r="V15" i="1"/>
  <c r="U15" i="1"/>
  <c r="T15" i="1"/>
  <c r="S15" i="1"/>
  <c r="R15" i="1"/>
  <c r="E15" i="1"/>
  <c r="V14" i="1"/>
  <c r="U14" i="1"/>
  <c r="T14" i="1"/>
  <c r="S14" i="1"/>
  <c r="R14" i="1"/>
  <c r="E14" i="1"/>
  <c r="V13" i="1"/>
  <c r="U13" i="1"/>
  <c r="T13" i="1"/>
  <c r="S13" i="1"/>
  <c r="R13" i="1"/>
  <c r="E13" i="1"/>
  <c r="V12" i="1"/>
  <c r="U12" i="1"/>
  <c r="T12" i="1"/>
  <c r="S12" i="1"/>
  <c r="R12" i="1"/>
  <c r="E12" i="1"/>
  <c r="V11" i="1"/>
  <c r="U11" i="1"/>
  <c r="T11" i="1"/>
  <c r="S11" i="1"/>
  <c r="R11" i="1"/>
  <c r="E11" i="1"/>
  <c r="V10" i="1"/>
  <c r="U10" i="1"/>
  <c r="T10" i="1"/>
  <c r="S10" i="1"/>
  <c r="R10" i="1"/>
  <c r="E10" i="1"/>
  <c r="V9" i="1"/>
  <c r="U9" i="1"/>
  <c r="T9" i="1"/>
  <c r="S9" i="1"/>
  <c r="R9" i="1"/>
  <c r="E9" i="1"/>
  <c r="V8" i="1"/>
  <c r="U8" i="1"/>
  <c r="T8" i="1"/>
  <c r="S8" i="1"/>
  <c r="R8" i="1"/>
  <c r="E8" i="1"/>
  <c r="V7" i="1"/>
  <c r="U7" i="1"/>
  <c r="T7" i="1"/>
  <c r="S7" i="1"/>
  <c r="R7" i="1"/>
  <c r="E7" i="1"/>
  <c r="V6" i="1"/>
  <c r="U6" i="1"/>
  <c r="T6" i="1"/>
  <c r="S6" i="1"/>
  <c r="R6" i="1"/>
  <c r="E6" i="1"/>
  <c r="J12" i="4" l="1"/>
  <c r="L221" i="1"/>
  <c r="L225" i="1"/>
  <c r="L217" i="1"/>
  <c r="L76" i="1"/>
  <c r="L100" i="1"/>
  <c r="L149" i="1"/>
  <c r="L153" i="1"/>
  <c r="L157" i="1"/>
  <c r="L161" i="1"/>
  <c r="L165" i="1"/>
  <c r="L169" i="1"/>
  <c r="L173" i="1"/>
  <c r="L175" i="1"/>
  <c r="L148" i="1"/>
  <c r="L152" i="1"/>
  <c r="L156" i="1"/>
  <c r="L160" i="1"/>
  <c r="L164" i="1"/>
  <c r="L168" i="1"/>
  <c r="L172" i="1"/>
  <c r="L174" i="1"/>
  <c r="L45" i="1"/>
  <c r="L22" i="1"/>
  <c r="L7" i="1"/>
  <c r="L11" i="1"/>
  <c r="L57" i="1"/>
  <c r="L55" i="1"/>
  <c r="E56" i="1"/>
  <c r="E54" i="1"/>
  <c r="L61" i="1"/>
  <c r="L59" i="1"/>
  <c r="E62" i="1"/>
  <c r="E58" i="1"/>
  <c r="E46" i="1"/>
  <c r="E48" i="1"/>
  <c r="E50" i="1"/>
  <c r="E52" i="1"/>
  <c r="L47" i="1"/>
  <c r="L49" i="1"/>
  <c r="L51" i="1"/>
  <c r="L53" i="1"/>
  <c r="E60" i="1"/>
  <c r="L139" i="1"/>
  <c r="T136" i="1"/>
  <c r="L9" i="1"/>
  <c r="L15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L41" i="1"/>
  <c r="E42" i="1"/>
  <c r="L43" i="1"/>
  <c r="E44" i="1"/>
  <c r="L84" i="1"/>
  <c r="L92" i="1"/>
  <c r="L179" i="1"/>
  <c r="L13" i="1"/>
  <c r="L17" i="1"/>
  <c r="L120" i="1"/>
  <c r="L191" i="1"/>
  <c r="L194" i="1"/>
  <c r="L19" i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215" i="1"/>
  <c r="L219" i="1"/>
  <c r="L223" i="1"/>
  <c r="L214" i="1"/>
  <c r="L216" i="1"/>
  <c r="L218" i="1"/>
  <c r="L220" i="1"/>
  <c r="L222" i="1"/>
  <c r="L224" i="1"/>
  <c r="L187" i="1"/>
  <c r="L197" i="1"/>
  <c r="L186" i="1"/>
  <c r="L190" i="1"/>
  <c r="L192" i="1"/>
  <c r="L193" i="1"/>
  <c r="L195" i="1"/>
  <c r="L199" i="1"/>
  <c r="L69" i="1"/>
  <c r="E70" i="1"/>
  <c r="L72" i="1"/>
  <c r="L80" i="1"/>
  <c r="L96" i="1"/>
  <c r="L67" i="1"/>
  <c r="L74" i="1"/>
  <c r="L78" i="1"/>
  <c r="L82" i="1"/>
  <c r="L86" i="1"/>
  <c r="L90" i="1"/>
  <c r="L94" i="1"/>
  <c r="L98" i="1"/>
  <c r="L147" i="1"/>
  <c r="L150" i="1"/>
  <c r="L151" i="1"/>
  <c r="L154" i="1"/>
  <c r="L155" i="1"/>
  <c r="L158" i="1"/>
  <c r="L159" i="1"/>
  <c r="L162" i="1"/>
  <c r="L163" i="1"/>
  <c r="L166" i="1"/>
  <c r="L167" i="1"/>
  <c r="L170" i="1"/>
  <c r="L171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O206" i="1"/>
  <c r="O227" i="1" s="1"/>
  <c r="L6" i="1"/>
  <c r="L8" i="1"/>
  <c r="L10" i="1"/>
  <c r="L12" i="1"/>
  <c r="L14" i="1"/>
  <c r="L16" i="1"/>
  <c r="L18" i="1"/>
  <c r="R182" i="1"/>
  <c r="E117" i="1"/>
  <c r="B16" i="2"/>
  <c r="B6" i="2" s="1"/>
  <c r="E132" i="1"/>
  <c r="E131" i="1"/>
  <c r="E127" i="1"/>
  <c r="E123" i="1"/>
  <c r="E129" i="1"/>
  <c r="E125" i="1"/>
  <c r="E118" i="1"/>
  <c r="E116" i="1"/>
  <c r="E115" i="1"/>
  <c r="E113" i="1"/>
  <c r="E112" i="1"/>
  <c r="E109" i="1"/>
  <c r="E107" i="1"/>
  <c r="E135" i="1"/>
  <c r="E130" i="1"/>
  <c r="E126" i="1"/>
  <c r="E119" i="1"/>
  <c r="E114" i="1"/>
  <c r="E108" i="1"/>
  <c r="E110" i="1"/>
  <c r="E120" i="1"/>
  <c r="K206" i="1"/>
  <c r="L102" i="1" s="1"/>
  <c r="B3" i="3"/>
  <c r="C13" i="2"/>
  <c r="C3" i="2" s="1"/>
  <c r="L62" i="1"/>
  <c r="R63" i="1"/>
  <c r="L101" i="1"/>
  <c r="E106" i="1"/>
  <c r="L106" i="1"/>
  <c r="L108" i="1"/>
  <c r="L110" i="1"/>
  <c r="L111" i="1"/>
  <c r="L113" i="1"/>
  <c r="L115" i="1"/>
  <c r="L117" i="1"/>
  <c r="L119" i="1"/>
  <c r="R120" i="1"/>
  <c r="L123" i="1"/>
  <c r="E124" i="1"/>
  <c r="R124" i="1"/>
  <c r="L127" i="1"/>
  <c r="E128" i="1"/>
  <c r="R128" i="1"/>
  <c r="S130" i="1"/>
  <c r="L132" i="1"/>
  <c r="E133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L21" i="1"/>
  <c r="L23" i="1"/>
  <c r="B13" i="2"/>
  <c r="B3" i="2" s="1"/>
  <c r="D206" i="1"/>
  <c r="R24" i="1"/>
  <c r="T24" i="1"/>
  <c r="B8" i="3"/>
  <c r="C14" i="2"/>
  <c r="C4" i="2" s="1"/>
  <c r="L88" i="1"/>
  <c r="B7" i="3"/>
  <c r="C15" i="2"/>
  <c r="C5" i="2" s="1"/>
  <c r="B9" i="3"/>
  <c r="C16" i="2"/>
  <c r="C6" i="2" s="1"/>
  <c r="L134" i="1"/>
  <c r="L130" i="1"/>
  <c r="L126" i="1"/>
  <c r="R106" i="1"/>
  <c r="L107" i="1"/>
  <c r="L109" i="1"/>
  <c r="L112" i="1"/>
  <c r="L114" i="1"/>
  <c r="L116" i="1"/>
  <c r="L118" i="1"/>
  <c r="S120" i="1"/>
  <c r="L124" i="1"/>
  <c r="L125" i="1"/>
  <c r="L128" i="1"/>
  <c r="L129" i="1"/>
  <c r="L131" i="1"/>
  <c r="L133" i="1"/>
  <c r="R136" i="1"/>
  <c r="E142" i="1"/>
  <c r="R144" i="1"/>
  <c r="E174" i="1"/>
  <c r="R176" i="1"/>
  <c r="B19" i="2"/>
  <c r="B9" i="2" s="1"/>
  <c r="E182" i="1"/>
  <c r="E181" i="1"/>
  <c r="E179" i="1"/>
  <c r="L196" i="1"/>
  <c r="L198" i="1"/>
  <c r="L200" i="1"/>
  <c r="L204" i="1"/>
  <c r="R205" i="1"/>
  <c r="C17" i="2"/>
  <c r="C7" i="2" s="1"/>
  <c r="C18" i="2"/>
  <c r="C8" i="2" s="1"/>
  <c r="C19" i="2"/>
  <c r="C9" i="2" s="1"/>
  <c r="C20" i="2"/>
  <c r="C10" i="2" s="1"/>
  <c r="L63" i="1" l="1"/>
  <c r="L24" i="1"/>
  <c r="L205" i="1"/>
  <c r="L136" i="1"/>
  <c r="D227" i="1"/>
  <c r="E205" i="1"/>
  <c r="E102" i="1"/>
  <c r="E63" i="1"/>
  <c r="E24" i="1"/>
  <c r="E144" i="1"/>
  <c r="E176" i="1"/>
  <c r="K227" i="1"/>
  <c r="R206" i="1"/>
  <c r="L176" i="1"/>
  <c r="L144" i="1"/>
  <c r="L182" i="1"/>
  <c r="E136" i="1"/>
</calcChain>
</file>

<file path=xl/sharedStrings.xml><?xml version="1.0" encoding="utf-8"?>
<sst xmlns="http://schemas.openxmlformats.org/spreadsheetml/2006/main" count="471" uniqueCount="298">
  <si>
    <t>WEEKLY VALUATION REPORT OF COLLECTIVE INVESTMENT SCHEMES AS AT WEEK ENDED FRIDAY, OCTOBER 25, 2024</t>
  </si>
  <si>
    <t>NAV, Unit Price and Yield as at Week Ended October 18, 2024</t>
  </si>
  <si>
    <t>NAV, Unit Price and Yield as at Week Ended October 25, 2024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</si>
  <si>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</si>
  <si>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</si>
  <si>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</si>
  <si>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</si>
  <si>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</si>
  <si>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</si>
  <si>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</si>
  <si>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</si>
  <si>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</si>
  <si>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</si>
  <si>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</si>
  <si>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</si>
  <si>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</si>
  <si>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</si>
  <si>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</si>
  <si>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</si>
  <si>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</si>
  <si>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</si>
  <si>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</si>
  <si>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</si>
  <si>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</si>
  <si>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</si>
  <si>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</si>
  <si>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</si>
  <si>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</si>
  <si>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</si>
  <si>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</si>
  <si>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</si>
  <si>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</si>
  <si>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</si>
  <si>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</si>
  <si>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</si>
  <si>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</si>
  <si>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</si>
  <si>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</si>
  <si>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</si>
  <si>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</si>
  <si>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</si>
  <si>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</si>
  <si>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</si>
  <si>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</si>
  <si>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</si>
  <si>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</si>
  <si>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</si>
  <si>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</si>
  <si>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</si>
  <si>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</si>
  <si>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</si>
  <si>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</si>
  <si>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</si>
  <si>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</si>
  <si>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</si>
  <si>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</si>
  <si>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</si>
  <si>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</si>
  <si>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</si>
  <si>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</si>
  <si>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</si>
  <si>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</si>
  <si>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</si>
  <si>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</si>
  <si>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</si>
  <si>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</si>
  <si>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</si>
  <si>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</si>
  <si>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</si>
  <si>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</si>
  <si>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</si>
  <si>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</si>
  <si>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</si>
  <si>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</si>
  <si>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</si>
  <si>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</si>
  <si>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</si>
  <si>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</si>
  <si>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</si>
  <si>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</si>
  <si>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</si>
  <si>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</si>
  <si>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</si>
  <si>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</si>
  <si>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</si>
  <si>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</si>
  <si>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</si>
  <si>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</si>
  <si>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</si>
  <si>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</si>
  <si>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</si>
  <si>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</si>
  <si>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</si>
  <si>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</si>
  <si>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</si>
  <si>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</si>
  <si>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</si>
  <si>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</si>
  <si>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</si>
  <si>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</si>
  <si>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</si>
  <si>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</si>
  <si>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</si>
  <si>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</si>
  <si>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</si>
  <si>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</si>
  <si>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</si>
  <si>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</si>
  <si>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</si>
  <si>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</si>
  <si>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</si>
  <si>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</si>
  <si>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</si>
  <si>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</si>
  <si>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</si>
  <si>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</si>
  <si>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</si>
  <si>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</si>
  <si>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</si>
  <si>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</si>
  <si>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</si>
  <si>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</si>
  <si>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</si>
  <si>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</si>
  <si>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</si>
  <si>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</si>
  <si>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</si>
  <si>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</si>
  <si>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</si>
  <si>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</si>
  <si>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</si>
  <si>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</si>
  <si>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</si>
  <si>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</si>
  <si>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</si>
  <si>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</si>
  <si>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</si>
  <si>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</si>
  <si>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</si>
  <si>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</si>
  <si>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</si>
  <si>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</si>
  <si>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</si>
  <si>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</si>
  <si>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</si>
  <si>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</si>
  <si>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</si>
  <si>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</si>
  <si>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</si>
  <si>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</si>
  <si>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</si>
  <si>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</si>
  <si>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</si>
  <si>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</si>
  <si>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</si>
  <si>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</si>
  <si>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</si>
  <si>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</si>
  <si>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</si>
  <si>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</si>
  <si>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</si>
  <si>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</si>
  <si>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</si>
  <si>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</si>
  <si>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</si>
  <si>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</si>
  <si>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</si>
  <si>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</si>
  <si>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</si>
  <si>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</si>
  <si>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</si>
  <si>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</si>
  <si>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</si>
  <si>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</si>
  <si>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</si>
  <si>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</si>
  <si>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</si>
  <si>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</si>
  <si>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</si>
  <si>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</si>
  <si>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</si>
  <si>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</si>
  <si>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</si>
  <si>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</si>
  <si>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</si>
  <si>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</si>
  <si>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</si>
  <si>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</si>
  <si>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</si>
  <si>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</si>
  <si>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</si>
  <si>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</si>
  <si>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</si>
  <si>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</si>
  <si>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</si>
  <si>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</si>
  <si>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</si>
  <si>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</si>
  <si>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</si>
  <si>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</si>
  <si>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</si>
  <si>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</si>
  <si>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</si>
  <si>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</si>
  <si>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</si>
  <si>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</si>
  <si>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</si>
  <si>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</si>
  <si>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</si>
  <si>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</si>
  <si>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</si>
  <si>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</si>
  <si>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</si>
  <si>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</si>
  <si>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</si>
  <si>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</si>
  <si>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</si>
  <si>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</si>
  <si>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</si>
  <si>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</si>
  <si>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</si>
  <si>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</si>
  <si>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</si>
  <si>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</si>
  <si>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</si>
  <si>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</si>
  <si>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</si>
  <si>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</si>
  <si>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</si>
  <si>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</si>
  <si>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</si>
  <si>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</si>
  <si>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</si>
  <si>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</si>
  <si>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</si>
  <si>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</si>
  <si>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</si>
  <si>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</si>
  <si>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</si>
  <si>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</si>
  <si>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</si>
  <si>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</si>
  <si>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</si>
  <si>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</si>
  <si>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</si>
  <si>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</si>
  <si>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</si>
  <si>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</si>
  <si>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</si>
  <si>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</si>
  <si>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</si>
  <si>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</si>
  <si>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</si>
  <si>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</si>
  <si>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</si>
  <si>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</si>
  <si>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</si>
  <si>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</si>
  <si>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</si>
  <si>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</si>
  <si>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</si>
  <si>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</si>
  <si>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</si>
  <si>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</si>
  <si>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</si>
  <si>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</si>
  <si>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</si>
  <si>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</si>
  <si>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</si>
  <si>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</si>
  <si>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</si>
  <si>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</si>
  <si>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</si>
  <si>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</si>
  <si>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</si>
  <si>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</si>
  <si>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</si>
  <si>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</si>
  <si>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</si>
  <si>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</si>
  <si>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</si>
  <si>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r>
      <rPr>
        <b/>
        <sz val="6"/>
        <color theme="0"/>
        <rFont val="Times New Roman"/>
        <charset val="134"/>
      </rPr>
      <t>US$/NG</t>
    </r>
    <r>
      <rPr>
        <b/>
        <strike/>
        <sz val="6"/>
        <color theme="0"/>
        <rFont val="Times New Roman"/>
        <charset val="134"/>
      </rPr>
      <t>N</t>
    </r>
    <r>
      <rPr>
        <b/>
        <sz val="6"/>
        <color theme="0"/>
        <rFont val="Times New Roman"/>
        <charset val="134"/>
      </rPr>
      <t xml:space="preserve"> I&amp;E as at 25th October, 2024 = N1,637.71</t>
    </r>
  </si>
  <si>
    <t>FUNDS</t>
  </si>
  <si>
    <t>Week Ended October 18, 2024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</si>
  <si>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</si>
  <si>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</si>
  <si>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</si>
  <si>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</si>
  <si>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</si>
  <si>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</si>
  <si>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</si>
  <si>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</si>
  <si>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</si>
  <si>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</si>
  <si>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</si>
  <si>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Week Ended October 25, 2024</t>
  </si>
  <si>
    <t>ARM Investment Managers Limited</t>
  </si>
  <si>
    <t>The chart above shows that the Dollar Fund category (Eurobonds and Fixed Income) has the highest share of the Aggregate Net Asset Value (NAV) at 47.06%, followed by Money Market Fund with 40.60%, Bond/Fixed Income Fund at 5.90%, Real Estate Investment Trust at 2.68%.  Next is Balanced Fund at 1.42%, Shari'ah Compliant Fund at 1.39%, Equity Fund at 0.8%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</si>
</sst>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65">
    <font>
      <sz val="11"/>
      <color theme="1"/>
      <name val="Calibri"/>
      <charset val="134"/>
      <scheme val="minor"/>
    </font>
    <font>
      <b/>
      <sz val="12"/>
      <color theme="1"/>
      <name val="Arial Narrow"/>
      <charset val="134"/>
    </font>
    <font>
      <b/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Arial Narrow"/>
      <charset val="134"/>
    </font>
    <font>
      <b/>
      <sz val="12"/>
      <name val="Arial Narrow"/>
      <charset val="134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1"/>
      <name val="Arial Narrow"/>
      <charset val="134"/>
    </font>
    <font>
      <sz val="10"/>
      <color rgb="FFFF0000"/>
      <name val="Arial Narrow"/>
      <charset val="134"/>
    </font>
    <font>
      <b/>
      <sz val="18"/>
      <color theme="0"/>
      <name val="Ebrima"/>
      <charset val="134"/>
    </font>
    <font>
      <b/>
      <sz val="8"/>
      <color theme="1"/>
      <name val="Arial Narrow"/>
      <charset val="134"/>
    </font>
    <font>
      <b/>
      <sz val="8"/>
      <name val="Arial Narrow"/>
      <charset val="134"/>
    </font>
    <font>
      <sz val="8"/>
      <color theme="1"/>
      <name val="Arial Narrow"/>
      <charset val="134"/>
    </font>
    <font>
      <b/>
      <sz val="10"/>
      <color theme="1"/>
      <name val="Arial Narrow"/>
      <charset val="134"/>
    </font>
    <font>
      <sz val="8"/>
      <color rgb="FFFF0000"/>
      <name val="Arial Narrow"/>
      <charset val="134"/>
    </font>
    <font>
      <sz val="8"/>
      <name val="Arial Narrow"/>
      <charset val="134"/>
    </font>
    <font>
      <sz val="8"/>
      <color theme="1"/>
      <name val="Arial Narrow"/>
      <charset val="134"/>
    </font>
    <font>
      <b/>
      <sz val="8"/>
      <name val="Arial Narrow"/>
      <charset val="134"/>
    </font>
    <font>
      <b/>
      <sz val="8"/>
      <color rgb="FFFF0000"/>
      <name val="Arial Narrow"/>
      <charset val="134"/>
    </font>
    <font>
      <sz val="10"/>
      <color rgb="FF000000"/>
      <name val="Times New Roman"/>
      <charset val="134"/>
    </font>
    <font>
      <b/>
      <sz val="9"/>
      <color theme="1"/>
      <name val="Arial Narrow"/>
      <charset val="134"/>
    </font>
    <font>
      <sz val="8"/>
      <color rgb="FF000000"/>
      <name val="Arial Narrow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Times New Roman"/>
      <charset val="134"/>
    </font>
    <font>
      <b/>
      <sz val="10"/>
      <name val="Arial Narrow"/>
      <charset val="134"/>
    </font>
    <font>
      <sz val="8"/>
      <color indexed="8"/>
      <name val="Arial Narrow"/>
      <charset val="134"/>
    </font>
    <font>
      <b/>
      <sz val="12"/>
      <name val="Arial Narrow"/>
      <charset val="134"/>
    </font>
    <font>
      <i/>
      <sz val="8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b/>
      <sz val="6"/>
      <color theme="0"/>
      <name val="Times New Roman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8"/>
      <color rgb="FFFF0000"/>
      <name val="Arial Narrow"/>
      <charset val="134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charset val="134"/>
      <scheme val="minor"/>
    </font>
    <font>
      <sz val="10"/>
      <name val="Arial"/>
      <charset val="134"/>
    </font>
    <font>
      <sz val="10"/>
      <color theme="1"/>
      <name val="Futura Bk BT"/>
      <charset val="134"/>
    </font>
    <font>
      <b/>
      <sz val="18"/>
      <color theme="3"/>
      <name val="Calibri Light"/>
      <charset val="134"/>
      <scheme val="major"/>
    </font>
    <font>
      <b/>
      <strike/>
      <sz val="6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0"/>
      <color rgb="FFFF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21" borderId="0" applyNumberFormat="0" applyBorder="0" applyAlignment="0" applyProtection="0"/>
    <xf numFmtId="0" fontId="43" fillId="0" borderId="0"/>
    <xf numFmtId="0" fontId="47" fillId="0" borderId="0"/>
    <xf numFmtId="0" fontId="44" fillId="0" borderId="0"/>
    <xf numFmtId="9" fontId="4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0" xfId="1" applyFont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12" fillId="2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5" fillId="8" borderId="1" xfId="0" applyFont="1" applyFill="1" applyBorder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0" fillId="2" borderId="1" xfId="10" applyFont="1" applyFill="1" applyBorder="1"/>
    <xf numFmtId="10" fontId="20" fillId="8" borderId="1" xfId="2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right"/>
    </xf>
    <xf numFmtId="164" fontId="20" fillId="10" borderId="1" xfId="1" applyFont="1" applyFill="1" applyBorder="1" applyAlignment="1">
      <alignment horizontal="center"/>
    </xf>
    <xf numFmtId="4" fontId="20" fillId="2" borderId="1" xfId="0" applyNumberFormat="1" applyFont="1" applyFill="1" applyBorder="1"/>
    <xf numFmtId="164" fontId="21" fillId="10" borderId="1" xfId="1" applyFont="1" applyFill="1" applyBorder="1" applyAlignment="1">
      <alignment horizontal="center"/>
    </xf>
    <xf numFmtId="164" fontId="20" fillId="2" borderId="1" xfId="1" applyFont="1" applyFill="1" applyBorder="1"/>
    <xf numFmtId="0" fontId="21" fillId="0" borderId="1" xfId="0" applyFont="1" applyBorder="1"/>
    <xf numFmtId="0" fontId="21" fillId="2" borderId="1" xfId="0" applyFont="1" applyFill="1" applyBorder="1"/>
    <xf numFmtId="0" fontId="22" fillId="2" borderId="1" xfId="0" applyFont="1" applyFill="1" applyBorder="1" applyAlignment="1">
      <alignment horizontal="right"/>
    </xf>
    <xf numFmtId="164" fontId="22" fillId="2" borderId="1" xfId="1" applyFont="1" applyFill="1" applyBorder="1" applyAlignment="1">
      <alignment horizontal="right" vertical="top" wrapText="1"/>
    </xf>
    <xf numFmtId="10" fontId="23" fillId="8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22" fillId="10" borderId="1" xfId="1" applyFont="1" applyFill="1" applyBorder="1" applyAlignment="1">
      <alignment horizontal="center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10" borderId="1" xfId="1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 wrapText="1"/>
    </xf>
    <xf numFmtId="164" fontId="22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20" fillId="10" borderId="1" xfId="2" applyNumberFormat="1" applyFont="1" applyFill="1" applyBorder="1" applyAlignment="1">
      <alignment horizontal="center"/>
    </xf>
    <xf numFmtId="10" fontId="21" fillId="10" borderId="1" xfId="2" applyNumberFormat="1" applyFont="1" applyFill="1" applyBorder="1" applyAlignment="1">
      <alignment horizontal="center"/>
    </xf>
    <xf numFmtId="10" fontId="20" fillId="10" borderId="1" xfId="2" applyNumberFormat="1" applyFont="1" applyFill="1" applyBorder="1" applyAlignment="1">
      <alignment horizontal="center" vertical="top" wrapText="1"/>
    </xf>
    <xf numFmtId="10" fontId="20" fillId="10" borderId="1" xfId="2" applyNumberFormat="1" applyFont="1" applyFill="1" applyBorder="1" applyAlignment="1">
      <alignment horizontal="center" wrapText="1"/>
    </xf>
    <xf numFmtId="10" fontId="20" fillId="8" borderId="1" xfId="2" applyNumberFormat="1" applyFont="1" applyFill="1" applyBorder="1" applyAlignment="1">
      <alignment horizontal="center" wrapText="1"/>
    </xf>
    <xf numFmtId="10" fontId="20" fillId="10" borderId="1" xfId="1" applyNumberFormat="1" applyFont="1" applyFill="1" applyBorder="1" applyAlignment="1">
      <alignment horizontal="center"/>
    </xf>
    <xf numFmtId="10" fontId="20" fillId="3" borderId="1" xfId="2" applyNumberFormat="1" applyFont="1" applyFill="1" applyBorder="1" applyAlignment="1">
      <alignment horizontal="center" vertical="top" wrapText="1"/>
    </xf>
    <xf numFmtId="10" fontId="21" fillId="3" borderId="1" xfId="2" applyNumberFormat="1" applyFont="1" applyFill="1" applyBorder="1" applyAlignment="1">
      <alignment horizontal="center" vertical="top" wrapText="1"/>
    </xf>
    <xf numFmtId="10" fontId="21" fillId="3" borderId="1" xfId="1" applyNumberFormat="1" applyFont="1" applyFill="1" applyBorder="1" applyAlignment="1">
      <alignment horizontal="center" vertical="top" wrapText="1"/>
    </xf>
    <xf numFmtId="10" fontId="24" fillId="11" borderId="0" xfId="0" applyNumberFormat="1" applyFont="1" applyFill="1" applyAlignment="1">
      <alignment horizontal="right" vertical="center" wrapText="1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2" borderId="1" xfId="1" applyFont="1" applyFill="1" applyBorder="1" applyAlignment="1">
      <alignment horizontal="center"/>
    </xf>
    <xf numFmtId="10" fontId="20" fillId="12" borderId="1" xfId="2" applyNumberFormat="1" applyFont="1" applyFill="1" applyBorder="1" applyAlignment="1">
      <alignment horizontal="center"/>
    </xf>
    <xf numFmtId="10" fontId="20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6" fillId="0" borderId="0" xfId="1" applyFont="1"/>
    <xf numFmtId="4" fontId="27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8" fillId="11" borderId="0" xfId="0" applyNumberFormat="1" applyFont="1" applyFill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4" fontId="30" fillId="0" borderId="1" xfId="0" applyNumberFormat="1" applyFont="1" applyFill="1" applyBorder="1" applyAlignment="1" applyProtection="1"/>
    <xf numFmtId="0" fontId="19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164" fontId="22" fillId="2" borderId="1" xfId="1" applyFont="1" applyFill="1" applyBorder="1"/>
    <xf numFmtId="43" fontId="20" fillId="2" borderId="1" xfId="0" applyNumberFormat="1" applyFont="1" applyFill="1" applyBorder="1"/>
    <xf numFmtId="4" fontId="20" fillId="2" borderId="1" xfId="10" applyNumberFormat="1" applyFont="1" applyFill="1" applyBorder="1" applyAlignment="1">
      <alignment horizontal="right"/>
    </xf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 wrapText="1"/>
    </xf>
    <xf numFmtId="4" fontId="20" fillId="10" borderId="1" xfId="1" applyNumberFormat="1" applyFont="1" applyFill="1" applyBorder="1" applyAlignment="1">
      <alignment horizontal="center"/>
    </xf>
    <xf numFmtId="4" fontId="20" fillId="10" borderId="1" xfId="1" applyNumberFormat="1" applyFont="1" applyFill="1" applyBorder="1" applyAlignment="1">
      <alignment horizontal="center" vertical="top" wrapText="1"/>
    </xf>
    <xf numFmtId="43" fontId="20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2" fillId="10" borderId="1" xfId="1" applyNumberFormat="1" applyFont="1" applyFill="1" applyBorder="1" applyAlignment="1">
      <alignment horizontal="right" vertical="top" wrapText="1"/>
    </xf>
    <xf numFmtId="0" fontId="20" fillId="15" borderId="1" xfId="0" applyFont="1" applyFill="1" applyBorder="1" applyAlignment="1">
      <alignment horizontal="right" vertical="center"/>
    </xf>
    <xf numFmtId="0" fontId="22" fillId="15" borderId="1" xfId="0" applyFont="1" applyFill="1" applyBorder="1" applyAlignment="1">
      <alignment horizontal="right" vertical="center"/>
    </xf>
    <xf numFmtId="164" fontId="22" fillId="15" borderId="1" xfId="1" applyFont="1" applyFill="1" applyBorder="1" applyAlignment="1">
      <alignment horizontal="right" vertical="center" wrapText="1"/>
    </xf>
    <xf numFmtId="10" fontId="20" fillId="15" borderId="1" xfId="1" applyNumberFormat="1" applyFont="1" applyFill="1" applyBorder="1" applyAlignment="1">
      <alignment horizontal="right" vertical="center" wrapText="1"/>
    </xf>
    <xf numFmtId="4" fontId="20" fillId="15" borderId="1" xfId="1" applyNumberFormat="1" applyFont="1" applyFill="1" applyBorder="1" applyAlignment="1">
      <alignment horizontal="right" vertical="center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22" fillId="15" borderId="1" xfId="1" applyFont="1" applyFill="1" applyBorder="1" applyAlignment="1">
      <alignment horizontal="right" vertical="top" wrapText="1"/>
    </xf>
    <xf numFmtId="164" fontId="32" fillId="15" borderId="1" xfId="1" applyFont="1" applyFill="1" applyBorder="1" applyAlignment="1">
      <alignment horizontal="right" vertical="top" wrapText="1"/>
    </xf>
    <xf numFmtId="4" fontId="20" fillId="15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8" borderId="1" xfId="2" applyNumberFormat="1" applyFont="1" applyFill="1" applyBorder="1" applyAlignment="1">
      <alignment horizontal="center" vertical="top" wrapText="1"/>
    </xf>
    <xf numFmtId="164" fontId="20" fillId="10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0" fontId="20" fillId="15" borderId="1" xfId="0" applyFont="1" applyFill="1" applyBorder="1" applyAlignment="1">
      <alignment horizontal="right"/>
    </xf>
    <xf numFmtId="0" fontId="22" fillId="15" borderId="1" xfId="0" applyFont="1" applyFill="1" applyBorder="1" applyAlignment="1">
      <alignment horizontal="right"/>
    </xf>
    <xf numFmtId="0" fontId="33" fillId="16" borderId="1" xfId="0" applyFont="1" applyFill="1" applyBorder="1" applyAlignment="1">
      <alignment horizontal="right" vertical="top" wrapText="1"/>
    </xf>
    <xf numFmtId="0" fontId="34" fillId="16" borderId="1" xfId="0" applyFont="1" applyFill="1" applyBorder="1" applyAlignment="1">
      <alignment horizontal="right" vertical="top" wrapText="1"/>
    </xf>
    <xf numFmtId="164" fontId="34" fillId="16" borderId="1" xfId="1" applyFont="1" applyFill="1" applyBorder="1" applyAlignment="1">
      <alignment horizontal="right" vertical="top" wrapText="1"/>
    </xf>
    <xf numFmtId="164" fontId="35" fillId="16" borderId="1" xfId="1" applyFont="1" applyFill="1" applyBorder="1" applyAlignment="1">
      <alignment horizontal="right" vertical="top" wrapText="1"/>
    </xf>
    <xf numFmtId="4" fontId="35" fillId="16" borderId="1" xfId="0" applyNumberFormat="1" applyFont="1" applyFill="1" applyBorder="1" applyAlignment="1">
      <alignment horizontal="right"/>
    </xf>
    <xf numFmtId="0" fontId="36" fillId="6" borderId="1" xfId="0" applyFont="1" applyFill="1" applyBorder="1" applyAlignment="1">
      <alignment horizontal="right" vertical="center"/>
    </xf>
    <xf numFmtId="0" fontId="36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37" fillId="0" borderId="0" xfId="0" applyFont="1"/>
    <xf numFmtId="43" fontId="0" fillId="0" borderId="0" xfId="0" applyNumberFormat="1"/>
    <xf numFmtId="0" fontId="38" fillId="0" borderId="0" xfId="0" applyFont="1"/>
    <xf numFmtId="0" fontId="39" fillId="2" borderId="0" xfId="0" applyFont="1" applyFill="1" applyAlignment="1">
      <alignment wrapText="1"/>
    </xf>
    <xf numFmtId="43" fontId="38" fillId="0" borderId="0" xfId="11" applyFont="1" applyBorder="1"/>
    <xf numFmtId="2" fontId="38" fillId="0" borderId="0" xfId="0" applyNumberFormat="1" applyFont="1"/>
    <xf numFmtId="9" fontId="20" fillId="15" borderId="1" xfId="2" applyFont="1" applyFill="1" applyBorder="1" applyAlignment="1">
      <alignment horizontal="center" vertical="center" wrapText="1"/>
    </xf>
    <xf numFmtId="4" fontId="20" fillId="15" borderId="1" xfId="1" applyNumberFormat="1" applyFont="1" applyFill="1" applyBorder="1" applyAlignment="1">
      <alignment horizontal="center" vertical="center" wrapText="1"/>
    </xf>
    <xf numFmtId="4" fontId="20" fillId="15" borderId="1" xfId="1" applyNumberFormat="1" applyFont="1" applyFill="1" applyBorder="1" applyAlignment="1">
      <alignment horizontal="center" vertical="top" wrapText="1"/>
    </xf>
    <xf numFmtId="9" fontId="35" fillId="16" borderId="1" xfId="2" applyFont="1" applyFill="1" applyBorder="1" applyAlignment="1">
      <alignment horizontal="center"/>
    </xf>
    <xf numFmtId="4" fontId="35" fillId="16" borderId="1" xfId="0" applyNumberFormat="1" applyFont="1" applyFill="1" applyBorder="1" applyAlignment="1">
      <alignment horizontal="center"/>
    </xf>
    <xf numFmtId="10" fontId="38" fillId="0" borderId="0" xfId="2" applyNumberFormat="1" applyFont="1" applyBorder="1"/>
    <xf numFmtId="10" fontId="40" fillId="0" borderId="0" xfId="2" applyNumberFormat="1" applyFont="1" applyBorder="1"/>
    <xf numFmtId="10" fontId="21" fillId="15" borderId="1" xfId="2" applyNumberFormat="1" applyFont="1" applyFill="1" applyBorder="1" applyAlignment="1">
      <alignment horizontal="center" vertical="top" wrapText="1"/>
    </xf>
    <xf numFmtId="166" fontId="21" fillId="15" borderId="1" xfId="2" applyNumberFormat="1" applyFont="1" applyFill="1" applyBorder="1" applyAlignment="1">
      <alignment horizontal="center" vertical="top" wrapText="1"/>
    </xf>
    <xf numFmtId="10" fontId="21" fillId="15" borderId="1" xfId="1" applyNumberFormat="1" applyFont="1" applyFill="1" applyBorder="1" applyAlignment="1">
      <alignment horizontal="center" vertical="top" wrapText="1"/>
    </xf>
    <xf numFmtId="10" fontId="35" fillId="16" borderId="1" xfId="2" applyNumberFormat="1" applyFont="1" applyFill="1" applyBorder="1" applyAlignment="1">
      <alignment horizontal="center" vertical="top" wrapText="1"/>
    </xf>
    <xf numFmtId="166" fontId="35" fillId="16" borderId="1" xfId="2" applyNumberFormat="1" applyFont="1" applyFill="1" applyBorder="1" applyAlignment="1">
      <alignment horizontal="center" vertical="top" wrapText="1"/>
    </xf>
    <xf numFmtId="166" fontId="33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4" fontId="48" fillId="2" borderId="1" xfId="0" applyNumberFormat="1" applyFont="1" applyFill="1" applyBorder="1" applyAlignment="1">
      <alignment wrapText="1"/>
    </xf>
    <xf numFmtId="0" fontId="48" fillId="2" borderId="1" xfId="0" applyFont="1" applyFill="1" applyBorder="1" applyAlignment="1">
      <alignment wrapText="1"/>
    </xf>
    <xf numFmtId="0" fontId="48" fillId="0" borderId="1" xfId="0" applyFont="1" applyBorder="1" applyAlignment="1">
      <alignment horizontal="center" vertical="center"/>
    </xf>
    <xf numFmtId="164" fontId="48" fillId="2" borderId="1" xfId="10" applyFont="1" applyFill="1" applyBorder="1"/>
    <xf numFmtId="49" fontId="48" fillId="0" borderId="1" xfId="0" applyNumberFormat="1" applyFont="1" applyBorder="1" applyAlignment="1">
      <alignment wrapText="1"/>
    </xf>
    <xf numFmtId="0" fontId="31" fillId="9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9" fillId="14" borderId="1" xfId="0" applyFont="1" applyFill="1" applyBorder="1" applyAlignment="1">
      <alignment horizontal="center" wrapText="1"/>
    </xf>
    <xf numFmtId="0" fontId="29" fillId="9" borderId="1" xfId="0" applyFont="1" applyFill="1" applyBorder="1" applyAlignment="1">
      <alignment horizontal="center"/>
    </xf>
    <xf numFmtId="0" fontId="25" fillId="13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3" fillId="5" borderId="0" xfId="0" applyFont="1" applyFill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48" fillId="2" borderId="1" xfId="0" applyFont="1" applyFill="1" applyBorder="1" applyAlignment="1">
      <alignment horizontal="left" wrapText="1"/>
    </xf>
    <xf numFmtId="4" fontId="48" fillId="0" borderId="1" xfId="0" applyNumberFormat="1" applyFont="1" applyBorder="1" applyAlignment="1">
      <alignment wrapText="1"/>
    </xf>
    <xf numFmtId="0" fontId="48" fillId="0" borderId="1" xfId="0" applyFont="1" applyFill="1" applyBorder="1" applyAlignment="1">
      <alignment horizontal="center"/>
    </xf>
    <xf numFmtId="0" fontId="52" fillId="0" borderId="0" xfId="0" applyFont="1" applyBorder="1" applyAlignment="1">
      <alignment horizontal="right"/>
    </xf>
    <xf numFmtId="0" fontId="52" fillId="0" borderId="0" xfId="0" applyFont="1" applyAlignment="1">
      <alignment horizontal="right"/>
    </xf>
    <xf numFmtId="4" fontId="53" fillId="2" borderId="0" xfId="0" applyNumberFormat="1" applyFont="1" applyFill="1"/>
    <xf numFmtId="164" fontId="53" fillId="2" borderId="0" xfId="1" applyFont="1" applyFill="1" applyBorder="1" applyAlignment="1">
      <alignment horizontal="right" vertical="top" wrapText="1"/>
    </xf>
    <xf numFmtId="0" fontId="51" fillId="0" borderId="0" xfId="0" applyFont="1"/>
    <xf numFmtId="0" fontId="50" fillId="0" borderId="0" xfId="0" applyFont="1" applyBorder="1"/>
    <xf numFmtId="0" fontId="54" fillId="0" borderId="0" xfId="0" applyFont="1" applyBorder="1" applyAlignment="1">
      <alignment horizontal="right"/>
    </xf>
    <xf numFmtId="16" fontId="54" fillId="2" borderId="0" xfId="0" applyNumberFormat="1" applyFont="1" applyFill="1" applyBorder="1" applyAlignment="1">
      <alignment horizontal="center" wrapText="1"/>
    </xf>
    <xf numFmtId="0" fontId="55" fillId="0" borderId="0" xfId="0" applyFont="1" applyBorder="1"/>
    <xf numFmtId="0" fontId="54" fillId="0" borderId="0" xfId="0" applyFont="1" applyBorder="1" applyAlignment="1">
      <alignment horizontal="right" wrapText="1"/>
    </xf>
    <xf numFmtId="4" fontId="56" fillId="2" borderId="0" xfId="0" applyNumberFormat="1" applyFont="1" applyFill="1" applyBorder="1"/>
    <xf numFmtId="4" fontId="56" fillId="2" borderId="0" xfId="0" applyNumberFormat="1" applyFont="1" applyFill="1" applyBorder="1" applyAlignment="1">
      <alignment horizontal="right"/>
    </xf>
    <xf numFmtId="164" fontId="56" fillId="2" borderId="0" xfId="1" applyFont="1" applyFill="1" applyBorder="1" applyAlignment="1">
      <alignment horizontal="right" vertical="top" wrapText="1"/>
    </xf>
    <xf numFmtId="0" fontId="57" fillId="0" borderId="0" xfId="0" applyFont="1" applyBorder="1" applyAlignment="1">
      <alignment horizontal="right" wrapText="1"/>
    </xf>
    <xf numFmtId="164" fontId="58" fillId="0" borderId="0" xfId="1" applyFont="1" applyBorder="1"/>
    <xf numFmtId="4" fontId="58" fillId="2" borderId="0" xfId="0" applyNumberFormat="1" applyFont="1" applyFill="1" applyBorder="1"/>
    <xf numFmtId="0" fontId="57" fillId="0" borderId="0" xfId="0" applyFont="1" applyBorder="1" applyAlignment="1">
      <alignment horizontal="right"/>
    </xf>
    <xf numFmtId="4" fontId="58" fillId="2" borderId="0" xfId="0" applyNumberFormat="1" applyFont="1" applyFill="1" applyBorder="1" applyAlignment="1">
      <alignment horizontal="right"/>
    </xf>
    <xf numFmtId="164" fontId="58" fillId="2" borderId="0" xfId="1" applyFont="1" applyFill="1" applyBorder="1" applyAlignment="1">
      <alignment horizontal="right" vertical="top" wrapText="1"/>
    </xf>
    <xf numFmtId="0" fontId="59" fillId="0" borderId="0" xfId="0" applyFont="1" applyBorder="1" applyAlignment="1">
      <alignment horizontal="right"/>
    </xf>
    <xf numFmtId="4" fontId="60" fillId="2" borderId="0" xfId="0" applyNumberFormat="1" applyFont="1" applyFill="1" applyBorder="1" applyAlignment="1">
      <alignment horizontal="right"/>
    </xf>
    <xf numFmtId="4" fontId="60" fillId="2" borderId="0" xfId="0" applyNumberFormat="1" applyFont="1" applyFill="1" applyBorder="1"/>
    <xf numFmtId="4" fontId="53" fillId="2" borderId="0" xfId="0" applyNumberFormat="1" applyFont="1" applyFill="1" applyAlignment="1">
      <alignment horizontal="right"/>
    </xf>
    <xf numFmtId="0" fontId="61" fillId="0" borderId="0" xfId="0" applyFont="1" applyBorder="1" applyAlignment="1">
      <alignment horizontal="right"/>
    </xf>
    <xf numFmtId="16" fontId="59" fillId="2" borderId="0" xfId="0" applyNumberFormat="1" applyFont="1" applyFill="1" applyBorder="1"/>
    <xf numFmtId="0" fontId="50" fillId="0" borderId="0" xfId="0" applyFont="1"/>
    <xf numFmtId="164" fontId="60" fillId="2" borderId="0" xfId="1" applyFont="1" applyFill="1" applyBorder="1" applyAlignment="1">
      <alignment horizontal="right" vertical="top" wrapText="1"/>
    </xf>
    <xf numFmtId="164" fontId="50" fillId="0" borderId="0" xfId="1" applyFont="1" applyBorder="1"/>
    <xf numFmtId="0" fontId="49" fillId="0" borderId="0" xfId="0" applyFont="1"/>
    <xf numFmtId="16" fontId="62" fillId="2" borderId="0" xfId="0" applyNumberFormat="1" applyFont="1" applyFill="1"/>
    <xf numFmtId="164" fontId="63" fillId="0" borderId="0" xfId="1" applyFont="1"/>
    <xf numFmtId="43" fontId="63" fillId="0" borderId="0" xfId="0" applyNumberFormat="1" applyFont="1"/>
    <xf numFmtId="4" fontId="63" fillId="0" borderId="0" xfId="0" applyNumberFormat="1" applyFont="1"/>
    <xf numFmtId="0" fontId="64" fillId="5" borderId="0" xfId="0" applyFont="1" applyFill="1" applyAlignment="1">
      <alignment horizontal="center" wrapText="1"/>
    </xf>
    <xf numFmtId="10" fontId="48" fillId="10" borderId="1" xfId="2" applyNumberFormat="1" applyFont="1" applyFill="1" applyBorder="1" applyAlignment="1">
      <alignment horizontal="center" wrapText="1"/>
    </xf>
    <xf numFmtId="10" fontId="48" fillId="10" borderId="1" xfId="2" applyNumberFormat="1" applyFont="1" applyFill="1" applyBorder="1" applyAlignment="1">
      <alignment horizontal="center"/>
    </xf>
  </cellXfs>
  <cellStyles count="28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18,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1470.975929116318</c:v>
                </c:pt>
                <c:pt idx="1">
                  <c:v>217.59624471189483</c:v>
                </c:pt>
                <c:pt idx="2">
                  <c:v>1725.2497696005873</c:v>
                </c:pt>
                <c:pt idx="3">
                  <c:v>98.768307559734097</c:v>
                </c:pt>
                <c:pt idx="4" formatCode="_-* #,##0.00_-;\-* #,##0.00_-;_-* &quot;-&quot;??_-;_-@_-">
                  <c:v>51.772807386092971</c:v>
                </c:pt>
                <c:pt idx="5">
                  <c:v>5.39463762893</c:v>
                </c:pt>
                <c:pt idx="6">
                  <c:v>51.262988903490061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8-4BD4-8DD0-3679A922212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25,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1494.3543727845476</c:v>
                </c:pt>
                <c:pt idx="1">
                  <c:v>217.29563815086487</c:v>
                </c:pt>
                <c:pt idx="2">
                  <c:v>1732.2715069270473</c:v>
                </c:pt>
                <c:pt idx="3">
                  <c:v>98.833512064041216</c:v>
                </c:pt>
                <c:pt idx="4" formatCode="_-* #,##0.00_-;\-* #,##0.00_-;_-* &quot;-&quot;??_-;_-@_-">
                  <c:v>52.31006210217663</c:v>
                </c:pt>
                <c:pt idx="5">
                  <c:v>5.4907359296499996</c:v>
                </c:pt>
                <c:pt idx="6">
                  <c:v>51.068422934812233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8-4BD4-8DD0-3679A9222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25TH OCTOBER,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25-Oct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5B-40E1-AC07-412E5502CF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5B-40E1-AC07-412E5502CF3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5B-40E1-AC07-412E5502CF3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5B-40E1-AC07-412E5502CF3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15B-40E1-AC07-412E5502CF3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15B-40E1-AC07-412E5502CF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15B-40E1-AC07-412E5502CF3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15B-40E1-AC07-412E5502CF37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5B-40E1-AC07-412E5502CF37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5B-40E1-AC07-412E5502CF37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5B-40E1-AC07-412E5502CF37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5B-40E1-AC07-412E5502CF37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5B-40E1-AC07-412E5502CF37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15B-40E1-AC07-412E5502CF37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5B-40E1-AC07-412E5502CF37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5B-40E1-AC07-412E5502CF37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5490735929.6499996</c:v>
                </c:pt>
                <c:pt idx="1">
                  <c:v>29468827560.84</c:v>
                </c:pt>
                <c:pt idx="2" formatCode="_-* #,##0.00_-;\-* #,##0.00_-;_-* &quot;-&quot;??_-;_-@_-">
                  <c:v>51068422934.812233</c:v>
                </c:pt>
                <c:pt idx="3">
                  <c:v>52310062102.176628</c:v>
                </c:pt>
                <c:pt idx="4">
                  <c:v>98833512064.041214</c:v>
                </c:pt>
                <c:pt idx="5">
                  <c:v>217295638150.86487</c:v>
                </c:pt>
                <c:pt idx="6">
                  <c:v>1494354372784.5476</c:v>
                </c:pt>
                <c:pt idx="7">
                  <c:v>1732271506927.0474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5B-40E1-AC07-412E5502CF3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45541</c:v>
                </c:pt>
                <c:pt idx="1">
                  <c:v>45548</c:v>
                </c:pt>
                <c:pt idx="2">
                  <c:v>45555</c:v>
                </c:pt>
                <c:pt idx="3">
                  <c:v>45562</c:v>
                </c:pt>
                <c:pt idx="4">
                  <c:v>45569</c:v>
                </c:pt>
                <c:pt idx="5">
                  <c:v>45576</c:v>
                </c:pt>
                <c:pt idx="6">
                  <c:v>45583</c:v>
                </c:pt>
                <c:pt idx="7">
                  <c:v>45590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3400.7528613225986</c:v>
                </c:pt>
                <c:pt idx="1">
                  <c:v>3452.8102334622345</c:v>
                </c:pt>
                <c:pt idx="2">
                  <c:v>3459.9856712522856</c:v>
                </c:pt>
                <c:pt idx="3">
                  <c:v>3518.3374037557901</c:v>
                </c:pt>
                <c:pt idx="4">
                  <c:v>3587.8911717657538</c:v>
                </c:pt>
                <c:pt idx="5">
                  <c:v>3608.6485199322269</c:v>
                </c:pt>
                <c:pt idx="6">
                  <c:v>3649.8560176552623</c:v>
                </c:pt>
                <c:pt idx="7">
                  <c:v>3681.0930784539796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D-4826-A72E-E79C188E5D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45541</c:v>
                </c:pt>
                <c:pt idx="1">
                  <c:v>45548</c:v>
                </c:pt>
                <c:pt idx="2">
                  <c:v>45555</c:v>
                </c:pt>
                <c:pt idx="3">
                  <c:v>45562</c:v>
                </c:pt>
                <c:pt idx="4">
                  <c:v>45569</c:v>
                </c:pt>
                <c:pt idx="5">
                  <c:v>45576</c:v>
                </c:pt>
                <c:pt idx="6">
                  <c:v>45583</c:v>
                </c:pt>
                <c:pt idx="7">
                  <c:v>45590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12.1682734018876</c:v>
                </c:pt>
                <c:pt idx="1">
                  <c:v>12.3487801515176</c:v>
                </c:pt>
                <c:pt idx="2">
                  <c:v>12.596631014149999</c:v>
                </c:pt>
                <c:pt idx="3">
                  <c:v>12.728824087969999</c:v>
                </c:pt>
                <c:pt idx="4">
                  <c:v>12.697813827940001</c:v>
                </c:pt>
                <c:pt idx="5">
                  <c:v>12.701048297550301</c:v>
                </c:pt>
                <c:pt idx="6">
                  <c:v>12.789155111611999</c:v>
                </c:pt>
                <c:pt idx="7">
                  <c:v>12.511086821588737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C-449B-95B1-DDAEADF45B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4"/>
  <sheetViews>
    <sheetView tabSelected="1" zoomScaleNormal="100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5" ht="15" customHeight="1">
      <c r="A2" s="27"/>
      <c r="B2" s="28"/>
      <c r="C2" s="28"/>
      <c r="D2" s="148" t="s">
        <v>1</v>
      </c>
      <c r="E2" s="148"/>
      <c r="F2" s="148"/>
      <c r="G2" s="148"/>
      <c r="H2" s="148"/>
      <c r="I2" s="148"/>
      <c r="J2" s="148"/>
      <c r="K2" s="148" t="s">
        <v>2</v>
      </c>
      <c r="L2" s="148"/>
      <c r="M2" s="148"/>
      <c r="N2" s="148"/>
      <c r="O2" s="148"/>
      <c r="P2" s="148"/>
      <c r="Q2" s="148"/>
      <c r="R2" s="148" t="s">
        <v>3</v>
      </c>
      <c r="S2" s="148"/>
      <c r="T2" s="148"/>
      <c r="U2" s="148" t="s">
        <v>4</v>
      </c>
      <c r="V2" s="148"/>
    </row>
    <row r="3" spans="1:25" ht="20.399999999999999">
      <c r="A3" s="29" t="s">
        <v>5</v>
      </c>
      <c r="B3" s="30" t="s">
        <v>6</v>
      </c>
      <c r="C3" s="31" t="s">
        <v>7</v>
      </c>
      <c r="D3" s="32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33" t="s">
        <v>14</v>
      </c>
      <c r="K3" s="55" t="s">
        <v>8</v>
      </c>
      <c r="L3" s="33" t="s">
        <v>9</v>
      </c>
      <c r="M3" s="33" t="s">
        <v>10</v>
      </c>
      <c r="N3" s="33" t="s">
        <v>11</v>
      </c>
      <c r="O3" s="33" t="s">
        <v>12</v>
      </c>
      <c r="P3" s="33" t="s">
        <v>13</v>
      </c>
      <c r="Q3" s="33" t="s">
        <v>14</v>
      </c>
      <c r="R3" s="32" t="s">
        <v>15</v>
      </c>
      <c r="S3" s="33" t="s">
        <v>16</v>
      </c>
      <c r="T3" s="33" t="s">
        <v>17</v>
      </c>
      <c r="U3" s="33" t="s">
        <v>18</v>
      </c>
      <c r="V3" s="33" t="s">
        <v>19</v>
      </c>
    </row>
    <row r="4" spans="1:25" ht="5.25" customHeight="1">
      <c r="A4" s="3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5" ht="15" customHeight="1">
      <c r="A5" s="145" t="s">
        <v>20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5">
      <c r="A6" s="136">
        <v>1</v>
      </c>
      <c r="B6" s="134" t="s">
        <v>21</v>
      </c>
      <c r="C6" s="135" t="s">
        <v>22</v>
      </c>
      <c r="D6" s="35">
        <v>1116454854.6400001</v>
      </c>
      <c r="E6" s="36">
        <f t="shared" ref="E6:E23" si="0">(D6/$D$24)</f>
        <v>3.8718292741369724E-2</v>
      </c>
      <c r="F6" s="37">
        <v>353.7552</v>
      </c>
      <c r="G6" s="37">
        <v>353.7552</v>
      </c>
      <c r="H6" s="38">
        <v>1812</v>
      </c>
      <c r="I6" s="56">
        <v>2.8999999999999998E-3</v>
      </c>
      <c r="J6" s="56">
        <v>0.17749999999999999</v>
      </c>
      <c r="K6" s="35">
        <v>1162444894.76</v>
      </c>
      <c r="L6" s="36">
        <f>(K6/$K$24)</f>
        <v>3.944659462138659E-2</v>
      </c>
      <c r="M6" s="37">
        <v>368.32740000000001</v>
      </c>
      <c r="N6" s="37">
        <v>368.32740000000001</v>
      </c>
      <c r="O6" s="38">
        <v>1812</v>
      </c>
      <c r="P6" s="56">
        <v>4.1200000000000001E-2</v>
      </c>
      <c r="Q6" s="56">
        <v>0.22450000000000001</v>
      </c>
      <c r="R6" s="62">
        <f>((K6-D6)/D6)</f>
        <v>4.119292412842733E-2</v>
      </c>
      <c r="S6" s="62">
        <f>((N6-G6)/G6)</f>
        <v>4.1192892712248498E-2</v>
      </c>
      <c r="T6" s="62">
        <f>((O6-H6)/H6)</f>
        <v>0</v>
      </c>
      <c r="U6" s="63">
        <f>P6-I6</f>
        <v>3.8300000000000001E-2</v>
      </c>
      <c r="V6" s="64">
        <f>Q6-J6</f>
        <v>4.7000000000000014E-2</v>
      </c>
    </row>
    <row r="7" spans="1:25">
      <c r="A7" s="136">
        <v>2</v>
      </c>
      <c r="B7" s="134" t="s">
        <v>23</v>
      </c>
      <c r="C7" s="135" t="s">
        <v>24</v>
      </c>
      <c r="D7" s="39">
        <v>610725368.03999996</v>
      </c>
      <c r="E7" s="36">
        <f t="shared" si="0"/>
        <v>2.1179757950874057E-2</v>
      </c>
      <c r="F7" s="39">
        <v>224.53389999999999</v>
      </c>
      <c r="G7" s="39">
        <v>227.10669999999999</v>
      </c>
      <c r="H7" s="38">
        <v>453</v>
      </c>
      <c r="I7" s="56">
        <v>2.362E-3</v>
      </c>
      <c r="J7" s="56">
        <v>0.16070000000000001</v>
      </c>
      <c r="K7" s="39">
        <v>615107305.45000005</v>
      </c>
      <c r="L7" s="36">
        <f t="shared" ref="L7:L23" si="1">(K7/$K$24)</f>
        <v>2.0873151610123528E-2</v>
      </c>
      <c r="M7" s="39">
        <v>229.3819</v>
      </c>
      <c r="N7" s="39">
        <v>232.0093</v>
      </c>
      <c r="O7" s="38">
        <v>453</v>
      </c>
      <c r="P7" s="56">
        <v>1.0250000000000001E-3</v>
      </c>
      <c r="Q7" s="56">
        <v>0.1857</v>
      </c>
      <c r="R7" s="62">
        <f t="shared" ref="R7:R24" si="2">((K7-D7)/D7)</f>
        <v>7.1749719911963555E-3</v>
      </c>
      <c r="S7" s="62">
        <f t="shared" ref="S7:S24" si="3">((N7-G7)/G7)</f>
        <v>2.1587209888567827E-2</v>
      </c>
      <c r="T7" s="62">
        <f t="shared" ref="T7:T24" si="4">((O7-H7)/H7)</f>
        <v>0</v>
      </c>
      <c r="U7" s="63">
        <f t="shared" ref="U7:U24" si="5">P7-I7</f>
        <v>-1.3369999999999999E-3</v>
      </c>
      <c r="V7" s="64">
        <f t="shared" ref="V7:V24" si="6">Q7-J7</f>
        <v>2.4999999999999994E-2</v>
      </c>
    </row>
    <row r="8" spans="1:25">
      <c r="A8" s="136">
        <v>3</v>
      </c>
      <c r="B8" s="134" t="s">
        <v>25</v>
      </c>
      <c r="C8" s="135" t="s">
        <v>296</v>
      </c>
      <c r="D8" s="39">
        <v>3679999257.9099998</v>
      </c>
      <c r="E8" s="36">
        <f t="shared" si="0"/>
        <v>0.12762118231975114</v>
      </c>
      <c r="F8" s="39">
        <v>33.348799999999997</v>
      </c>
      <c r="G8" s="39">
        <v>34.354300000000002</v>
      </c>
      <c r="H8" s="40">
        <v>6609</v>
      </c>
      <c r="I8" s="57">
        <v>0.2175</v>
      </c>
      <c r="J8" s="57">
        <v>0.1149</v>
      </c>
      <c r="K8" s="39">
        <v>3778922720.9000001</v>
      </c>
      <c r="L8" s="36">
        <f t="shared" si="1"/>
        <v>0.12823457984876419</v>
      </c>
      <c r="M8" s="39">
        <v>34.252600000000001</v>
      </c>
      <c r="N8" s="39">
        <v>35.285299999999999</v>
      </c>
      <c r="O8" s="40">
        <v>6610</v>
      </c>
      <c r="P8" s="57">
        <v>1.4169</v>
      </c>
      <c r="Q8" s="57">
        <v>0.1484</v>
      </c>
      <c r="R8" s="62">
        <f t="shared" si="2"/>
        <v>2.6881381233262079E-2</v>
      </c>
      <c r="S8" s="62">
        <f t="shared" si="3"/>
        <v>2.7099955464090299E-2</v>
      </c>
      <c r="T8" s="62">
        <f t="shared" si="4"/>
        <v>1.5130882130428205E-4</v>
      </c>
      <c r="U8" s="63">
        <f t="shared" si="5"/>
        <v>1.1994</v>
      </c>
      <c r="V8" s="64">
        <f t="shared" si="6"/>
        <v>3.3500000000000002E-2</v>
      </c>
      <c r="X8" s="65"/>
      <c r="Y8" s="65"/>
    </row>
    <row r="9" spans="1:25">
      <c r="A9" s="136">
        <v>4</v>
      </c>
      <c r="B9" s="134" t="s">
        <v>26</v>
      </c>
      <c r="C9" s="135" t="s">
        <v>27</v>
      </c>
      <c r="D9" s="39">
        <v>549370248.11000001</v>
      </c>
      <c r="E9" s="36">
        <f t="shared" si="0"/>
        <v>1.9051982264505097E-2</v>
      </c>
      <c r="F9" s="39">
        <v>201.17930000000001</v>
      </c>
      <c r="G9" s="39">
        <v>201.17930000000001</v>
      </c>
      <c r="H9" s="38">
        <v>1829</v>
      </c>
      <c r="I9" s="56">
        <v>-8.0000000000000004E-4</v>
      </c>
      <c r="J9" s="56">
        <v>0.16589999999999999</v>
      </c>
      <c r="K9" s="39">
        <v>560671187.48000002</v>
      </c>
      <c r="L9" s="36">
        <f t="shared" si="1"/>
        <v>1.9025907505904802E-2</v>
      </c>
      <c r="M9" s="39">
        <v>204.5744</v>
      </c>
      <c r="N9" s="39">
        <v>204.5744</v>
      </c>
      <c r="O9" s="38">
        <v>1832</v>
      </c>
      <c r="P9" s="56">
        <v>1.6899999999999998E-2</v>
      </c>
      <c r="Q9" s="56">
        <v>0.1825</v>
      </c>
      <c r="R9" s="62">
        <f t="shared" si="2"/>
        <v>2.0570716031453575E-2</v>
      </c>
      <c r="S9" s="62">
        <f t="shared" si="3"/>
        <v>1.6875990720715228E-2</v>
      </c>
      <c r="T9" s="62">
        <f t="shared" si="4"/>
        <v>1.6402405686167304E-3</v>
      </c>
      <c r="U9" s="63">
        <f t="shared" si="5"/>
        <v>1.7699999999999997E-2</v>
      </c>
      <c r="V9" s="64">
        <f t="shared" si="6"/>
        <v>1.6600000000000004E-2</v>
      </c>
    </row>
    <row r="10" spans="1:25">
      <c r="A10" s="136">
        <v>5</v>
      </c>
      <c r="B10" s="134" t="s">
        <v>28</v>
      </c>
      <c r="C10" s="135" t="s">
        <v>29</v>
      </c>
      <c r="D10" s="39">
        <v>902034768.59000003</v>
      </c>
      <c r="E10" s="36">
        <f t="shared" si="0"/>
        <v>3.1282273607402537E-2</v>
      </c>
      <c r="F10" s="39">
        <v>1.1420999999999999</v>
      </c>
      <c r="G10" s="39">
        <v>1.153</v>
      </c>
      <c r="H10" s="38">
        <v>510</v>
      </c>
      <c r="I10" s="56">
        <v>-8.2000000000000007E-3</v>
      </c>
      <c r="J10" s="56">
        <v>0.14760000000000001</v>
      </c>
      <c r="K10" s="39">
        <v>940192154.97000003</v>
      </c>
      <c r="L10" s="36">
        <f t="shared" si="1"/>
        <v>3.1904633906079977E-2</v>
      </c>
      <c r="M10" s="39">
        <v>1.1895</v>
      </c>
      <c r="N10" s="39">
        <v>1.2010000000000001</v>
      </c>
      <c r="O10" s="38">
        <v>510</v>
      </c>
      <c r="P10" s="56">
        <v>4.2299999999999997E-2</v>
      </c>
      <c r="Q10" s="56">
        <v>0.1953</v>
      </c>
      <c r="R10" s="62">
        <f t="shared" si="2"/>
        <v>4.2301458556464569E-2</v>
      </c>
      <c r="S10" s="62">
        <f t="shared" si="3"/>
        <v>4.1630529054640104E-2</v>
      </c>
      <c r="T10" s="62">
        <f t="shared" si="4"/>
        <v>0</v>
      </c>
      <c r="U10" s="63">
        <f t="shared" si="5"/>
        <v>5.0499999999999996E-2</v>
      </c>
      <c r="V10" s="64">
        <f t="shared" si="6"/>
        <v>4.7699999999999992E-2</v>
      </c>
    </row>
    <row r="11" spans="1:25">
      <c r="A11" s="136">
        <v>6</v>
      </c>
      <c r="B11" s="134" t="s">
        <v>30</v>
      </c>
      <c r="C11" s="135" t="s">
        <v>31</v>
      </c>
      <c r="D11" s="41">
        <v>91643501.090000004</v>
      </c>
      <c r="E11" s="36">
        <f t="shared" si="0"/>
        <v>3.1781669346502999E-3</v>
      </c>
      <c r="F11" s="39">
        <v>164.3828</v>
      </c>
      <c r="G11" s="39">
        <v>165.00550000000001</v>
      </c>
      <c r="H11" s="40">
        <v>97</v>
      </c>
      <c r="I11" s="57">
        <v>8.7100000000000003E-4</v>
      </c>
      <c r="J11" s="57">
        <v>0.191</v>
      </c>
      <c r="K11" s="41">
        <v>93466295.849999994</v>
      </c>
      <c r="L11" s="36">
        <f t="shared" si="1"/>
        <v>3.1717005251408028E-3</v>
      </c>
      <c r="M11" s="39">
        <v>167.6925</v>
      </c>
      <c r="N11" s="39">
        <v>168.33430000000001</v>
      </c>
      <c r="O11" s="40">
        <v>94</v>
      </c>
      <c r="P11" s="57">
        <v>6.3600000000000004E-2</v>
      </c>
      <c r="Q11" s="57">
        <v>0.2092</v>
      </c>
      <c r="R11" s="62">
        <f t="shared" si="2"/>
        <v>1.9890060269629868E-2</v>
      </c>
      <c r="S11" s="62">
        <f t="shared" si="3"/>
        <v>2.0173872992112388E-2</v>
      </c>
      <c r="T11" s="62">
        <f t="shared" si="4"/>
        <v>-3.0927835051546393E-2</v>
      </c>
      <c r="U11" s="63">
        <f t="shared" si="5"/>
        <v>6.2729000000000007E-2</v>
      </c>
      <c r="V11" s="64">
        <f t="shared" si="6"/>
        <v>1.8199999999999994E-2</v>
      </c>
    </row>
    <row r="12" spans="1:25">
      <c r="A12" s="136">
        <v>7</v>
      </c>
      <c r="B12" s="134" t="s">
        <v>32</v>
      </c>
      <c r="C12" s="135" t="s">
        <v>33</v>
      </c>
      <c r="D12" s="39">
        <v>1129960565.73</v>
      </c>
      <c r="E12" s="36">
        <f t="shared" si="0"/>
        <v>3.9186666427497491E-2</v>
      </c>
      <c r="F12" s="39">
        <v>318.58</v>
      </c>
      <c r="G12" s="39">
        <v>322.99</v>
      </c>
      <c r="H12" s="40">
        <v>1625</v>
      </c>
      <c r="I12" s="57">
        <v>-4.3E-3</v>
      </c>
      <c r="J12" s="57">
        <v>0.28110000000000002</v>
      </c>
      <c r="K12" s="39">
        <v>1157630772.27</v>
      </c>
      <c r="L12" s="36">
        <f t="shared" si="1"/>
        <v>3.9283231403760742E-2</v>
      </c>
      <c r="M12" s="39">
        <v>294.45999999999998</v>
      </c>
      <c r="N12" s="39">
        <v>298.57</v>
      </c>
      <c r="O12" s="40">
        <v>1625</v>
      </c>
      <c r="P12" s="57">
        <v>-7.5700000000000003E-2</v>
      </c>
      <c r="Q12" s="57">
        <v>0.314</v>
      </c>
      <c r="R12" s="62">
        <f t="shared" si="2"/>
        <v>2.4487763006246058E-2</v>
      </c>
      <c r="S12" s="62">
        <f t="shared" si="3"/>
        <v>-7.5606055915043852E-2</v>
      </c>
      <c r="T12" s="62">
        <f t="shared" si="4"/>
        <v>0</v>
      </c>
      <c r="U12" s="63">
        <f t="shared" si="5"/>
        <v>-7.1400000000000005E-2</v>
      </c>
      <c r="V12" s="64">
        <f t="shared" si="6"/>
        <v>3.2899999999999985E-2</v>
      </c>
    </row>
    <row r="13" spans="1:25">
      <c r="A13" s="136">
        <v>8</v>
      </c>
      <c r="B13" s="134" t="s">
        <v>34</v>
      </c>
      <c r="C13" s="135" t="s">
        <v>35</v>
      </c>
      <c r="D13" s="35">
        <v>381497775.82999998</v>
      </c>
      <c r="E13" s="36">
        <f t="shared" si="0"/>
        <v>1.3230219299400386E-2</v>
      </c>
      <c r="F13" s="39">
        <v>191.9</v>
      </c>
      <c r="G13" s="39">
        <v>199.85</v>
      </c>
      <c r="H13" s="38">
        <v>2465</v>
      </c>
      <c r="I13" s="56">
        <v>6.4000000000000003E-3</v>
      </c>
      <c r="J13" s="56">
        <v>0.52649999999999997</v>
      </c>
      <c r="K13" s="35">
        <v>403356123.88</v>
      </c>
      <c r="L13" s="36">
        <f t="shared" si="1"/>
        <v>1.3687552483967993E-2</v>
      </c>
      <c r="M13" s="39">
        <v>202.89</v>
      </c>
      <c r="N13" s="39">
        <v>211.54</v>
      </c>
      <c r="O13" s="38">
        <v>2465</v>
      </c>
      <c r="P13" s="56">
        <v>5.7299999999999997E-2</v>
      </c>
      <c r="Q13" s="56">
        <v>0.61399999999999999</v>
      </c>
      <c r="R13" s="62">
        <f t="shared" si="2"/>
        <v>5.7296134957652692E-2</v>
      </c>
      <c r="S13" s="62">
        <f t="shared" si="3"/>
        <v>5.8493870402802094E-2</v>
      </c>
      <c r="T13" s="62">
        <f t="shared" si="4"/>
        <v>0</v>
      </c>
      <c r="U13" s="63">
        <f t="shared" si="5"/>
        <v>5.0899999999999994E-2</v>
      </c>
      <c r="V13" s="64">
        <f t="shared" si="6"/>
        <v>8.7500000000000022E-2</v>
      </c>
    </row>
    <row r="14" spans="1:25">
      <c r="A14" s="136">
        <v>9</v>
      </c>
      <c r="B14" s="134" t="s">
        <v>36</v>
      </c>
      <c r="C14" s="135" t="s">
        <v>37</v>
      </c>
      <c r="D14" s="41">
        <v>55917382.630000003</v>
      </c>
      <c r="E14" s="36">
        <f t="shared" si="0"/>
        <v>1.939196718077448E-3</v>
      </c>
      <c r="F14" s="39">
        <v>199.32</v>
      </c>
      <c r="G14" s="39">
        <v>205.29</v>
      </c>
      <c r="H14" s="38">
        <v>16</v>
      </c>
      <c r="I14" s="56">
        <v>-2.3900000000000001E-2</v>
      </c>
      <c r="J14" s="56">
        <v>0.1055</v>
      </c>
      <c r="K14" s="41">
        <v>57595345.439999998</v>
      </c>
      <c r="L14" s="36">
        <f t="shared" si="1"/>
        <v>1.9544498443682997E-3</v>
      </c>
      <c r="M14" s="39">
        <v>205.35</v>
      </c>
      <c r="N14" s="39">
        <v>211.41</v>
      </c>
      <c r="O14" s="38">
        <v>16</v>
      </c>
      <c r="P14" s="56">
        <v>0.03</v>
      </c>
      <c r="Q14" s="56">
        <v>0.13869999999999999</v>
      </c>
      <c r="R14" s="62">
        <f t="shared" si="2"/>
        <v>3.0007892556468803E-2</v>
      </c>
      <c r="S14" s="62">
        <f t="shared" si="3"/>
        <v>2.9811486190267449E-2</v>
      </c>
      <c r="T14" s="62">
        <f t="shared" si="4"/>
        <v>0</v>
      </c>
      <c r="U14" s="63">
        <f t="shared" si="5"/>
        <v>5.3900000000000003E-2</v>
      </c>
      <c r="V14" s="64">
        <f t="shared" si="6"/>
        <v>3.3199999999999993E-2</v>
      </c>
    </row>
    <row r="15" spans="1:25" ht="14.25" customHeight="1">
      <c r="A15" s="136">
        <v>10</v>
      </c>
      <c r="B15" s="134" t="s">
        <v>38</v>
      </c>
      <c r="C15" s="135" t="s">
        <v>39</v>
      </c>
      <c r="D15" s="35">
        <v>576728338.87</v>
      </c>
      <c r="E15" s="36">
        <f t="shared" si="0"/>
        <v>2.0000751990829766E-2</v>
      </c>
      <c r="F15" s="39">
        <v>1.9730000000000001</v>
      </c>
      <c r="G15" s="39">
        <v>2.0002</v>
      </c>
      <c r="H15" s="38">
        <v>461</v>
      </c>
      <c r="I15" s="56">
        <v>5.0000000000000001E-4</v>
      </c>
      <c r="J15" s="56">
        <v>0.16420000000000001</v>
      </c>
      <c r="K15" s="35">
        <v>582624983.88</v>
      </c>
      <c r="L15" s="36">
        <f t="shared" si="1"/>
        <v>1.9770891212999193E-2</v>
      </c>
      <c r="M15" s="39">
        <v>1.992483</v>
      </c>
      <c r="N15" s="39">
        <v>2.020556</v>
      </c>
      <c r="O15" s="38">
        <v>463</v>
      </c>
      <c r="P15" s="56">
        <v>9.8645730909976397E-3</v>
      </c>
      <c r="Q15" s="56">
        <v>0.17571428571428599</v>
      </c>
      <c r="R15" s="62">
        <f t="shared" si="2"/>
        <v>1.022430252266336E-2</v>
      </c>
      <c r="S15" s="62">
        <f t="shared" si="3"/>
        <v>1.0176982301769843E-2</v>
      </c>
      <c r="T15" s="62">
        <f t="shared" si="4"/>
        <v>4.3383947939262474E-3</v>
      </c>
      <c r="U15" s="63">
        <f t="shared" si="5"/>
        <v>9.3645730909976393E-3</v>
      </c>
      <c r="V15" s="64">
        <f t="shared" si="6"/>
        <v>1.1514285714285977E-2</v>
      </c>
    </row>
    <row r="16" spans="1:25" ht="14.25" customHeight="1">
      <c r="A16" s="136">
        <v>11</v>
      </c>
      <c r="B16" s="134" t="s">
        <v>40</v>
      </c>
      <c r="C16" s="135" t="s">
        <v>41</v>
      </c>
      <c r="D16" s="35">
        <v>14536915.35</v>
      </c>
      <c r="E16" s="36">
        <f t="shared" si="0"/>
        <v>5.0413551585952823E-4</v>
      </c>
      <c r="F16" s="39">
        <v>12.57</v>
      </c>
      <c r="G16" s="39">
        <v>13.19</v>
      </c>
      <c r="H16" s="38">
        <v>28</v>
      </c>
      <c r="I16" s="56">
        <v>-0.61751</v>
      </c>
      <c r="J16" s="56">
        <v>0.51180999999999999</v>
      </c>
      <c r="K16" s="35">
        <v>14594849.439999999</v>
      </c>
      <c r="L16" s="36">
        <f t="shared" si="1"/>
        <v>4.9526400091310513E-4</v>
      </c>
      <c r="M16" s="39">
        <v>12.62</v>
      </c>
      <c r="N16" s="39">
        <v>13.26</v>
      </c>
      <c r="O16" s="38">
        <v>28</v>
      </c>
      <c r="P16" s="56">
        <v>6.9999999999999999E-4</v>
      </c>
      <c r="Q16" s="56">
        <v>-1.4999999999999999E-2</v>
      </c>
      <c r="R16" s="62">
        <f t="shared" ref="R16" si="7">((K16-D16)/D16)</f>
        <v>3.9853083412224625E-3</v>
      </c>
      <c r="S16" s="62">
        <f t="shared" ref="S16" si="8">((N16-G16)/G16)</f>
        <v>5.3070507960576415E-3</v>
      </c>
      <c r="T16" s="62">
        <f t="shared" ref="T16" si="9">((O16-H16)/H16)</f>
        <v>0</v>
      </c>
      <c r="U16" s="63">
        <f t="shared" ref="U16" si="10">P16-I16</f>
        <v>0.61821000000000004</v>
      </c>
      <c r="V16" s="64">
        <f t="shared" ref="V16" si="11">Q16-J16</f>
        <v>-0.52681</v>
      </c>
    </row>
    <row r="17" spans="1:22">
      <c r="A17" s="136">
        <v>12</v>
      </c>
      <c r="B17" s="134" t="s">
        <v>42</v>
      </c>
      <c r="C17" s="135" t="s">
        <v>43</v>
      </c>
      <c r="D17" s="35">
        <v>1664971822.53</v>
      </c>
      <c r="E17" s="36">
        <f t="shared" si="0"/>
        <v>5.7740683524221008E-2</v>
      </c>
      <c r="F17" s="39">
        <v>3.39</v>
      </c>
      <c r="G17" s="39">
        <v>3.46</v>
      </c>
      <c r="H17" s="38">
        <v>3663</v>
      </c>
      <c r="I17" s="56">
        <v>2E-3</v>
      </c>
      <c r="J17" s="56">
        <v>0.22309999999999999</v>
      </c>
      <c r="K17" s="35">
        <v>1694007340.5799999</v>
      </c>
      <c r="L17" s="36">
        <f t="shared" si="1"/>
        <v>5.7484721340970539E-2</v>
      </c>
      <c r="M17" s="39">
        <v>3.45</v>
      </c>
      <c r="N17" s="39">
        <v>3.52</v>
      </c>
      <c r="O17" s="38">
        <v>3663</v>
      </c>
      <c r="P17" s="56">
        <v>7.4999999999999997E-3</v>
      </c>
      <c r="Q17" s="56">
        <v>0.24440000000000001</v>
      </c>
      <c r="R17" s="62">
        <f t="shared" si="2"/>
        <v>1.7439044707603022E-2</v>
      </c>
      <c r="S17" s="62">
        <f t="shared" si="3"/>
        <v>1.7341040462427761E-2</v>
      </c>
      <c r="T17" s="62">
        <f t="shared" si="4"/>
        <v>0</v>
      </c>
      <c r="U17" s="63">
        <f t="shared" si="5"/>
        <v>5.4999999999999997E-3</v>
      </c>
      <c r="V17" s="64">
        <f t="shared" si="6"/>
        <v>2.1300000000000013E-2</v>
      </c>
    </row>
    <row r="18" spans="1:22">
      <c r="A18" s="136">
        <v>13</v>
      </c>
      <c r="B18" s="134" t="s">
        <v>44</v>
      </c>
      <c r="C18" s="135" t="s">
        <v>45</v>
      </c>
      <c r="D18" s="39">
        <v>624165477.64999998</v>
      </c>
      <c r="E18" s="36">
        <f t="shared" si="0"/>
        <v>2.1645856598923621E-2</v>
      </c>
      <c r="F18" s="39">
        <v>21.32</v>
      </c>
      <c r="G18" s="39">
        <v>21.48</v>
      </c>
      <c r="H18" s="38">
        <v>333</v>
      </c>
      <c r="I18" s="56">
        <v>-4.2900000000000001E-2</v>
      </c>
      <c r="J18" s="56">
        <v>0.2157</v>
      </c>
      <c r="K18" s="39">
        <v>645430815.15999997</v>
      </c>
      <c r="L18" s="36">
        <f t="shared" si="1"/>
        <v>2.1902154533548133E-2</v>
      </c>
      <c r="M18" s="39">
        <v>22.012623999999999</v>
      </c>
      <c r="N18" s="39">
        <v>22.181943</v>
      </c>
      <c r="O18" s="38">
        <v>335</v>
      </c>
      <c r="P18" s="56">
        <v>3.2515821500842756E-2</v>
      </c>
      <c r="Q18" s="56">
        <v>0.25343253475563809</v>
      </c>
      <c r="R18" s="62">
        <f t="shared" si="2"/>
        <v>3.4070031540457131E-2</v>
      </c>
      <c r="S18" s="62">
        <f t="shared" si="3"/>
        <v>3.2678910614525138E-2</v>
      </c>
      <c r="T18" s="62">
        <f t="shared" si="4"/>
        <v>6.006006006006006E-3</v>
      </c>
      <c r="U18" s="63">
        <f t="shared" si="5"/>
        <v>7.541582150084275E-2</v>
      </c>
      <c r="V18" s="64">
        <f t="shared" si="6"/>
        <v>3.7732534755638092E-2</v>
      </c>
    </row>
    <row r="19" spans="1:22">
      <c r="A19" s="136">
        <v>14</v>
      </c>
      <c r="B19" s="134" t="s">
        <v>46</v>
      </c>
      <c r="C19" s="135" t="s">
        <v>47</v>
      </c>
      <c r="D19" s="39">
        <v>119578908.53</v>
      </c>
      <c r="E19" s="36">
        <f t="shared" si="0"/>
        <v>4.1469578164456252E-3</v>
      </c>
      <c r="F19" s="39">
        <v>1.2981050000000001</v>
      </c>
      <c r="G19" s="39">
        <v>1.362816</v>
      </c>
      <c r="H19" s="38">
        <v>21</v>
      </c>
      <c r="I19" s="56">
        <v>4.0000000000000002E-4</v>
      </c>
      <c r="J19" s="56">
        <v>-0.3871</v>
      </c>
      <c r="K19" s="39">
        <v>121370168.34999999</v>
      </c>
      <c r="L19" s="36">
        <f t="shared" si="1"/>
        <v>4.1185950849053857E-3</v>
      </c>
      <c r="M19" s="39">
        <v>1.31755</v>
      </c>
      <c r="N19" s="39">
        <v>1.3645320000000001</v>
      </c>
      <c r="O19" s="38">
        <v>21</v>
      </c>
      <c r="P19" s="56">
        <v>7.3000000000000001E-3</v>
      </c>
      <c r="Q19" s="56">
        <v>-0.38219999999999998</v>
      </c>
      <c r="R19" s="62">
        <f t="shared" si="2"/>
        <v>1.4979730472707909E-2</v>
      </c>
      <c r="S19" s="62">
        <f t="shared" si="3"/>
        <v>1.2591575091575463E-3</v>
      </c>
      <c r="T19" s="62">
        <f t="shared" si="4"/>
        <v>0</v>
      </c>
      <c r="U19" s="63">
        <f t="shared" si="5"/>
        <v>6.8999999999999999E-3</v>
      </c>
      <c r="V19" s="64">
        <f t="shared" si="6"/>
        <v>4.9000000000000155E-3</v>
      </c>
    </row>
    <row r="20" spans="1:22">
      <c r="A20" s="136">
        <v>15</v>
      </c>
      <c r="B20" s="134" t="s">
        <v>48</v>
      </c>
      <c r="C20" s="135" t="s">
        <v>49</v>
      </c>
      <c r="D20" s="35">
        <v>1566512542.27</v>
      </c>
      <c r="E20" s="36">
        <f t="shared" si="0"/>
        <v>5.4326147575572657E-2</v>
      </c>
      <c r="F20" s="39">
        <v>27.94</v>
      </c>
      <c r="G20" s="39">
        <v>28.5</v>
      </c>
      <c r="H20" s="38">
        <v>8834</v>
      </c>
      <c r="I20" s="56">
        <v>3.7000000000000002E-3</v>
      </c>
      <c r="J20" s="56">
        <v>0.11</v>
      </c>
      <c r="K20" s="35">
        <v>1620107283.3499999</v>
      </c>
      <c r="L20" s="36">
        <f t="shared" si="1"/>
        <v>5.4976984747872992E-2</v>
      </c>
      <c r="M20" s="39">
        <v>28.89</v>
      </c>
      <c r="N20" s="39">
        <v>29.47</v>
      </c>
      <c r="O20" s="38">
        <v>8834</v>
      </c>
      <c r="P20" s="56">
        <v>3.3799999999999997E-2</v>
      </c>
      <c r="Q20" s="56">
        <v>0.14760000000000001</v>
      </c>
      <c r="R20" s="62">
        <f t="shared" si="2"/>
        <v>3.421277495955246E-2</v>
      </c>
      <c r="S20" s="62">
        <f t="shared" si="3"/>
        <v>3.4035087719298203E-2</v>
      </c>
      <c r="T20" s="62">
        <f t="shared" si="4"/>
        <v>0</v>
      </c>
      <c r="U20" s="63">
        <f t="shared" si="5"/>
        <v>3.0099999999999995E-2</v>
      </c>
      <c r="V20" s="64">
        <f t="shared" si="6"/>
        <v>3.7600000000000008E-2</v>
      </c>
    </row>
    <row r="21" spans="1:22" ht="12.75" customHeight="1">
      <c r="A21" s="136">
        <v>16</v>
      </c>
      <c r="B21" s="134" t="s">
        <v>50</v>
      </c>
      <c r="C21" s="135" t="s">
        <v>51</v>
      </c>
      <c r="D21" s="39">
        <v>660046383.16999996</v>
      </c>
      <c r="E21" s="36">
        <f t="shared" si="0"/>
        <v>2.2890194780602047E-2</v>
      </c>
      <c r="F21" s="39">
        <v>7071.15</v>
      </c>
      <c r="G21" s="39">
        <v>7175.74</v>
      </c>
      <c r="H21" s="38">
        <v>19</v>
      </c>
      <c r="I21" s="56">
        <v>-3.7000000000000002E-3</v>
      </c>
      <c r="J21" s="56">
        <v>0.31719999999999998</v>
      </c>
      <c r="K21" s="39">
        <v>673246944.10000002</v>
      </c>
      <c r="L21" s="36">
        <f t="shared" si="1"/>
        <v>2.2846071589039129E-2</v>
      </c>
      <c r="M21" s="39">
        <v>7212.35</v>
      </c>
      <c r="N21" s="39">
        <v>7319.4</v>
      </c>
      <c r="O21" s="38">
        <v>19</v>
      </c>
      <c r="P21" s="56">
        <v>0.02</v>
      </c>
      <c r="Q21" s="56">
        <v>0.34360000000000002</v>
      </c>
      <c r="R21" s="62">
        <f t="shared" si="2"/>
        <v>1.9999444382380868E-2</v>
      </c>
      <c r="S21" s="62">
        <f t="shared" si="3"/>
        <v>2.002023484685898E-2</v>
      </c>
      <c r="T21" s="62">
        <f t="shared" si="4"/>
        <v>0</v>
      </c>
      <c r="U21" s="63">
        <f t="shared" si="5"/>
        <v>2.3699999999999999E-2</v>
      </c>
      <c r="V21" s="64">
        <f t="shared" si="6"/>
        <v>2.6400000000000035E-2</v>
      </c>
    </row>
    <row r="22" spans="1:22">
      <c r="A22" s="136">
        <v>17</v>
      </c>
      <c r="B22" s="134" t="s">
        <v>52</v>
      </c>
      <c r="C22" s="135" t="s">
        <v>51</v>
      </c>
      <c r="D22" s="39">
        <v>11681980749.51</v>
      </c>
      <c r="E22" s="36">
        <f t="shared" si="0"/>
        <v>0.40512730862227264</v>
      </c>
      <c r="F22" s="39">
        <v>23231</v>
      </c>
      <c r="G22" s="39">
        <v>23584.71</v>
      </c>
      <c r="H22" s="38">
        <v>17435</v>
      </c>
      <c r="I22" s="56">
        <v>-4.4000000000000003E-3</v>
      </c>
      <c r="J22" s="56">
        <v>0.28439999999999999</v>
      </c>
      <c r="K22" s="39">
        <v>11874443979.040001</v>
      </c>
      <c r="L22" s="36">
        <f t="shared" si="1"/>
        <v>0.40294931837802384</v>
      </c>
      <c r="M22" s="39">
        <v>23614.21</v>
      </c>
      <c r="N22" s="39">
        <v>23974.78</v>
      </c>
      <c r="O22" s="38">
        <v>17435</v>
      </c>
      <c r="P22" s="56">
        <v>1.6500000000000001E-2</v>
      </c>
      <c r="Q22" s="56">
        <v>0.30580000000000002</v>
      </c>
      <c r="R22" s="62">
        <f t="shared" si="2"/>
        <v>1.6475222280953813E-2</v>
      </c>
      <c r="S22" s="62">
        <f t="shared" si="3"/>
        <v>1.6539105208416796E-2</v>
      </c>
      <c r="T22" s="62">
        <f t="shared" si="4"/>
        <v>0</v>
      </c>
      <c r="U22" s="63">
        <f t="shared" si="5"/>
        <v>2.0900000000000002E-2</v>
      </c>
      <c r="V22" s="64">
        <f t="shared" si="6"/>
        <v>2.140000000000003E-2</v>
      </c>
    </row>
    <row r="23" spans="1:22">
      <c r="A23" s="136">
        <v>18</v>
      </c>
      <c r="B23" s="135" t="s">
        <v>53</v>
      </c>
      <c r="C23" s="135" t="s">
        <v>54</v>
      </c>
      <c r="D23" s="39">
        <v>3409207887.7600002</v>
      </c>
      <c r="E23" s="36">
        <f t="shared" si="0"/>
        <v>0.11823022531174472</v>
      </c>
      <c r="F23" s="39">
        <v>1.3783000000000001</v>
      </c>
      <c r="G23" s="37">
        <v>1.3916999999999999</v>
      </c>
      <c r="H23" s="38">
        <v>4160</v>
      </c>
      <c r="I23" s="56">
        <v>-6.7000000000000002E-3</v>
      </c>
      <c r="J23" s="56">
        <v>0.23430000000000001</v>
      </c>
      <c r="K23" s="39">
        <v>3473614395.9400001</v>
      </c>
      <c r="L23" s="36">
        <f t="shared" si="1"/>
        <v>0.11787419736223077</v>
      </c>
      <c r="M23" s="39">
        <v>1.4063000000000001</v>
      </c>
      <c r="N23" s="37">
        <v>1.42</v>
      </c>
      <c r="O23" s="38">
        <v>4293</v>
      </c>
      <c r="P23" s="56">
        <v>2.0299999999999999E-2</v>
      </c>
      <c r="Q23" s="56">
        <v>0.25490000000000002</v>
      </c>
      <c r="R23" s="62">
        <f t="shared" si="2"/>
        <v>1.8891927480056882E-2</v>
      </c>
      <c r="S23" s="62">
        <f t="shared" si="3"/>
        <v>2.0334842279226838E-2</v>
      </c>
      <c r="T23" s="62">
        <f t="shared" si="4"/>
        <v>3.1971153846153844E-2</v>
      </c>
      <c r="U23" s="63">
        <f t="shared" si="5"/>
        <v>2.7E-2</v>
      </c>
      <c r="V23" s="64">
        <f t="shared" si="6"/>
        <v>2.0600000000000007E-2</v>
      </c>
    </row>
    <row r="24" spans="1:22">
      <c r="A24" s="42"/>
      <c r="B24" s="43"/>
      <c r="C24" s="44" t="s">
        <v>55</v>
      </c>
      <c r="D24" s="45">
        <f>SUM(D6:D23)</f>
        <v>28835332748.210007</v>
      </c>
      <c r="E24" s="46">
        <f>(D24/$D$206)</f>
        <v>7.900402812803126E-3</v>
      </c>
      <c r="F24" s="47"/>
      <c r="G24" s="48"/>
      <c r="H24" s="49">
        <f>SUM(H6:H23)</f>
        <v>50370</v>
      </c>
      <c r="I24" s="58"/>
      <c r="J24" s="38">
        <v>0</v>
      </c>
      <c r="K24" s="45">
        <f>SUM(K6:K23)</f>
        <v>29468827560.84</v>
      </c>
      <c r="L24" s="46">
        <f>(K24/$K$206)</f>
        <v>8.005455698288564E-3</v>
      </c>
      <c r="M24" s="47"/>
      <c r="N24" s="48"/>
      <c r="O24" s="49">
        <f>SUM(O6:O23)</f>
        <v>50508</v>
      </c>
      <c r="P24" s="58"/>
      <c r="Q24" s="49"/>
      <c r="R24" s="62">
        <f t="shared" si="2"/>
        <v>2.1969394914276429E-2</v>
      </c>
      <c r="S24" s="62" t="e">
        <f t="shared" si="3"/>
        <v>#DIV/0!</v>
      </c>
      <c r="T24" s="62">
        <f t="shared" si="4"/>
        <v>2.7397260273972603E-3</v>
      </c>
      <c r="U24" s="63">
        <f t="shared" si="5"/>
        <v>0</v>
      </c>
      <c r="V24" s="64">
        <f t="shared" si="6"/>
        <v>0</v>
      </c>
    </row>
    <row r="25" spans="1:22" ht="4.5" customHeight="1">
      <c r="A25" s="42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</row>
    <row r="26" spans="1:22" ht="15" customHeight="1">
      <c r="A26" s="145" t="s">
        <v>56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</row>
    <row r="27" spans="1:22">
      <c r="A27" s="150">
        <v>19</v>
      </c>
      <c r="B27" s="134" t="s">
        <v>57</v>
      </c>
      <c r="C27" s="135" t="s">
        <v>22</v>
      </c>
      <c r="D27" s="50">
        <v>1310152412.47</v>
      </c>
      <c r="E27" s="36">
        <f>(D27/$K$63)</f>
        <v>8.7673475336957083E-4</v>
      </c>
      <c r="F27" s="37">
        <v>100</v>
      </c>
      <c r="G27" s="37">
        <v>100</v>
      </c>
      <c r="H27" s="38">
        <v>1071</v>
      </c>
      <c r="I27" s="56">
        <v>0.19170000000000001</v>
      </c>
      <c r="J27" s="56">
        <v>0.19170000000000001</v>
      </c>
      <c r="K27" s="50">
        <v>1330357643.6300001</v>
      </c>
      <c r="L27" s="36">
        <f t="shared" ref="L27:L62" si="12">(K27/$K$63)</f>
        <v>8.9025579732539641E-4</v>
      </c>
      <c r="M27" s="37">
        <v>100</v>
      </c>
      <c r="N27" s="37">
        <v>100</v>
      </c>
      <c r="O27" s="38">
        <v>1071</v>
      </c>
      <c r="P27" s="56">
        <v>0.1951</v>
      </c>
      <c r="Q27" s="56">
        <v>0.1951</v>
      </c>
      <c r="R27" s="62">
        <f>((K27-D27)/D27)</f>
        <v>1.5422046296054695E-2</v>
      </c>
      <c r="S27" s="62">
        <f>((N27-G27)/G27)</f>
        <v>0</v>
      </c>
      <c r="T27" s="62">
        <f>((O27-H27)/H27)</f>
        <v>0</v>
      </c>
      <c r="U27" s="63">
        <f>P27-I27</f>
        <v>3.3999999999999864E-3</v>
      </c>
      <c r="V27" s="64">
        <f>Q27-J27</f>
        <v>3.3999999999999864E-3</v>
      </c>
    </row>
    <row r="28" spans="1:22">
      <c r="A28" s="150">
        <v>20</v>
      </c>
      <c r="B28" s="134" t="s">
        <v>58</v>
      </c>
      <c r="C28" s="135" t="s">
        <v>59</v>
      </c>
      <c r="D28" s="50">
        <v>8838801129.1900005</v>
      </c>
      <c r="E28" s="36">
        <f t="shared" ref="E28:E62" si="13">(D28/$K$63)</f>
        <v>5.9147959079612223E-3</v>
      </c>
      <c r="F28" s="37">
        <v>100</v>
      </c>
      <c r="G28" s="37">
        <v>100</v>
      </c>
      <c r="H28" s="38">
        <v>1726</v>
      </c>
      <c r="I28" s="56">
        <v>0.22072</v>
      </c>
      <c r="J28" s="56">
        <v>0.22072</v>
      </c>
      <c r="K28" s="50">
        <v>9075693831.0900002</v>
      </c>
      <c r="L28" s="36">
        <f t="shared" si="12"/>
        <v>6.0733210250380892E-3</v>
      </c>
      <c r="M28" s="37">
        <v>100</v>
      </c>
      <c r="N28" s="37">
        <v>100</v>
      </c>
      <c r="O28" s="38">
        <v>1746</v>
      </c>
      <c r="P28" s="56">
        <v>0.22020700000000001</v>
      </c>
      <c r="Q28" s="56">
        <v>0.22020700000000001</v>
      </c>
      <c r="R28" s="62">
        <f t="shared" ref="R28:R63" si="14">((K28-D28)/D28)</f>
        <v>2.6801451739610391E-2</v>
      </c>
      <c r="S28" s="62">
        <f t="shared" ref="S28:S63" si="15">((N28-G28)/G28)</f>
        <v>0</v>
      </c>
      <c r="T28" s="62">
        <f t="shared" ref="T28:T63" si="16">((O28-H28)/H28)</f>
        <v>1.1587485515643106E-2</v>
      </c>
      <c r="U28" s="63">
        <f t="shared" ref="U28:U63" si="17">P28-I28</f>
        <v>-5.1299999999998569E-4</v>
      </c>
      <c r="V28" s="64">
        <f t="shared" ref="V28:V63" si="18">Q28-J28</f>
        <v>-5.1299999999998569E-4</v>
      </c>
    </row>
    <row r="29" spans="1:22">
      <c r="A29" s="150">
        <v>21</v>
      </c>
      <c r="B29" s="134" t="s">
        <v>60</v>
      </c>
      <c r="C29" s="135" t="s">
        <v>24</v>
      </c>
      <c r="D29" s="50">
        <v>906678461.41999996</v>
      </c>
      <c r="E29" s="36">
        <f t="shared" si="13"/>
        <v>6.0673591079371287E-4</v>
      </c>
      <c r="F29" s="37">
        <v>100</v>
      </c>
      <c r="G29" s="37">
        <v>100</v>
      </c>
      <c r="H29" s="38">
        <v>1745</v>
      </c>
      <c r="I29" s="56">
        <v>0.18609999999999999</v>
      </c>
      <c r="J29" s="56">
        <v>0.18609999999999999</v>
      </c>
      <c r="K29" s="50">
        <v>940521909.82000005</v>
      </c>
      <c r="L29" s="36">
        <f t="shared" si="12"/>
        <v>6.2938344943405352E-4</v>
      </c>
      <c r="M29" s="37">
        <v>100</v>
      </c>
      <c r="N29" s="37">
        <v>100</v>
      </c>
      <c r="O29" s="38">
        <v>1751</v>
      </c>
      <c r="P29" s="56">
        <v>0.21</v>
      </c>
      <c r="Q29" s="56">
        <v>0.21</v>
      </c>
      <c r="R29" s="62">
        <f t="shared" si="14"/>
        <v>3.7326847212181456E-2</v>
      </c>
      <c r="S29" s="62">
        <f t="shared" si="15"/>
        <v>0</v>
      </c>
      <c r="T29" s="62">
        <f t="shared" si="16"/>
        <v>3.4383954154727794E-3</v>
      </c>
      <c r="U29" s="63">
        <f t="shared" si="17"/>
        <v>2.3900000000000005E-2</v>
      </c>
      <c r="V29" s="64">
        <f t="shared" si="18"/>
        <v>2.3900000000000005E-2</v>
      </c>
    </row>
    <row r="30" spans="1:22">
      <c r="A30" s="150">
        <v>22</v>
      </c>
      <c r="B30" s="134" t="s">
        <v>61</v>
      </c>
      <c r="C30" s="135" t="s">
        <v>296</v>
      </c>
      <c r="D30" s="50">
        <v>111397746013.97</v>
      </c>
      <c r="E30" s="36">
        <f t="shared" si="13"/>
        <v>7.4545735631899576E-2</v>
      </c>
      <c r="F30" s="37">
        <v>1</v>
      </c>
      <c r="G30" s="37">
        <v>1</v>
      </c>
      <c r="H30" s="38">
        <v>62093</v>
      </c>
      <c r="I30" s="56">
        <v>0.1991</v>
      </c>
      <c r="J30" s="56">
        <v>0.1991</v>
      </c>
      <c r="K30" s="50">
        <v>111904917518.32001</v>
      </c>
      <c r="L30" s="36">
        <f t="shared" si="12"/>
        <v>7.4885127354229114E-2</v>
      </c>
      <c r="M30" s="37">
        <v>1</v>
      </c>
      <c r="N30" s="37">
        <v>1</v>
      </c>
      <c r="O30" s="38">
        <v>62301</v>
      </c>
      <c r="P30" s="56">
        <v>0.19589999999999999</v>
      </c>
      <c r="Q30" s="56">
        <v>0.19589999999999999</v>
      </c>
      <c r="R30" s="62">
        <f t="shared" si="14"/>
        <v>4.5527986202378232E-3</v>
      </c>
      <c r="S30" s="62">
        <f t="shared" si="15"/>
        <v>0</v>
      </c>
      <c r="T30" s="62">
        <f t="shared" si="16"/>
        <v>3.3498139886943778E-3</v>
      </c>
      <c r="U30" s="63">
        <f t="shared" si="17"/>
        <v>-3.2000000000000084E-3</v>
      </c>
      <c r="V30" s="64">
        <f t="shared" si="18"/>
        <v>-3.2000000000000084E-3</v>
      </c>
    </row>
    <row r="31" spans="1:22">
      <c r="A31" s="150">
        <v>23</v>
      </c>
      <c r="B31" s="134" t="s">
        <v>62</v>
      </c>
      <c r="C31" s="135" t="s">
        <v>27</v>
      </c>
      <c r="D31" s="50">
        <v>72316495604.179993</v>
      </c>
      <c r="E31" s="36">
        <f t="shared" si="13"/>
        <v>4.8393136809595574E-2</v>
      </c>
      <c r="F31" s="37">
        <v>1</v>
      </c>
      <c r="G31" s="37">
        <v>1</v>
      </c>
      <c r="H31" s="38">
        <v>29803</v>
      </c>
      <c r="I31" s="56">
        <v>0.2026</v>
      </c>
      <c r="J31" s="56">
        <v>0.2026</v>
      </c>
      <c r="K31" s="50">
        <v>72816922758.649994</v>
      </c>
      <c r="L31" s="36">
        <f t="shared" si="12"/>
        <v>4.8728015312033732E-2</v>
      </c>
      <c r="M31" s="37">
        <v>1</v>
      </c>
      <c r="N31" s="37">
        <v>1</v>
      </c>
      <c r="O31" s="38">
        <v>29841</v>
      </c>
      <c r="P31" s="56">
        <v>0.20050000000000001</v>
      </c>
      <c r="Q31" s="56">
        <v>0.16880000000000001</v>
      </c>
      <c r="R31" s="62">
        <f t="shared" si="14"/>
        <v>6.9199585832955633E-3</v>
      </c>
      <c r="S31" s="62">
        <f t="shared" si="15"/>
        <v>0</v>
      </c>
      <c r="T31" s="62">
        <f t="shared" si="16"/>
        <v>1.2750394255611852E-3</v>
      </c>
      <c r="U31" s="63">
        <f t="shared" si="17"/>
        <v>-2.0999999999999908E-3</v>
      </c>
      <c r="V31" s="64">
        <f t="shared" si="18"/>
        <v>-3.3799999999999997E-2</v>
      </c>
    </row>
    <row r="32" spans="1:22" ht="15" customHeight="1">
      <c r="A32" s="150">
        <v>24</v>
      </c>
      <c r="B32" s="134" t="s">
        <v>63</v>
      </c>
      <c r="C32" s="135" t="s">
        <v>49</v>
      </c>
      <c r="D32" s="50">
        <v>10800897861</v>
      </c>
      <c r="E32" s="36">
        <f t="shared" si="13"/>
        <v>7.2278022253007097E-3</v>
      </c>
      <c r="F32" s="37">
        <v>100</v>
      </c>
      <c r="G32" s="37">
        <v>100</v>
      </c>
      <c r="H32" s="38">
        <v>2891</v>
      </c>
      <c r="I32" s="56">
        <v>0.22</v>
      </c>
      <c r="J32" s="56">
        <v>0.22</v>
      </c>
      <c r="K32" s="50">
        <v>10791207231</v>
      </c>
      <c r="L32" s="36">
        <f t="shared" si="12"/>
        <v>7.2213173980224636E-3</v>
      </c>
      <c r="M32" s="37">
        <v>100</v>
      </c>
      <c r="N32" s="37">
        <v>100</v>
      </c>
      <c r="O32" s="38">
        <v>2891</v>
      </c>
      <c r="P32" s="56">
        <v>0.224</v>
      </c>
      <c r="Q32" s="56">
        <v>0.224</v>
      </c>
      <c r="R32" s="62">
        <f t="shared" si="14"/>
        <v>-8.9720596608834093E-4</v>
      </c>
      <c r="S32" s="62">
        <f t="shared" si="15"/>
        <v>0</v>
      </c>
      <c r="T32" s="62">
        <f t="shared" si="16"/>
        <v>0</v>
      </c>
      <c r="U32" s="63">
        <f t="shared" si="17"/>
        <v>4.0000000000000036E-3</v>
      </c>
      <c r="V32" s="64">
        <f t="shared" si="18"/>
        <v>4.0000000000000036E-3</v>
      </c>
    </row>
    <row r="33" spans="1:22" ht="15" customHeight="1">
      <c r="A33" s="150">
        <v>25</v>
      </c>
      <c r="B33" s="134" t="s">
        <v>64</v>
      </c>
      <c r="C33" s="135" t="s">
        <v>65</v>
      </c>
      <c r="D33" s="50">
        <v>322826338.39999998</v>
      </c>
      <c r="E33" s="36">
        <f t="shared" si="13"/>
        <v>2.1603064459098302E-4</v>
      </c>
      <c r="F33" s="37">
        <v>1</v>
      </c>
      <c r="G33" s="37">
        <v>1</v>
      </c>
      <c r="H33" s="38">
        <v>232</v>
      </c>
      <c r="I33" s="56">
        <v>0.19500000000000001</v>
      </c>
      <c r="J33" s="56">
        <v>0.19500000000000001</v>
      </c>
      <c r="K33" s="50">
        <v>316242425.81999999</v>
      </c>
      <c r="L33" s="36">
        <f t="shared" si="12"/>
        <v>2.1162478698457629E-4</v>
      </c>
      <c r="M33" s="37">
        <v>1</v>
      </c>
      <c r="N33" s="37">
        <v>1</v>
      </c>
      <c r="O33" s="38">
        <v>234</v>
      </c>
      <c r="P33" s="56">
        <v>0.19600000000000001</v>
      </c>
      <c r="Q33" s="56">
        <v>0.19600000000000001</v>
      </c>
      <c r="R33" s="62">
        <f t="shared" si="14"/>
        <v>-2.0394595473936038E-2</v>
      </c>
      <c r="S33" s="62">
        <f t="shared" si="15"/>
        <v>0</v>
      </c>
      <c r="T33" s="62">
        <f t="shared" si="16"/>
        <v>8.6206896551724137E-3</v>
      </c>
      <c r="U33" s="63">
        <f t="shared" si="17"/>
        <v>1.0000000000000009E-3</v>
      </c>
      <c r="V33" s="64">
        <f t="shared" si="18"/>
        <v>1.0000000000000009E-3</v>
      </c>
    </row>
    <row r="34" spans="1:22">
      <c r="A34" s="150">
        <v>26</v>
      </c>
      <c r="B34" s="134" t="s">
        <v>66</v>
      </c>
      <c r="C34" s="135" t="s">
        <v>67</v>
      </c>
      <c r="D34" s="50">
        <v>30825168758.02</v>
      </c>
      <c r="E34" s="36">
        <f t="shared" si="13"/>
        <v>2.0627750230744164E-2</v>
      </c>
      <c r="F34" s="37">
        <v>100</v>
      </c>
      <c r="G34" s="37">
        <v>100</v>
      </c>
      <c r="H34" s="38">
        <v>3032</v>
      </c>
      <c r="I34" s="56">
        <v>0.21574310497587901</v>
      </c>
      <c r="J34" s="56">
        <v>0.21574310497587901</v>
      </c>
      <c r="K34" s="50">
        <v>30605711800.419998</v>
      </c>
      <c r="L34" s="36">
        <f t="shared" si="12"/>
        <v>2.0480892857689423E-2</v>
      </c>
      <c r="M34" s="37">
        <v>100</v>
      </c>
      <c r="N34" s="37">
        <v>100</v>
      </c>
      <c r="O34" s="38">
        <v>3053</v>
      </c>
      <c r="P34" s="56">
        <v>0.22536525913790501</v>
      </c>
      <c r="Q34" s="56">
        <v>0.22536525913790501</v>
      </c>
      <c r="R34" s="62">
        <f t="shared" si="14"/>
        <v>-7.119408147373228E-3</v>
      </c>
      <c r="S34" s="62">
        <f t="shared" si="15"/>
        <v>0</v>
      </c>
      <c r="T34" s="62">
        <f t="shared" si="16"/>
        <v>6.9261213720316619E-3</v>
      </c>
      <c r="U34" s="63">
        <f t="shared" si="17"/>
        <v>9.6221541620259976E-3</v>
      </c>
      <c r="V34" s="64">
        <f t="shared" si="18"/>
        <v>9.6221541620259976E-3</v>
      </c>
    </row>
    <row r="35" spans="1:22">
      <c r="A35" s="150">
        <v>27</v>
      </c>
      <c r="B35" s="134" t="s">
        <v>68</v>
      </c>
      <c r="C35" s="135" t="s">
        <v>69</v>
      </c>
      <c r="D35" s="50">
        <v>11816732209.98</v>
      </c>
      <c r="E35" s="36">
        <f t="shared" si="13"/>
        <v>7.907583652973128E-3</v>
      </c>
      <c r="F35" s="37">
        <v>100</v>
      </c>
      <c r="G35" s="37">
        <v>100</v>
      </c>
      <c r="H35" s="38">
        <v>6336</v>
      </c>
      <c r="I35" s="56">
        <v>0.2069</v>
      </c>
      <c r="J35" s="56">
        <v>0.2069</v>
      </c>
      <c r="K35" s="50">
        <v>12031563193.6</v>
      </c>
      <c r="L35" s="36">
        <f t="shared" si="12"/>
        <v>8.0513453921780588E-3</v>
      </c>
      <c r="M35" s="37">
        <v>100</v>
      </c>
      <c r="N35" s="37">
        <v>100</v>
      </c>
      <c r="O35" s="38">
        <v>6360</v>
      </c>
      <c r="P35" s="56">
        <v>0.2082</v>
      </c>
      <c r="Q35" s="56">
        <v>0.2082</v>
      </c>
      <c r="R35" s="62">
        <f t="shared" si="14"/>
        <v>1.8180236278737202E-2</v>
      </c>
      <c r="S35" s="62">
        <f t="shared" si="15"/>
        <v>0</v>
      </c>
      <c r="T35" s="62">
        <f t="shared" si="16"/>
        <v>3.787878787878788E-3</v>
      </c>
      <c r="U35" s="63">
        <f t="shared" si="17"/>
        <v>1.2999999999999956E-3</v>
      </c>
      <c r="V35" s="64">
        <f t="shared" si="18"/>
        <v>1.2999999999999956E-3</v>
      </c>
    </row>
    <row r="36" spans="1:22">
      <c r="A36" s="150">
        <v>28</v>
      </c>
      <c r="B36" s="134" t="s">
        <v>70</v>
      </c>
      <c r="C36" s="135" t="s">
        <v>71</v>
      </c>
      <c r="D36" s="50">
        <v>44514190.369999997</v>
      </c>
      <c r="E36" s="36">
        <f t="shared" si="13"/>
        <v>2.9788242454869133E-5</v>
      </c>
      <c r="F36" s="37">
        <v>100</v>
      </c>
      <c r="G36" s="37">
        <v>100</v>
      </c>
      <c r="H36" s="38">
        <v>0</v>
      </c>
      <c r="I36" s="56">
        <v>0</v>
      </c>
      <c r="J36" s="56">
        <v>0</v>
      </c>
      <c r="K36" s="50">
        <v>44514190.369999997</v>
      </c>
      <c r="L36" s="36">
        <f t="shared" si="12"/>
        <v>2.9788242454869133E-5</v>
      </c>
      <c r="M36" s="37">
        <v>100</v>
      </c>
      <c r="N36" s="37">
        <v>100</v>
      </c>
      <c r="O36" s="38">
        <v>0</v>
      </c>
      <c r="P36" s="56">
        <v>0</v>
      </c>
      <c r="Q36" s="56">
        <v>0</v>
      </c>
      <c r="R36" s="62">
        <f t="shared" si="14"/>
        <v>0</v>
      </c>
      <c r="S36" s="62">
        <f t="shared" si="15"/>
        <v>0</v>
      </c>
      <c r="T36" s="62" t="e">
        <f t="shared" si="16"/>
        <v>#DIV/0!</v>
      </c>
      <c r="U36" s="63">
        <f t="shared" si="17"/>
        <v>0</v>
      </c>
      <c r="V36" s="64">
        <f t="shared" si="18"/>
        <v>0</v>
      </c>
    </row>
    <row r="37" spans="1:22">
      <c r="A37" s="150">
        <v>29</v>
      </c>
      <c r="B37" s="134" t="s">
        <v>72</v>
      </c>
      <c r="C37" s="135" t="s">
        <v>73</v>
      </c>
      <c r="D37" s="50">
        <v>8304712818.7600002</v>
      </c>
      <c r="E37" s="36">
        <f t="shared" si="13"/>
        <v>5.5573918543064043E-3</v>
      </c>
      <c r="F37" s="37">
        <v>1</v>
      </c>
      <c r="G37" s="37">
        <v>1</v>
      </c>
      <c r="H37" s="38">
        <v>2920</v>
      </c>
      <c r="I37" s="56">
        <v>0.19170000000000001</v>
      </c>
      <c r="J37" s="56">
        <v>0.19170000000000001</v>
      </c>
      <c r="K37" s="50">
        <v>8383675604.6599998</v>
      </c>
      <c r="L37" s="36">
        <f t="shared" si="12"/>
        <v>5.6102325909737462E-3</v>
      </c>
      <c r="M37" s="37">
        <v>1</v>
      </c>
      <c r="N37" s="37">
        <v>1</v>
      </c>
      <c r="O37" s="38">
        <v>2967</v>
      </c>
      <c r="P37" s="56">
        <v>0.19670000000000001</v>
      </c>
      <c r="Q37" s="56">
        <v>0.19670000000000001</v>
      </c>
      <c r="R37" s="62">
        <f t="shared" si="14"/>
        <v>9.5081898222447829E-3</v>
      </c>
      <c r="S37" s="62">
        <f t="shared" si="15"/>
        <v>0</v>
      </c>
      <c r="T37" s="62">
        <f t="shared" si="16"/>
        <v>1.6095890410958904E-2</v>
      </c>
      <c r="U37" s="63">
        <f t="shared" si="17"/>
        <v>5.0000000000000044E-3</v>
      </c>
      <c r="V37" s="64">
        <f t="shared" si="18"/>
        <v>5.0000000000000044E-3</v>
      </c>
    </row>
    <row r="38" spans="1:22">
      <c r="A38" s="150">
        <v>30</v>
      </c>
      <c r="B38" s="134" t="s">
        <v>74</v>
      </c>
      <c r="C38" s="135" t="s">
        <v>75</v>
      </c>
      <c r="D38" s="50">
        <v>18055263745.07</v>
      </c>
      <c r="E38" s="36">
        <f t="shared" si="13"/>
        <v>1.2082317336433534E-2</v>
      </c>
      <c r="F38" s="51">
        <v>100</v>
      </c>
      <c r="G38" s="51">
        <v>100</v>
      </c>
      <c r="H38" s="38">
        <v>3004</v>
      </c>
      <c r="I38" s="56">
        <v>0.1915</v>
      </c>
      <c r="J38" s="56">
        <v>0.1915</v>
      </c>
      <c r="K38" s="50">
        <v>19511848524.939999</v>
      </c>
      <c r="L38" s="36">
        <f t="shared" si="12"/>
        <v>1.3057042479543887E-2</v>
      </c>
      <c r="M38" s="51">
        <v>100</v>
      </c>
      <c r="N38" s="51">
        <v>100</v>
      </c>
      <c r="O38" s="38">
        <v>2983</v>
      </c>
      <c r="P38" s="56">
        <v>0.19040000000000001</v>
      </c>
      <c r="Q38" s="56">
        <v>0.19040000000000001</v>
      </c>
      <c r="R38" s="62">
        <f t="shared" si="14"/>
        <v>8.0673691641182488E-2</v>
      </c>
      <c r="S38" s="62">
        <f t="shared" si="15"/>
        <v>0</v>
      </c>
      <c r="T38" s="62">
        <f t="shared" si="16"/>
        <v>-6.9906790945406128E-3</v>
      </c>
      <c r="U38" s="63">
        <f t="shared" si="17"/>
        <v>-1.0999999999999899E-3</v>
      </c>
      <c r="V38" s="64">
        <f t="shared" si="18"/>
        <v>-1.0999999999999899E-3</v>
      </c>
    </row>
    <row r="39" spans="1:22">
      <c r="A39" s="150">
        <v>31</v>
      </c>
      <c r="B39" s="134" t="s">
        <v>76</v>
      </c>
      <c r="C39" s="135" t="s">
        <v>75</v>
      </c>
      <c r="D39" s="50">
        <v>440796910.88999999</v>
      </c>
      <c r="E39" s="36">
        <f t="shared" si="13"/>
        <v>2.9497481917132451E-4</v>
      </c>
      <c r="F39" s="51">
        <v>1000000</v>
      </c>
      <c r="G39" s="51">
        <v>1000000</v>
      </c>
      <c r="H39" s="38">
        <v>3</v>
      </c>
      <c r="I39" s="56">
        <v>0.18859999999999999</v>
      </c>
      <c r="J39" s="56">
        <v>0.18859999999999999</v>
      </c>
      <c r="K39" s="50">
        <v>442391434.58999997</v>
      </c>
      <c r="L39" s="36">
        <f t="shared" si="12"/>
        <v>2.9604185101399835E-4</v>
      </c>
      <c r="M39" s="51">
        <v>1000000</v>
      </c>
      <c r="N39" s="51">
        <v>1000000</v>
      </c>
      <c r="O39" s="38">
        <v>3</v>
      </c>
      <c r="P39" s="56">
        <v>0.21260000000000001</v>
      </c>
      <c r="Q39" s="56">
        <v>0.21260000000000001</v>
      </c>
      <c r="R39" s="62">
        <f t="shared" si="14"/>
        <v>3.6173658676067681E-3</v>
      </c>
      <c r="S39" s="62">
        <f t="shared" si="15"/>
        <v>0</v>
      </c>
      <c r="T39" s="62">
        <f t="shared" si="16"/>
        <v>0</v>
      </c>
      <c r="U39" s="63">
        <f t="shared" si="17"/>
        <v>2.4000000000000021E-2</v>
      </c>
      <c r="V39" s="64">
        <f t="shared" si="18"/>
        <v>2.4000000000000021E-2</v>
      </c>
    </row>
    <row r="40" spans="1:22">
      <c r="A40" s="150">
        <v>32</v>
      </c>
      <c r="B40" s="134" t="s">
        <v>77</v>
      </c>
      <c r="C40" s="135" t="s">
        <v>78</v>
      </c>
      <c r="D40" s="50">
        <v>3764820852.6900001</v>
      </c>
      <c r="E40" s="36">
        <f t="shared" si="13"/>
        <v>2.5193628240098862E-3</v>
      </c>
      <c r="F40" s="37">
        <v>1</v>
      </c>
      <c r="G40" s="37">
        <v>1</v>
      </c>
      <c r="H40" s="38">
        <v>634</v>
      </c>
      <c r="I40" s="56">
        <v>0.21829999999999999</v>
      </c>
      <c r="J40" s="56">
        <v>0.21829999999999999</v>
      </c>
      <c r="K40" s="50">
        <v>3792476149.1199999</v>
      </c>
      <c r="L40" s="36">
        <f t="shared" si="12"/>
        <v>2.5378693422318443E-3</v>
      </c>
      <c r="M40" s="37">
        <v>1</v>
      </c>
      <c r="N40" s="37">
        <v>1</v>
      </c>
      <c r="O40" s="38">
        <v>642</v>
      </c>
      <c r="P40" s="56">
        <v>0.22420000000000001</v>
      </c>
      <c r="Q40" s="56">
        <v>0.22420000000000001</v>
      </c>
      <c r="R40" s="62">
        <f t="shared" si="14"/>
        <v>7.3457137834964598E-3</v>
      </c>
      <c r="S40" s="62">
        <f t="shared" si="15"/>
        <v>0</v>
      </c>
      <c r="T40" s="62">
        <f t="shared" si="16"/>
        <v>1.2618296529968454E-2</v>
      </c>
      <c r="U40" s="63">
        <f t="shared" si="17"/>
        <v>5.9000000000000163E-3</v>
      </c>
      <c r="V40" s="64">
        <f t="shared" si="18"/>
        <v>5.9000000000000163E-3</v>
      </c>
    </row>
    <row r="41" spans="1:22">
      <c r="A41" s="150">
        <v>33</v>
      </c>
      <c r="B41" s="134" t="s">
        <v>79</v>
      </c>
      <c r="C41" s="135" t="s">
        <v>33</v>
      </c>
      <c r="D41" s="50">
        <v>330829202090.71997</v>
      </c>
      <c r="E41" s="36">
        <f t="shared" si="13"/>
        <v>0.22138604344179755</v>
      </c>
      <c r="F41" s="37">
        <v>100</v>
      </c>
      <c r="G41" s="37">
        <v>100</v>
      </c>
      <c r="H41" s="38">
        <v>15109</v>
      </c>
      <c r="I41" s="56">
        <v>0.217</v>
      </c>
      <c r="J41" s="56">
        <v>0.217</v>
      </c>
      <c r="K41" s="50">
        <v>331692595437.37</v>
      </c>
      <c r="L41" s="36">
        <f t="shared" si="12"/>
        <v>0.22196381358947756</v>
      </c>
      <c r="M41" s="37">
        <v>100</v>
      </c>
      <c r="N41" s="37">
        <v>100</v>
      </c>
      <c r="O41" s="38">
        <v>15109</v>
      </c>
      <c r="P41" s="56">
        <v>0.21970000000000001</v>
      </c>
      <c r="Q41" s="56">
        <v>0.21970000000000001</v>
      </c>
      <c r="R41" s="62">
        <f t="shared" si="14"/>
        <v>2.6097857782616928E-3</v>
      </c>
      <c r="S41" s="62">
        <f t="shared" si="15"/>
        <v>0</v>
      </c>
      <c r="T41" s="62">
        <f t="shared" si="16"/>
        <v>0</v>
      </c>
      <c r="U41" s="63">
        <f t="shared" si="17"/>
        <v>2.7000000000000079E-3</v>
      </c>
      <c r="V41" s="64">
        <f t="shared" si="18"/>
        <v>2.7000000000000079E-3</v>
      </c>
    </row>
    <row r="42" spans="1:22">
      <c r="A42" s="150">
        <v>34</v>
      </c>
      <c r="B42" s="134" t="s">
        <v>80</v>
      </c>
      <c r="C42" s="135" t="s">
        <v>81</v>
      </c>
      <c r="D42" s="50">
        <v>533582075.81</v>
      </c>
      <c r="E42" s="36">
        <f t="shared" si="13"/>
        <v>3.5706528888173608E-4</v>
      </c>
      <c r="F42" s="37">
        <v>1</v>
      </c>
      <c r="G42" s="37">
        <v>1</v>
      </c>
      <c r="H42" s="52">
        <v>720</v>
      </c>
      <c r="I42" s="59">
        <v>0.2056</v>
      </c>
      <c r="J42" s="59">
        <v>0.2056</v>
      </c>
      <c r="K42" s="50">
        <v>476306484.77999997</v>
      </c>
      <c r="L42" s="36">
        <f t="shared" si="12"/>
        <v>3.187373045206545E-4</v>
      </c>
      <c r="M42" s="37">
        <v>1</v>
      </c>
      <c r="N42" s="37">
        <v>1</v>
      </c>
      <c r="O42" s="52">
        <v>726</v>
      </c>
      <c r="P42" s="59">
        <v>0.2056</v>
      </c>
      <c r="Q42" s="59">
        <v>0.2056</v>
      </c>
      <c r="R42" s="62">
        <f t="shared" si="14"/>
        <v>-0.10734166986972581</v>
      </c>
      <c r="S42" s="62">
        <f t="shared" si="15"/>
        <v>0</v>
      </c>
      <c r="T42" s="62">
        <f t="shared" si="16"/>
        <v>8.3333333333333332E-3</v>
      </c>
      <c r="U42" s="63">
        <f t="shared" si="17"/>
        <v>0</v>
      </c>
      <c r="V42" s="64">
        <f t="shared" si="18"/>
        <v>0</v>
      </c>
    </row>
    <row r="43" spans="1:22">
      <c r="A43" s="150">
        <v>35</v>
      </c>
      <c r="B43" s="134" t="s">
        <v>82</v>
      </c>
      <c r="C43" s="135" t="s">
        <v>83</v>
      </c>
      <c r="D43" s="50">
        <v>803849268.25999999</v>
      </c>
      <c r="E43" s="36">
        <f t="shared" si="13"/>
        <v>5.3792412489289578E-4</v>
      </c>
      <c r="F43" s="37">
        <v>10</v>
      </c>
      <c r="G43" s="37">
        <v>10</v>
      </c>
      <c r="H43" s="38">
        <v>390</v>
      </c>
      <c r="I43" s="56">
        <v>0.16619999999999999</v>
      </c>
      <c r="J43" s="56">
        <v>0.16619999999999999</v>
      </c>
      <c r="K43" s="50">
        <v>755067959.41999996</v>
      </c>
      <c r="L43" s="36">
        <f t="shared" si="12"/>
        <v>5.0528038942531598E-4</v>
      </c>
      <c r="M43" s="37">
        <v>10</v>
      </c>
      <c r="N43" s="37">
        <v>10</v>
      </c>
      <c r="O43" s="38">
        <v>390</v>
      </c>
      <c r="P43" s="56">
        <v>0.17</v>
      </c>
      <c r="Q43" s="56">
        <v>0.17</v>
      </c>
      <c r="R43" s="62">
        <f t="shared" si="14"/>
        <v>-6.0684646694511922E-2</v>
      </c>
      <c r="S43" s="62">
        <f t="shared" si="15"/>
        <v>0</v>
      </c>
      <c r="T43" s="62">
        <f t="shared" si="16"/>
        <v>0</v>
      </c>
      <c r="U43" s="63">
        <f t="shared" si="17"/>
        <v>3.8000000000000256E-3</v>
      </c>
      <c r="V43" s="64">
        <f t="shared" si="18"/>
        <v>3.8000000000000256E-3</v>
      </c>
    </row>
    <row r="44" spans="1:22">
      <c r="A44" s="150">
        <v>36</v>
      </c>
      <c r="B44" s="134" t="s">
        <v>84</v>
      </c>
      <c r="C44" s="135" t="s">
        <v>85</v>
      </c>
      <c r="D44" s="50">
        <v>4459300204.5600004</v>
      </c>
      <c r="E44" s="36">
        <f t="shared" si="13"/>
        <v>2.9840982070742945E-3</v>
      </c>
      <c r="F44" s="37">
        <v>100</v>
      </c>
      <c r="G44" s="37">
        <v>100</v>
      </c>
      <c r="H44" s="38">
        <v>682</v>
      </c>
      <c r="I44" s="56">
        <v>0.1948</v>
      </c>
      <c r="J44" s="56">
        <v>0.1948</v>
      </c>
      <c r="K44" s="50">
        <v>4400097752.4899998</v>
      </c>
      <c r="L44" s="36">
        <f t="shared" si="12"/>
        <v>2.9444807956033568E-3</v>
      </c>
      <c r="M44" s="37">
        <v>100</v>
      </c>
      <c r="N44" s="37">
        <v>100</v>
      </c>
      <c r="O44" s="38">
        <v>682</v>
      </c>
      <c r="P44" s="56">
        <v>0.19209999999999999</v>
      </c>
      <c r="Q44" s="56">
        <v>0.19209999999999999</v>
      </c>
      <c r="R44" s="62">
        <f t="shared" si="14"/>
        <v>-1.327617548813181E-2</v>
      </c>
      <c r="S44" s="62">
        <f t="shared" si="15"/>
        <v>0</v>
      </c>
      <c r="T44" s="62">
        <f t="shared" si="16"/>
        <v>0</v>
      </c>
      <c r="U44" s="63">
        <f t="shared" si="17"/>
        <v>-2.7000000000000079E-3</v>
      </c>
      <c r="V44" s="64">
        <f t="shared" si="18"/>
        <v>-2.7000000000000079E-3</v>
      </c>
    </row>
    <row r="45" spans="1:22">
      <c r="A45" s="150">
        <v>37</v>
      </c>
      <c r="B45" s="134" t="s">
        <v>86</v>
      </c>
      <c r="C45" s="134" t="s">
        <v>87</v>
      </c>
      <c r="D45" s="39">
        <v>58968778.149999999</v>
      </c>
      <c r="E45" s="36">
        <f t="shared" ref="E45" si="19">(D45/$D$176)</f>
        <v>1.1389913185553848E-3</v>
      </c>
      <c r="F45" s="39">
        <v>1</v>
      </c>
      <c r="G45" s="39">
        <v>1</v>
      </c>
      <c r="H45" s="38">
        <v>33</v>
      </c>
      <c r="I45" s="56">
        <v>0.112</v>
      </c>
      <c r="J45" s="56">
        <v>0.112</v>
      </c>
      <c r="K45" s="39">
        <v>59670605.149999999</v>
      </c>
      <c r="L45" s="60">
        <f t="shared" ref="L45" si="20">(K45/$K$176)</f>
        <v>1.140709889302867E-3</v>
      </c>
      <c r="M45" s="39">
        <v>1</v>
      </c>
      <c r="N45" s="39">
        <v>1</v>
      </c>
      <c r="O45" s="38">
        <v>33</v>
      </c>
      <c r="P45" s="56">
        <v>0.17150000000000001</v>
      </c>
      <c r="Q45" s="56">
        <v>0.17150000000000001</v>
      </c>
      <c r="R45" s="63">
        <f t="shared" si="14"/>
        <v>1.1901671054040655E-2</v>
      </c>
      <c r="S45" s="63">
        <f t="shared" si="15"/>
        <v>0</v>
      </c>
      <c r="T45" s="63">
        <f t="shared" si="16"/>
        <v>0</v>
      </c>
      <c r="U45" s="63">
        <f t="shared" si="17"/>
        <v>5.9500000000000011E-2</v>
      </c>
      <c r="V45" s="64">
        <f t="shared" si="18"/>
        <v>5.9500000000000011E-2</v>
      </c>
    </row>
    <row r="46" spans="1:22">
      <c r="A46" s="150">
        <v>38</v>
      </c>
      <c r="B46" s="134" t="s">
        <v>88</v>
      </c>
      <c r="C46" s="135" t="s">
        <v>39</v>
      </c>
      <c r="D46" s="50">
        <v>38571436010.75</v>
      </c>
      <c r="E46" s="36">
        <f t="shared" si="13"/>
        <v>2.5811438513661803E-2</v>
      </c>
      <c r="F46" s="37">
        <v>100</v>
      </c>
      <c r="G46" s="37">
        <v>100</v>
      </c>
      <c r="H46" s="38">
        <v>12526</v>
      </c>
      <c r="I46" s="56">
        <v>0.20219999999999999</v>
      </c>
      <c r="J46" s="56">
        <v>0.20219999999999999</v>
      </c>
      <c r="K46" s="50">
        <v>38290939276.209999</v>
      </c>
      <c r="L46" s="36">
        <f t="shared" si="12"/>
        <v>2.5623734218316298E-2</v>
      </c>
      <c r="M46" s="37">
        <v>100</v>
      </c>
      <c r="N46" s="37">
        <v>100</v>
      </c>
      <c r="O46" s="38">
        <v>12570</v>
      </c>
      <c r="P46" s="56">
        <v>0.20180000000000001</v>
      </c>
      <c r="Q46" s="56">
        <v>0.20180000000000001</v>
      </c>
      <c r="R46" s="62">
        <f t="shared" si="14"/>
        <v>-7.272136159561844E-3</v>
      </c>
      <c r="S46" s="62">
        <f t="shared" si="15"/>
        <v>0</v>
      </c>
      <c r="T46" s="62">
        <f t="shared" si="16"/>
        <v>3.5126935973175794E-3</v>
      </c>
      <c r="U46" s="63">
        <f t="shared" si="17"/>
        <v>-3.999999999999837E-4</v>
      </c>
      <c r="V46" s="64">
        <f t="shared" si="18"/>
        <v>-3.999999999999837E-4</v>
      </c>
    </row>
    <row r="47" spans="1:22">
      <c r="A47" s="150">
        <v>39</v>
      </c>
      <c r="B47" s="134" t="s">
        <v>89</v>
      </c>
      <c r="C47" s="135" t="s">
        <v>43</v>
      </c>
      <c r="D47" s="50">
        <v>6546507505.6800003</v>
      </c>
      <c r="E47" s="36">
        <f t="shared" si="13"/>
        <v>4.3808266800072189E-3</v>
      </c>
      <c r="F47" s="37">
        <v>1</v>
      </c>
      <c r="G47" s="37">
        <v>1</v>
      </c>
      <c r="H47" s="38">
        <v>1095</v>
      </c>
      <c r="I47" s="56">
        <v>0.1948</v>
      </c>
      <c r="J47" s="56">
        <v>0.1948</v>
      </c>
      <c r="K47" s="50">
        <v>6720610850.8800001</v>
      </c>
      <c r="L47" s="36">
        <f t="shared" si="12"/>
        <v>4.4973340817124653E-3</v>
      </c>
      <c r="M47" s="37">
        <v>1</v>
      </c>
      <c r="N47" s="37">
        <v>1</v>
      </c>
      <c r="O47" s="38">
        <v>1100</v>
      </c>
      <c r="P47" s="56">
        <v>0.2019</v>
      </c>
      <c r="Q47" s="56">
        <v>0.2019</v>
      </c>
      <c r="R47" s="62">
        <f t="shared" si="14"/>
        <v>2.6594843899428983E-2</v>
      </c>
      <c r="S47" s="62">
        <f t="shared" si="15"/>
        <v>0</v>
      </c>
      <c r="T47" s="62">
        <f t="shared" si="16"/>
        <v>4.5662100456621002E-3</v>
      </c>
      <c r="U47" s="63">
        <f t="shared" si="17"/>
        <v>7.0999999999999952E-3</v>
      </c>
      <c r="V47" s="64">
        <f t="shared" si="18"/>
        <v>7.0999999999999952E-3</v>
      </c>
    </row>
    <row r="48" spans="1:22">
      <c r="A48" s="150">
        <v>40</v>
      </c>
      <c r="B48" s="134" t="s">
        <v>90</v>
      </c>
      <c r="C48" s="135" t="s">
        <v>45</v>
      </c>
      <c r="D48" s="53">
        <v>12486554671.25</v>
      </c>
      <c r="E48" s="36">
        <f t="shared" si="13"/>
        <v>8.3558190069620668E-3</v>
      </c>
      <c r="F48" s="37">
        <v>10</v>
      </c>
      <c r="G48" s="37">
        <v>10</v>
      </c>
      <c r="H48" s="38">
        <v>2789</v>
      </c>
      <c r="I48" s="56">
        <v>0.23400000000000001</v>
      </c>
      <c r="J48" s="56">
        <v>0.23400000000000001</v>
      </c>
      <c r="K48" s="53">
        <v>13716147889.629999</v>
      </c>
      <c r="L48" s="36">
        <f t="shared" si="12"/>
        <v>9.1786447307485881E-3</v>
      </c>
      <c r="M48" s="37">
        <v>10</v>
      </c>
      <c r="N48" s="37">
        <v>10</v>
      </c>
      <c r="O48" s="38">
        <v>2826</v>
      </c>
      <c r="P48" s="56">
        <v>0.2351</v>
      </c>
      <c r="Q48" s="56">
        <v>0.2351</v>
      </c>
      <c r="R48" s="62">
        <f t="shared" si="14"/>
        <v>9.8473378025654174E-2</v>
      </c>
      <c r="S48" s="62">
        <f t="shared" si="15"/>
        <v>0</v>
      </c>
      <c r="T48" s="62">
        <f t="shared" si="16"/>
        <v>1.3266403728935103E-2</v>
      </c>
      <c r="U48" s="63">
        <f t="shared" si="17"/>
        <v>1.0999999999999899E-3</v>
      </c>
      <c r="V48" s="64">
        <f t="shared" si="18"/>
        <v>1.0999999999999899E-3</v>
      </c>
    </row>
    <row r="49" spans="1:22">
      <c r="A49" s="150">
        <v>41</v>
      </c>
      <c r="B49" s="134" t="s">
        <v>91</v>
      </c>
      <c r="C49" s="135" t="s">
        <v>92</v>
      </c>
      <c r="D49" s="50">
        <v>9835574511.7800007</v>
      </c>
      <c r="E49" s="36">
        <f t="shared" si="13"/>
        <v>6.5818220168570888E-3</v>
      </c>
      <c r="F49" s="37">
        <v>100</v>
      </c>
      <c r="G49" s="37">
        <v>100</v>
      </c>
      <c r="H49" s="38">
        <v>2915</v>
      </c>
      <c r="I49" s="56">
        <v>0.21110000000000001</v>
      </c>
      <c r="J49" s="56">
        <v>0.21110000000000001</v>
      </c>
      <c r="K49" s="50">
        <v>9934816211.8099995</v>
      </c>
      <c r="L49" s="36">
        <f t="shared" si="12"/>
        <v>6.6482331050416628E-3</v>
      </c>
      <c r="M49" s="37">
        <v>100</v>
      </c>
      <c r="N49" s="37">
        <v>100</v>
      </c>
      <c r="O49" s="38">
        <v>2939</v>
      </c>
      <c r="P49" s="56">
        <v>0.21629999999999999</v>
      </c>
      <c r="Q49" s="56">
        <v>0.21629999999999999</v>
      </c>
      <c r="R49" s="62">
        <f t="shared" si="14"/>
        <v>1.0090076579780638E-2</v>
      </c>
      <c r="S49" s="62">
        <f t="shared" si="15"/>
        <v>0</v>
      </c>
      <c r="T49" s="62">
        <f t="shared" si="16"/>
        <v>8.2332761578044599E-3</v>
      </c>
      <c r="U49" s="63">
        <f t="shared" si="17"/>
        <v>5.1999999999999824E-3</v>
      </c>
      <c r="V49" s="64">
        <f t="shared" si="18"/>
        <v>5.1999999999999824E-3</v>
      </c>
    </row>
    <row r="50" spans="1:22">
      <c r="A50" s="150">
        <v>42</v>
      </c>
      <c r="B50" s="134" t="s">
        <v>93</v>
      </c>
      <c r="C50" s="135" t="s">
        <v>94</v>
      </c>
      <c r="D50" s="50">
        <v>189301561.22999999</v>
      </c>
      <c r="E50" s="36">
        <f t="shared" si="13"/>
        <v>1.266778246696997E-4</v>
      </c>
      <c r="F50" s="37">
        <v>1</v>
      </c>
      <c r="G50" s="37">
        <v>1</v>
      </c>
      <c r="H50" s="38">
        <v>82</v>
      </c>
      <c r="I50" s="56">
        <v>0.1663</v>
      </c>
      <c r="J50" s="56">
        <v>0.1663</v>
      </c>
      <c r="K50" s="50">
        <v>190051561.28</v>
      </c>
      <c r="L50" s="36">
        <f t="shared" si="12"/>
        <v>1.271797136885691E-4</v>
      </c>
      <c r="M50" s="37">
        <v>1</v>
      </c>
      <c r="N50" s="37">
        <v>1</v>
      </c>
      <c r="O50" s="38">
        <v>83</v>
      </c>
      <c r="P50" s="56">
        <v>0.1656</v>
      </c>
      <c r="Q50" s="56">
        <v>0.1656</v>
      </c>
      <c r="R50" s="62">
        <f t="shared" si="14"/>
        <v>3.9619327232529658E-3</v>
      </c>
      <c r="S50" s="62">
        <f t="shared" si="15"/>
        <v>0</v>
      </c>
      <c r="T50" s="62">
        <f t="shared" si="16"/>
        <v>1.2195121951219513E-2</v>
      </c>
      <c r="U50" s="63">
        <f t="shared" si="17"/>
        <v>-7.0000000000000617E-4</v>
      </c>
      <c r="V50" s="64">
        <f t="shared" si="18"/>
        <v>-7.0000000000000617E-4</v>
      </c>
    </row>
    <row r="51" spans="1:22">
      <c r="A51" s="150">
        <v>43</v>
      </c>
      <c r="B51" s="134" t="s">
        <v>95</v>
      </c>
      <c r="C51" s="135" t="s">
        <v>47</v>
      </c>
      <c r="D51" s="53">
        <v>827607517.07000005</v>
      </c>
      <c r="E51" s="36">
        <f t="shared" si="13"/>
        <v>5.5382279608005836E-4</v>
      </c>
      <c r="F51" s="37">
        <v>10</v>
      </c>
      <c r="G51" s="37">
        <v>10</v>
      </c>
      <c r="H51" s="38">
        <v>731</v>
      </c>
      <c r="I51" s="56">
        <v>0.16400000000000001</v>
      </c>
      <c r="J51" s="56">
        <v>0.16400000000000001</v>
      </c>
      <c r="K51" s="53">
        <v>806153820.71000004</v>
      </c>
      <c r="L51" s="36">
        <f t="shared" si="12"/>
        <v>5.3946629754750232E-4</v>
      </c>
      <c r="M51" s="37">
        <v>10</v>
      </c>
      <c r="N51" s="37">
        <v>10</v>
      </c>
      <c r="O51" s="38">
        <v>734</v>
      </c>
      <c r="P51" s="56">
        <v>0.16400000000000001</v>
      </c>
      <c r="Q51" s="56">
        <v>0.16400000000000001</v>
      </c>
      <c r="R51" s="62">
        <f t="shared" si="14"/>
        <v>-2.5922548934733076E-2</v>
      </c>
      <c r="S51" s="62">
        <f t="shared" si="15"/>
        <v>0</v>
      </c>
      <c r="T51" s="62">
        <f t="shared" si="16"/>
        <v>4.1039671682626538E-3</v>
      </c>
      <c r="U51" s="63">
        <f t="shared" si="17"/>
        <v>0</v>
      </c>
      <c r="V51" s="64">
        <f t="shared" si="18"/>
        <v>0</v>
      </c>
    </row>
    <row r="52" spans="1:22">
      <c r="A52" s="150">
        <v>44</v>
      </c>
      <c r="B52" s="134" t="s">
        <v>96</v>
      </c>
      <c r="C52" s="135" t="s">
        <v>97</v>
      </c>
      <c r="D52" s="53">
        <v>719267153.37</v>
      </c>
      <c r="E52" s="36">
        <f t="shared" si="13"/>
        <v>4.8132301579158438E-4</v>
      </c>
      <c r="F52" s="37">
        <v>1</v>
      </c>
      <c r="G52" s="37">
        <v>1</v>
      </c>
      <c r="H52" s="38">
        <v>61</v>
      </c>
      <c r="I52" s="56">
        <v>0.21460000000000001</v>
      </c>
      <c r="J52" s="56">
        <v>0.21460000000000001</v>
      </c>
      <c r="K52" s="53">
        <v>720267153.37</v>
      </c>
      <c r="L52" s="36">
        <f t="shared" si="12"/>
        <v>4.8199220110546452E-4</v>
      </c>
      <c r="M52" s="37">
        <v>1</v>
      </c>
      <c r="N52" s="37">
        <v>1</v>
      </c>
      <c r="O52" s="38">
        <v>61</v>
      </c>
      <c r="P52" s="56">
        <v>0.2145</v>
      </c>
      <c r="Q52" s="56">
        <v>0.2145</v>
      </c>
      <c r="R52" s="62">
        <f t="shared" si="14"/>
        <v>1.3903039994453738E-3</v>
      </c>
      <c r="S52" s="62">
        <f t="shared" si="15"/>
        <v>0</v>
      </c>
      <c r="T52" s="62">
        <f t="shared" si="16"/>
        <v>0</v>
      </c>
      <c r="U52" s="63">
        <f t="shared" si="17"/>
        <v>-1.0000000000001674E-4</v>
      </c>
      <c r="V52" s="64">
        <f t="shared" si="18"/>
        <v>-1.0000000000001674E-4</v>
      </c>
    </row>
    <row r="53" spans="1:22">
      <c r="A53" s="150">
        <v>45</v>
      </c>
      <c r="B53" s="134" t="s">
        <v>98</v>
      </c>
      <c r="C53" s="135" t="s">
        <v>99</v>
      </c>
      <c r="D53" s="53">
        <v>4551698769.3975</v>
      </c>
      <c r="E53" s="36">
        <f t="shared" si="13"/>
        <v>3.0459299696871519E-3</v>
      </c>
      <c r="F53" s="37">
        <v>100</v>
      </c>
      <c r="G53" s="37">
        <v>100</v>
      </c>
      <c r="H53" s="38">
        <v>69</v>
      </c>
      <c r="I53" s="56">
        <v>0.19020000000000001</v>
      </c>
      <c r="J53" s="56">
        <v>0.19020000000000001</v>
      </c>
      <c r="K53" s="53">
        <v>4992068969.3973999</v>
      </c>
      <c r="L53" s="36">
        <f t="shared" si="12"/>
        <v>3.3406192401975489E-3</v>
      </c>
      <c r="M53" s="37">
        <v>100</v>
      </c>
      <c r="N53" s="37">
        <v>100</v>
      </c>
      <c r="O53" s="38">
        <v>72</v>
      </c>
      <c r="P53" s="56">
        <v>0.2268</v>
      </c>
      <c r="Q53" s="56">
        <v>0.2268</v>
      </c>
      <c r="R53" s="62">
        <f t="shared" si="14"/>
        <v>9.6748537702153525E-2</v>
      </c>
      <c r="S53" s="62">
        <f t="shared" si="15"/>
        <v>0</v>
      </c>
      <c r="T53" s="62">
        <f t="shared" si="16"/>
        <v>4.3478260869565216E-2</v>
      </c>
      <c r="U53" s="63">
        <f t="shared" si="17"/>
        <v>3.6599999999999994E-2</v>
      </c>
      <c r="V53" s="64">
        <f t="shared" si="18"/>
        <v>3.6599999999999994E-2</v>
      </c>
    </row>
    <row r="54" spans="1:22">
      <c r="A54" s="150">
        <v>46</v>
      </c>
      <c r="B54" s="134" t="s">
        <v>100</v>
      </c>
      <c r="C54" s="135" t="s">
        <v>101</v>
      </c>
      <c r="D54" s="53">
        <v>56243578.07</v>
      </c>
      <c r="E54" s="36">
        <f t="shared" si="13"/>
        <v>3.7637376444515587E-5</v>
      </c>
      <c r="F54" s="37">
        <v>1000</v>
      </c>
      <c r="G54" s="37">
        <v>1000</v>
      </c>
      <c r="H54" s="38">
        <v>18</v>
      </c>
      <c r="I54" s="56">
        <v>0.1993</v>
      </c>
      <c r="J54" s="56">
        <v>0.19900000000000001</v>
      </c>
      <c r="K54" s="53">
        <v>56243578.07</v>
      </c>
      <c r="L54" s="36">
        <f t="shared" si="12"/>
        <v>3.7637376444515587E-5</v>
      </c>
      <c r="M54" s="37">
        <v>1000</v>
      </c>
      <c r="N54" s="37">
        <v>1000</v>
      </c>
      <c r="O54" s="38">
        <v>19</v>
      </c>
      <c r="P54" s="56">
        <v>0.19839999999999999</v>
      </c>
      <c r="Q54" s="56">
        <v>0.19839999999999999</v>
      </c>
      <c r="R54" s="62">
        <f t="shared" si="14"/>
        <v>0</v>
      </c>
      <c r="S54" s="62">
        <f t="shared" si="15"/>
        <v>0</v>
      </c>
      <c r="T54" s="62">
        <f t="shared" si="16"/>
        <v>5.5555555555555552E-2</v>
      </c>
      <c r="U54" s="63">
        <f t="shared" si="17"/>
        <v>-9.000000000000119E-4</v>
      </c>
      <c r="V54" s="64">
        <f t="shared" si="18"/>
        <v>-6.0000000000001719E-4</v>
      </c>
    </row>
    <row r="55" spans="1:22">
      <c r="A55" s="150">
        <v>47</v>
      </c>
      <c r="B55" s="134" t="s">
        <v>102</v>
      </c>
      <c r="C55" s="135" t="s">
        <v>51</v>
      </c>
      <c r="D55" s="50">
        <v>667748821640.89001</v>
      </c>
      <c r="E55" s="36">
        <f t="shared" si="13"/>
        <v>0.44684770480285829</v>
      </c>
      <c r="F55" s="37">
        <v>100</v>
      </c>
      <c r="G55" s="37">
        <v>100</v>
      </c>
      <c r="H55" s="38">
        <v>138479</v>
      </c>
      <c r="I55" s="56">
        <v>0.2056</v>
      </c>
      <c r="J55" s="56">
        <v>0.2056</v>
      </c>
      <c r="K55" s="50">
        <v>682336997241.07996</v>
      </c>
      <c r="L55" s="36">
        <f t="shared" si="12"/>
        <v>0.45660989767081012</v>
      </c>
      <c r="M55" s="37">
        <v>100</v>
      </c>
      <c r="N55" s="37">
        <v>100</v>
      </c>
      <c r="O55" s="38">
        <v>139405</v>
      </c>
      <c r="P55" s="56">
        <v>0.20660000000000001</v>
      </c>
      <c r="Q55" s="56">
        <v>0.20660000000000001</v>
      </c>
      <c r="R55" s="62">
        <f t="shared" si="14"/>
        <v>2.1846800963784174E-2</v>
      </c>
      <c r="S55" s="62">
        <f t="shared" si="15"/>
        <v>0</v>
      </c>
      <c r="T55" s="62">
        <f t="shared" si="16"/>
        <v>6.6869344810404465E-3</v>
      </c>
      <c r="U55" s="63">
        <f t="shared" si="17"/>
        <v>1.0000000000000009E-3</v>
      </c>
      <c r="V55" s="64">
        <f t="shared" si="18"/>
        <v>1.0000000000000009E-3</v>
      </c>
    </row>
    <row r="56" spans="1:22">
      <c r="A56" s="150">
        <v>48</v>
      </c>
      <c r="B56" s="134" t="s">
        <v>103</v>
      </c>
      <c r="C56" s="134" t="s">
        <v>104</v>
      </c>
      <c r="D56" s="50">
        <v>1619413480.47</v>
      </c>
      <c r="E56" s="36">
        <f t="shared" si="13"/>
        <v>1.0836877182300608E-3</v>
      </c>
      <c r="F56" s="37">
        <v>100</v>
      </c>
      <c r="G56" s="37">
        <v>100</v>
      </c>
      <c r="H56" s="38">
        <v>235</v>
      </c>
      <c r="I56" s="56">
        <v>0.21129999999999999</v>
      </c>
      <c r="J56" s="56">
        <v>0.21129999999999999</v>
      </c>
      <c r="K56" s="50">
        <v>1646593451.5699999</v>
      </c>
      <c r="L56" s="36">
        <f t="shared" si="12"/>
        <v>1.1018761557218676E-3</v>
      </c>
      <c r="M56" s="37">
        <v>100</v>
      </c>
      <c r="N56" s="37">
        <v>100</v>
      </c>
      <c r="O56" s="38">
        <v>235</v>
      </c>
      <c r="P56" s="56">
        <v>0.2102</v>
      </c>
      <c r="Q56" s="56">
        <v>0.2102</v>
      </c>
      <c r="R56" s="62">
        <f t="shared" si="14"/>
        <v>1.6783836511050594E-2</v>
      </c>
      <c r="S56" s="62">
        <f t="shared" si="15"/>
        <v>0</v>
      </c>
      <c r="T56" s="62">
        <f t="shared" si="16"/>
        <v>0</v>
      </c>
      <c r="U56" s="63">
        <f t="shared" si="17"/>
        <v>-1.0999999999999899E-3</v>
      </c>
      <c r="V56" s="64">
        <f t="shared" si="18"/>
        <v>-1.0999999999999899E-3</v>
      </c>
    </row>
    <row r="57" spans="1:22">
      <c r="A57" s="150">
        <v>49</v>
      </c>
      <c r="B57" s="134" t="s">
        <v>105</v>
      </c>
      <c r="C57" s="135" t="s">
        <v>106</v>
      </c>
      <c r="D57" s="50">
        <v>4142285965.3000002</v>
      </c>
      <c r="E57" s="36">
        <f t="shared" si="13"/>
        <v>2.7719569338706149E-3</v>
      </c>
      <c r="F57" s="37">
        <v>1</v>
      </c>
      <c r="G57" s="37">
        <v>1</v>
      </c>
      <c r="H57" s="38">
        <v>394</v>
      </c>
      <c r="I57" s="56">
        <v>0.19262646950000001</v>
      </c>
      <c r="J57" s="56">
        <v>0.19262646950000001</v>
      </c>
      <c r="K57" s="50">
        <v>4188425940.21</v>
      </c>
      <c r="L57" s="36">
        <f t="shared" si="12"/>
        <v>2.8028331274631852E-3</v>
      </c>
      <c r="M57" s="37">
        <v>1</v>
      </c>
      <c r="N57" s="37">
        <v>1</v>
      </c>
      <c r="O57" s="38">
        <v>392</v>
      </c>
      <c r="P57" s="56">
        <v>0.20160277230000001</v>
      </c>
      <c r="Q57" s="56">
        <v>0.20160277230000001</v>
      </c>
      <c r="R57" s="62">
        <f t="shared" si="14"/>
        <v>1.1138771030420208E-2</v>
      </c>
      <c r="S57" s="62">
        <f t="shared" si="15"/>
        <v>0</v>
      </c>
      <c r="T57" s="62">
        <f t="shared" si="16"/>
        <v>-5.076142131979695E-3</v>
      </c>
      <c r="U57" s="63">
        <f t="shared" si="17"/>
        <v>8.9763028000000022E-3</v>
      </c>
      <c r="V57" s="64">
        <f t="shared" si="18"/>
        <v>8.9763028000000022E-3</v>
      </c>
    </row>
    <row r="58" spans="1:22">
      <c r="A58" s="150">
        <v>50</v>
      </c>
      <c r="B58" s="134" t="s">
        <v>107</v>
      </c>
      <c r="C58" s="135" t="s">
        <v>54</v>
      </c>
      <c r="D58" s="50">
        <v>61525398954.309998</v>
      </c>
      <c r="E58" s="36">
        <f t="shared" si="13"/>
        <v>4.11718934108413E-2</v>
      </c>
      <c r="F58" s="37">
        <v>1</v>
      </c>
      <c r="G58" s="37">
        <v>1</v>
      </c>
      <c r="H58" s="38">
        <v>34918</v>
      </c>
      <c r="I58" s="56">
        <v>0.20649999999999999</v>
      </c>
      <c r="J58" s="56">
        <v>0.20649999999999999</v>
      </c>
      <c r="K58" s="50">
        <v>65040908082.980003</v>
      </c>
      <c r="L58" s="36">
        <f t="shared" si="12"/>
        <v>4.3524420490558866E-2</v>
      </c>
      <c r="M58" s="37">
        <v>1</v>
      </c>
      <c r="N58" s="37">
        <v>1</v>
      </c>
      <c r="O58" s="38">
        <v>35367</v>
      </c>
      <c r="P58" s="56">
        <v>0.19980000000000001</v>
      </c>
      <c r="Q58" s="56">
        <v>0.19980000000000001</v>
      </c>
      <c r="R58" s="62">
        <f t="shared" si="14"/>
        <v>5.713915209685505E-2</v>
      </c>
      <c r="S58" s="62">
        <f t="shared" si="15"/>
        <v>0</v>
      </c>
      <c r="T58" s="62">
        <f t="shared" si="16"/>
        <v>1.2858697519903775E-2</v>
      </c>
      <c r="U58" s="63">
        <f t="shared" si="17"/>
        <v>-6.6999999999999837E-3</v>
      </c>
      <c r="V58" s="64">
        <f t="shared" si="18"/>
        <v>-6.6999999999999837E-3</v>
      </c>
    </row>
    <row r="59" spans="1:22">
      <c r="A59" s="150">
        <v>51</v>
      </c>
      <c r="B59" s="134" t="s">
        <v>108</v>
      </c>
      <c r="C59" s="135" t="s">
        <v>109</v>
      </c>
      <c r="D59" s="50">
        <v>1117836844.76</v>
      </c>
      <c r="E59" s="36">
        <f t="shared" si="13"/>
        <v>7.4803999982751552E-4</v>
      </c>
      <c r="F59" s="37">
        <v>1</v>
      </c>
      <c r="G59" s="37">
        <v>1</v>
      </c>
      <c r="H59" s="38">
        <v>127</v>
      </c>
      <c r="I59" s="56">
        <v>0.21199999999999999</v>
      </c>
      <c r="J59" s="56">
        <v>0.21199999999999999</v>
      </c>
      <c r="K59" s="50">
        <v>1133250626.0699999</v>
      </c>
      <c r="L59" s="36">
        <f t="shared" si="12"/>
        <v>7.5835467591152774E-4</v>
      </c>
      <c r="M59" s="37">
        <v>1</v>
      </c>
      <c r="N59" s="37">
        <v>1</v>
      </c>
      <c r="O59" s="38">
        <v>127</v>
      </c>
      <c r="P59" s="56">
        <v>0.21</v>
      </c>
      <c r="Q59" s="56">
        <v>0.21</v>
      </c>
      <c r="R59" s="62">
        <f t="shared" si="14"/>
        <v>1.3788936536001627E-2</v>
      </c>
      <c r="S59" s="62">
        <f t="shared" si="15"/>
        <v>0</v>
      </c>
      <c r="T59" s="62">
        <f t="shared" si="16"/>
        <v>0</v>
      </c>
      <c r="U59" s="63">
        <f t="shared" si="17"/>
        <v>-2.0000000000000018E-3</v>
      </c>
      <c r="V59" s="64">
        <f t="shared" si="18"/>
        <v>-2.0000000000000018E-3</v>
      </c>
    </row>
    <row r="60" spans="1:22">
      <c r="A60" s="150">
        <v>52</v>
      </c>
      <c r="B60" s="134" t="s">
        <v>110</v>
      </c>
      <c r="C60" s="135" t="s">
        <v>111</v>
      </c>
      <c r="D60" s="50">
        <v>2738642986.6100001</v>
      </c>
      <c r="E60" s="36">
        <f t="shared" si="13"/>
        <v>1.8326596666002803E-3</v>
      </c>
      <c r="F60" s="37">
        <v>1</v>
      </c>
      <c r="G60" s="37">
        <v>1</v>
      </c>
      <c r="H60" s="38">
        <v>296</v>
      </c>
      <c r="I60" s="56">
        <v>0.2029</v>
      </c>
      <c r="J60" s="56">
        <v>0.2029</v>
      </c>
      <c r="K60" s="50">
        <v>2711654220.2199998</v>
      </c>
      <c r="L60" s="36">
        <f t="shared" si="12"/>
        <v>1.8145991804923501E-3</v>
      </c>
      <c r="M60" s="37">
        <v>1</v>
      </c>
      <c r="N60" s="37">
        <v>1</v>
      </c>
      <c r="O60" s="38">
        <v>296</v>
      </c>
      <c r="P60" s="56">
        <v>0.20280000000000001</v>
      </c>
      <c r="Q60" s="56">
        <v>0.20280000000000001</v>
      </c>
      <c r="R60" s="62">
        <f t="shared" si="14"/>
        <v>-9.8547954304215816E-3</v>
      </c>
      <c r="S60" s="62">
        <f t="shared" si="15"/>
        <v>0</v>
      </c>
      <c r="T60" s="62">
        <f t="shared" si="16"/>
        <v>0</v>
      </c>
      <c r="U60" s="63">
        <f t="shared" si="17"/>
        <v>-9.9999999999988987E-5</v>
      </c>
      <c r="V60" s="64">
        <f t="shared" si="18"/>
        <v>-9.9999999999988987E-5</v>
      </c>
    </row>
    <row r="61" spans="1:22">
      <c r="A61" s="150">
        <v>53</v>
      </c>
      <c r="B61" s="134" t="s">
        <v>112</v>
      </c>
      <c r="C61" s="135" t="s">
        <v>113</v>
      </c>
      <c r="D61" s="50">
        <v>2684196646.8699999</v>
      </c>
      <c r="E61" s="36">
        <f t="shared" si="13"/>
        <v>1.7962249756517431E-3</v>
      </c>
      <c r="F61" s="37">
        <v>1</v>
      </c>
      <c r="G61" s="37">
        <v>1</v>
      </c>
      <c r="H61" s="38">
        <v>1387</v>
      </c>
      <c r="I61" s="56">
        <v>0.22919999999999999</v>
      </c>
      <c r="J61" s="56">
        <v>0.22919999999999999</v>
      </c>
      <c r="K61" s="50">
        <v>2712829861.2199998</v>
      </c>
      <c r="L61" s="36">
        <f t="shared" si="12"/>
        <v>1.8153859021839455E-3</v>
      </c>
      <c r="M61" s="37">
        <v>1</v>
      </c>
      <c r="N61" s="37">
        <v>1</v>
      </c>
      <c r="O61" s="38">
        <v>1431</v>
      </c>
      <c r="P61" s="56">
        <v>0.2271</v>
      </c>
      <c r="Q61" s="56">
        <v>0.2271</v>
      </c>
      <c r="R61" s="62">
        <f t="shared" si="14"/>
        <v>1.0667331092671118E-2</v>
      </c>
      <c r="S61" s="62">
        <f t="shared" si="15"/>
        <v>0</v>
      </c>
      <c r="T61" s="62">
        <f t="shared" si="16"/>
        <v>3.172314347512617E-2</v>
      </c>
      <c r="U61" s="63">
        <f t="shared" si="17"/>
        <v>-2.0999999999999908E-3</v>
      </c>
      <c r="V61" s="64">
        <f t="shared" si="18"/>
        <v>-2.0999999999999908E-3</v>
      </c>
    </row>
    <row r="62" spans="1:22">
      <c r="A62" s="150">
        <v>54</v>
      </c>
      <c r="B62" s="134" t="s">
        <v>114</v>
      </c>
      <c r="C62" s="135" t="s">
        <v>115</v>
      </c>
      <c r="D62" s="50">
        <v>39784631594.599998</v>
      </c>
      <c r="E62" s="36">
        <f t="shared" si="13"/>
        <v>2.6623291181238476E-2</v>
      </c>
      <c r="F62" s="37">
        <v>1</v>
      </c>
      <c r="G62" s="37">
        <v>1</v>
      </c>
      <c r="H62" s="38">
        <v>4039</v>
      </c>
      <c r="I62" s="56">
        <v>0.20979999999999999</v>
      </c>
      <c r="J62" s="56">
        <v>0.20979999999999999</v>
      </c>
      <c r="K62" s="50">
        <v>39784631594.599998</v>
      </c>
      <c r="L62" s="36">
        <f t="shared" si="12"/>
        <v>2.6623291181238476E-2</v>
      </c>
      <c r="M62" s="37">
        <v>1</v>
      </c>
      <c r="N62" s="37">
        <v>1</v>
      </c>
      <c r="O62" s="38">
        <v>4075</v>
      </c>
      <c r="P62" s="56">
        <v>0.21210000000000001</v>
      </c>
      <c r="Q62" s="56">
        <v>0.21210000000000001</v>
      </c>
      <c r="R62" s="62">
        <f t="shared" si="14"/>
        <v>0</v>
      </c>
      <c r="S62" s="62">
        <f t="shared" si="15"/>
        <v>0</v>
      </c>
      <c r="T62" s="62">
        <f t="shared" si="16"/>
        <v>8.9130973013122061E-3</v>
      </c>
      <c r="U62" s="63">
        <f t="shared" si="17"/>
        <v>2.3000000000000242E-3</v>
      </c>
      <c r="V62" s="64">
        <f t="shared" si="18"/>
        <v>2.3000000000000242E-3</v>
      </c>
    </row>
    <row r="63" spans="1:22">
      <c r="A63" s="42"/>
      <c r="B63" s="43"/>
      <c r="C63" s="44" t="s">
        <v>55</v>
      </c>
      <c r="D63" s="54">
        <f>SUM(D27:D62)</f>
        <v>1470975929116.3179</v>
      </c>
      <c r="E63" s="46">
        <f>(D63/$D$206)</f>
        <v>0.40302300200359775</v>
      </c>
      <c r="F63" s="47"/>
      <c r="G63" s="51"/>
      <c r="H63" s="49">
        <f>SUM(H27:H62)</f>
        <v>332585</v>
      </c>
      <c r="I63" s="61"/>
      <c r="J63" s="61"/>
      <c r="K63" s="54">
        <f>SUM(K27:K62)</f>
        <v>1494354372784.5476</v>
      </c>
      <c r="L63" s="46">
        <f>(K63/$K$206)</f>
        <v>0.40595397642380748</v>
      </c>
      <c r="M63" s="47"/>
      <c r="N63" s="51"/>
      <c r="O63" s="49">
        <f>SUM(O27:O62)</f>
        <v>334515</v>
      </c>
      <c r="P63" s="61"/>
      <c r="Q63" s="61"/>
      <c r="R63" s="62">
        <f t="shared" si="14"/>
        <v>1.5893151754205952E-2</v>
      </c>
      <c r="S63" s="62" t="e">
        <f t="shared" si="15"/>
        <v>#DIV/0!</v>
      </c>
      <c r="T63" s="62">
        <f t="shared" si="16"/>
        <v>5.8030277974051745E-3</v>
      </c>
      <c r="U63" s="63">
        <f t="shared" si="17"/>
        <v>0</v>
      </c>
      <c r="V63" s="64">
        <f t="shared" si="18"/>
        <v>0</v>
      </c>
    </row>
    <row r="64" spans="1:22" ht="3" customHeight="1">
      <c r="A64" s="42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</row>
    <row r="65" spans="1:22" ht="15" customHeight="1">
      <c r="A65" s="145" t="s">
        <v>116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</row>
    <row r="66" spans="1:22">
      <c r="A66" s="150">
        <v>55</v>
      </c>
      <c r="B66" s="134" t="s">
        <v>117</v>
      </c>
      <c r="C66" s="135" t="s">
        <v>24</v>
      </c>
      <c r="D66" s="35">
        <v>474396924.20999998</v>
      </c>
      <c r="E66" s="36">
        <f>(D66/$D$102)</f>
        <v>2.1801705486145608E-3</v>
      </c>
      <c r="F66" s="66">
        <v>1.2373000000000001</v>
      </c>
      <c r="G66" s="66">
        <v>1.2373000000000001</v>
      </c>
      <c r="H66" s="38">
        <v>463</v>
      </c>
      <c r="I66" s="56">
        <v>4.0400000000000001E-4</v>
      </c>
      <c r="J66" s="56">
        <v>-3.3399999999999999E-2</v>
      </c>
      <c r="K66" s="35">
        <v>489698198.02999997</v>
      </c>
      <c r="L66" s="36">
        <f t="shared" ref="L66:L87" si="21">(K66/$K$102)</f>
        <v>2.2536034418233946E-3</v>
      </c>
      <c r="M66" s="66">
        <v>1.2771999999999999</v>
      </c>
      <c r="N66" s="66">
        <v>1.2771999999999999</v>
      </c>
      <c r="O66" s="38">
        <v>463</v>
      </c>
      <c r="P66" s="56">
        <v>4.6999999999999999E-4</v>
      </c>
      <c r="Q66" s="56">
        <v>-2.3E-3</v>
      </c>
      <c r="R66" s="62">
        <f>((K66-D66)/D66)</f>
        <v>3.225415899456089E-2</v>
      </c>
      <c r="S66" s="62">
        <f>((N66-G66)/G66)</f>
        <v>3.2247635981572639E-2</v>
      </c>
      <c r="T66" s="62">
        <f>((O66-H66)/H66)</f>
        <v>0</v>
      </c>
      <c r="U66" s="63">
        <f>P66-I66</f>
        <v>6.5999999999999978E-5</v>
      </c>
      <c r="V66" s="64">
        <f>Q66-J66</f>
        <v>3.1099999999999999E-2</v>
      </c>
    </row>
    <row r="67" spans="1:22">
      <c r="A67" s="150">
        <v>56</v>
      </c>
      <c r="B67" s="134" t="s">
        <v>118</v>
      </c>
      <c r="C67" s="135" t="s">
        <v>296</v>
      </c>
      <c r="D67" s="35">
        <v>1423592990.4000001</v>
      </c>
      <c r="E67" s="36">
        <f>(D67/$D$102)</f>
        <v>6.5423601049957817E-3</v>
      </c>
      <c r="F67" s="66">
        <v>1.1980999999999999</v>
      </c>
      <c r="G67" s="66">
        <v>1.1980999999999999</v>
      </c>
      <c r="H67" s="38">
        <v>750</v>
      </c>
      <c r="I67" s="56">
        <v>8.2900000000000001E-2</v>
      </c>
      <c r="J67" s="56">
        <v>4.2999999999999997E-2</v>
      </c>
      <c r="K67" s="35">
        <v>1425145740.52</v>
      </c>
      <c r="L67" s="36">
        <f t="shared" si="21"/>
        <v>6.5585565943599121E-3</v>
      </c>
      <c r="M67" s="66">
        <v>1.2025999999999999</v>
      </c>
      <c r="N67" s="66">
        <v>1.2025999999999999</v>
      </c>
      <c r="O67" s="38">
        <v>751</v>
      </c>
      <c r="P67" s="56">
        <v>0.1133</v>
      </c>
      <c r="Q67" s="56">
        <v>4.4699999999999997E-2</v>
      </c>
      <c r="R67" s="62">
        <f t="shared" ref="R67:R102" si="22">((K67-D67)/D67)</f>
        <v>1.0907261629348112E-3</v>
      </c>
      <c r="S67" s="62">
        <f t="shared" ref="S67:S102" si="23">((N67-G67)/G67)</f>
        <v>3.755946915950212E-3</v>
      </c>
      <c r="T67" s="62">
        <f t="shared" ref="T67:T102" si="24">((O67-H67)/H67)</f>
        <v>1.3333333333333333E-3</v>
      </c>
      <c r="U67" s="63">
        <f t="shared" ref="U67:U102" si="25">P67-I67</f>
        <v>3.0399999999999996E-2</v>
      </c>
      <c r="V67" s="64">
        <f t="shared" ref="V67:V102" si="26">Q67-J67</f>
        <v>1.7000000000000001E-3</v>
      </c>
    </row>
    <row r="68" spans="1:22">
      <c r="A68" s="150">
        <v>57</v>
      </c>
      <c r="B68" s="134" t="s">
        <v>119</v>
      </c>
      <c r="C68" s="135" t="s">
        <v>296</v>
      </c>
      <c r="D68" s="35">
        <v>830941595.37</v>
      </c>
      <c r="E68" s="36">
        <f>(D68/$D$102)</f>
        <v>3.8187313226393047E-3</v>
      </c>
      <c r="F68" s="66">
        <v>1.0918000000000001</v>
      </c>
      <c r="G68" s="66">
        <v>1.0918000000000001</v>
      </c>
      <c r="H68" s="38">
        <v>188</v>
      </c>
      <c r="I68" s="56">
        <v>0.1152</v>
      </c>
      <c r="J68" s="56">
        <v>2.53E-2</v>
      </c>
      <c r="K68" s="35">
        <v>832693013.97000003</v>
      </c>
      <c r="L68" s="36">
        <f t="shared" si="21"/>
        <v>3.8320742241124725E-3</v>
      </c>
      <c r="M68" s="66">
        <v>1.0941000000000001</v>
      </c>
      <c r="N68" s="66">
        <v>1.0941000000000001</v>
      </c>
      <c r="O68" s="38">
        <v>189</v>
      </c>
      <c r="P68" s="56">
        <v>0.1101</v>
      </c>
      <c r="Q68" s="56">
        <v>2.7300000000000001E-2</v>
      </c>
      <c r="R68" s="62">
        <f t="shared" si="22"/>
        <v>2.1077517478471585E-3</v>
      </c>
      <c r="S68" s="62">
        <f t="shared" si="23"/>
        <v>2.1066129327715409E-3</v>
      </c>
      <c r="T68" s="62">
        <f t="shared" si="24"/>
        <v>5.3191489361702126E-3</v>
      </c>
      <c r="U68" s="63">
        <f t="shared" si="25"/>
        <v>-5.0999999999999934E-3</v>
      </c>
      <c r="V68" s="64">
        <f t="shared" si="26"/>
        <v>2.0000000000000018E-3</v>
      </c>
    </row>
    <row r="69" spans="1:22">
      <c r="A69" s="150">
        <v>58</v>
      </c>
      <c r="B69" s="134" t="s">
        <v>120</v>
      </c>
      <c r="C69" s="135" t="s">
        <v>121</v>
      </c>
      <c r="D69" s="35">
        <v>267231121.63</v>
      </c>
      <c r="E69" s="36">
        <f>(D69/$D$102)</f>
        <v>1.2281053930127495E-3</v>
      </c>
      <c r="F69" s="41">
        <v>1079.2</v>
      </c>
      <c r="G69" s="41">
        <v>1079.2</v>
      </c>
      <c r="H69" s="38">
        <v>110</v>
      </c>
      <c r="I69" s="56">
        <v>-1.3315999999999999</v>
      </c>
      <c r="J69" s="56">
        <v>4.4325000000000001</v>
      </c>
      <c r="K69" s="35">
        <v>268455624.49000001</v>
      </c>
      <c r="L69" s="36">
        <f t="shared" si="21"/>
        <v>1.2354395457474189E-3</v>
      </c>
      <c r="M69" s="41">
        <v>1083.97</v>
      </c>
      <c r="N69" s="41">
        <v>1083.97</v>
      </c>
      <c r="O69" s="38">
        <v>110</v>
      </c>
      <c r="P69" s="56">
        <v>4.4200000000000003E-3</v>
      </c>
      <c r="Q69" s="56">
        <v>4.8917000000000002E-2</v>
      </c>
      <c r="R69" s="62">
        <f t="shared" si="22"/>
        <v>4.5821865826519391E-3</v>
      </c>
      <c r="S69" s="62">
        <f t="shared" si="23"/>
        <v>4.4199406968124366E-3</v>
      </c>
      <c r="T69" s="62">
        <f t="shared" si="24"/>
        <v>0</v>
      </c>
      <c r="U69" s="63">
        <f t="shared" si="25"/>
        <v>1.33602</v>
      </c>
      <c r="V69" s="64">
        <f t="shared" si="26"/>
        <v>-4.3835829999999998</v>
      </c>
    </row>
    <row r="70" spans="1:22" ht="15" customHeight="1">
      <c r="A70" s="150">
        <v>59</v>
      </c>
      <c r="B70" s="134" t="s">
        <v>122</v>
      </c>
      <c r="C70" s="135" t="s">
        <v>29</v>
      </c>
      <c r="D70" s="35">
        <v>1290316527.01</v>
      </c>
      <c r="E70" s="36">
        <f>(D70/$K$102)</f>
        <v>5.938069157716613E-3</v>
      </c>
      <c r="F70" s="41">
        <v>1.0714999999999999</v>
      </c>
      <c r="G70" s="41">
        <v>1.0714999999999999</v>
      </c>
      <c r="H70" s="38">
        <v>888</v>
      </c>
      <c r="I70" s="56">
        <v>3.3999999999999998E-3</v>
      </c>
      <c r="J70" s="56">
        <v>3.3999999999999998E-3</v>
      </c>
      <c r="K70" s="35">
        <v>1302450656.7</v>
      </c>
      <c r="L70" s="36">
        <f t="shared" si="21"/>
        <v>5.9939107281837363E-3</v>
      </c>
      <c r="M70" s="41">
        <v>1.0748</v>
      </c>
      <c r="N70" s="41">
        <v>1.0748</v>
      </c>
      <c r="O70" s="38">
        <v>885</v>
      </c>
      <c r="P70" s="56">
        <v>3.0999999999999999E-3</v>
      </c>
      <c r="Q70" s="56">
        <v>9.74E-2</v>
      </c>
      <c r="R70" s="62">
        <f t="shared" si="22"/>
        <v>9.4039946292232661E-3</v>
      </c>
      <c r="S70" s="62">
        <f t="shared" si="23"/>
        <v>3.0797946803547186E-3</v>
      </c>
      <c r="T70" s="62">
        <f t="shared" si="24"/>
        <v>-3.3783783783783786E-3</v>
      </c>
      <c r="U70" s="63">
        <f t="shared" si="25"/>
        <v>-2.9999999999999992E-4</v>
      </c>
      <c r="V70" s="64">
        <v>7.87</v>
      </c>
    </row>
    <row r="71" spans="1:22">
      <c r="A71" s="150">
        <v>60</v>
      </c>
      <c r="B71" s="134" t="s">
        <v>123</v>
      </c>
      <c r="C71" s="135" t="s">
        <v>124</v>
      </c>
      <c r="D71" s="35">
        <v>430290977.02329099</v>
      </c>
      <c r="E71" s="36">
        <f t="shared" ref="E71:E87" si="27">(D71/$D$102)</f>
        <v>1.9774742785336739E-3</v>
      </c>
      <c r="F71" s="41">
        <v>2.4573999999999998</v>
      </c>
      <c r="G71" s="41">
        <v>2.4573999999999998</v>
      </c>
      <c r="H71" s="38">
        <v>1392</v>
      </c>
      <c r="I71" s="56">
        <v>0.12583549430377899</v>
      </c>
      <c r="J71" s="56">
        <v>0.123431877008088</v>
      </c>
      <c r="K71" s="35">
        <v>426826260.59996802</v>
      </c>
      <c r="L71" s="36">
        <f t="shared" si="21"/>
        <v>1.9642652021557351E-3</v>
      </c>
      <c r="M71" s="41">
        <v>2.4636999999999998</v>
      </c>
      <c r="N71" s="41">
        <v>2.4636999999999998</v>
      </c>
      <c r="O71" s="38">
        <v>1389</v>
      </c>
      <c r="P71" s="56">
        <v>0.134044111662732</v>
      </c>
      <c r="Q71" s="56">
        <v>0.123989356143562</v>
      </c>
      <c r="R71" s="62">
        <f t="shared" si="22"/>
        <v>-8.0520313191123124E-3</v>
      </c>
      <c r="S71" s="62">
        <f t="shared" si="23"/>
        <v>2.563685195735319E-3</v>
      </c>
      <c r="T71" s="62">
        <f t="shared" si="24"/>
        <v>-2.1551724137931034E-3</v>
      </c>
      <c r="U71" s="63">
        <f t="shared" si="25"/>
        <v>8.2086173589530076E-3</v>
      </c>
      <c r="V71" s="64">
        <f t="shared" si="26"/>
        <v>5.5747913547400663E-4</v>
      </c>
    </row>
    <row r="72" spans="1:22">
      <c r="A72" s="150">
        <v>61</v>
      </c>
      <c r="B72" s="134" t="s">
        <v>125</v>
      </c>
      <c r="C72" s="135" t="s">
        <v>65</v>
      </c>
      <c r="D72" s="35">
        <v>138111278.65000001</v>
      </c>
      <c r="E72" s="36">
        <f t="shared" si="27"/>
        <v>6.3471352105760946E-4</v>
      </c>
      <c r="F72" s="41">
        <v>11.05</v>
      </c>
      <c r="G72" s="41">
        <v>11.09</v>
      </c>
      <c r="H72" s="38">
        <v>29</v>
      </c>
      <c r="I72" s="56">
        <v>4.8000000000000001E-2</v>
      </c>
      <c r="J72" s="56">
        <v>6.8000000000000005E-2</v>
      </c>
      <c r="K72" s="35">
        <v>138866866.78</v>
      </c>
      <c r="L72" s="36">
        <f t="shared" si="21"/>
        <v>6.3906881869201155E-4</v>
      </c>
      <c r="M72" s="41">
        <v>11.1</v>
      </c>
      <c r="N72" s="41">
        <v>11.15</v>
      </c>
      <c r="O72" s="38">
        <v>29</v>
      </c>
      <c r="P72" s="56">
        <v>0.36899999999999999</v>
      </c>
      <c r="Q72" s="56">
        <v>7.1999999999999995E-2</v>
      </c>
      <c r="R72" s="62">
        <f t="shared" si="22"/>
        <v>5.4708647793696693E-3</v>
      </c>
      <c r="S72" s="62">
        <f t="shared" si="23"/>
        <v>5.4102795311091519E-3</v>
      </c>
      <c r="T72" s="62">
        <f t="shared" si="24"/>
        <v>0</v>
      </c>
      <c r="U72" s="63">
        <f t="shared" si="25"/>
        <v>0.32100000000000001</v>
      </c>
      <c r="V72" s="64">
        <f t="shared" si="26"/>
        <v>3.9999999999999897E-3</v>
      </c>
    </row>
    <row r="73" spans="1:22">
      <c r="A73" s="150">
        <v>62</v>
      </c>
      <c r="B73" s="134" t="s">
        <v>126</v>
      </c>
      <c r="C73" s="135" t="s">
        <v>67</v>
      </c>
      <c r="D73" s="35">
        <v>2125100323.4772601</v>
      </c>
      <c r="E73" s="36">
        <f t="shared" si="27"/>
        <v>9.7662545890484856E-3</v>
      </c>
      <c r="F73" s="35">
        <v>4309.7228358494103</v>
      </c>
      <c r="G73" s="35">
        <v>4309.7228358494103</v>
      </c>
      <c r="H73" s="38">
        <v>1042</v>
      </c>
      <c r="I73" s="56">
        <v>8.8369233200602901E-2</v>
      </c>
      <c r="J73" s="56">
        <v>9.7498048143671995E-2</v>
      </c>
      <c r="K73" s="35">
        <v>2124050017.67489</v>
      </c>
      <c r="L73" s="36">
        <f t="shared" si="21"/>
        <v>9.7749316817864352E-3</v>
      </c>
      <c r="M73" s="35">
        <v>4312.1830994748098</v>
      </c>
      <c r="N73" s="35">
        <v>4312.1830994748098</v>
      </c>
      <c r="O73" s="38">
        <v>1041</v>
      </c>
      <c r="P73" s="56">
        <v>2.98480078382619E-2</v>
      </c>
      <c r="Q73" s="56">
        <v>9.59686229845641E-2</v>
      </c>
      <c r="R73" s="62">
        <f t="shared" si="22"/>
        <v>-4.9423822055208975E-4</v>
      </c>
      <c r="S73" s="62">
        <f t="shared" si="23"/>
        <v>5.7086353789025579E-4</v>
      </c>
      <c r="T73" s="62">
        <f t="shared" si="24"/>
        <v>-9.5969289827255275E-4</v>
      </c>
      <c r="U73" s="63">
        <f t="shared" si="25"/>
        <v>-5.8521225362341001E-2</v>
      </c>
      <c r="V73" s="64">
        <f t="shared" si="26"/>
        <v>-1.5294251591078944E-3</v>
      </c>
    </row>
    <row r="74" spans="1:22">
      <c r="A74" s="150">
        <v>63</v>
      </c>
      <c r="B74" s="134" t="s">
        <v>127</v>
      </c>
      <c r="C74" s="135" t="s">
        <v>69</v>
      </c>
      <c r="D74" s="35">
        <v>351385238.76999998</v>
      </c>
      <c r="E74" s="36">
        <f t="shared" si="27"/>
        <v>1.6148497380331472E-3</v>
      </c>
      <c r="F74" s="66">
        <v>112.24</v>
      </c>
      <c r="G74" s="66">
        <v>112.24</v>
      </c>
      <c r="H74" s="38">
        <v>132</v>
      </c>
      <c r="I74" s="56">
        <v>2.0999999999999999E-3</v>
      </c>
      <c r="J74" s="56">
        <v>0.12039999999999999</v>
      </c>
      <c r="K74" s="35">
        <v>352228520.80000001</v>
      </c>
      <c r="L74" s="36">
        <f t="shared" si="21"/>
        <v>1.6209645246328111E-3</v>
      </c>
      <c r="M74" s="66">
        <v>112.48</v>
      </c>
      <c r="N74" s="66">
        <v>112.48</v>
      </c>
      <c r="O74" s="38">
        <v>133</v>
      </c>
      <c r="P74" s="56">
        <v>2.0999999999999999E-3</v>
      </c>
      <c r="Q74" s="56">
        <v>0.12039999999999999</v>
      </c>
      <c r="R74" s="62">
        <f t="shared" si="22"/>
        <v>2.399878927617683E-3</v>
      </c>
      <c r="S74" s="62">
        <f t="shared" si="23"/>
        <v>2.1382751247327968E-3</v>
      </c>
      <c r="T74" s="62">
        <f t="shared" si="24"/>
        <v>7.575757575757576E-3</v>
      </c>
      <c r="U74" s="63">
        <f t="shared" si="25"/>
        <v>0</v>
      </c>
      <c r="V74" s="64">
        <f t="shared" si="26"/>
        <v>0</v>
      </c>
    </row>
    <row r="75" spans="1:22" ht="13.5" customHeight="1">
      <c r="A75" s="150">
        <v>64</v>
      </c>
      <c r="B75" s="134" t="s">
        <v>128</v>
      </c>
      <c r="C75" s="135" t="s">
        <v>129</v>
      </c>
      <c r="D75" s="35">
        <v>344937151.22000003</v>
      </c>
      <c r="E75" s="36">
        <f t="shared" si="27"/>
        <v>1.5852164713444806E-3</v>
      </c>
      <c r="F75" s="66">
        <v>1.3749</v>
      </c>
      <c r="G75" s="66">
        <v>1.3749</v>
      </c>
      <c r="H75" s="38">
        <v>345</v>
      </c>
      <c r="I75" s="56">
        <v>-1.9599303135887599E-3</v>
      </c>
      <c r="J75" s="56">
        <v>4.8199307656083899E-2</v>
      </c>
      <c r="K75" s="35">
        <v>346207995.64999998</v>
      </c>
      <c r="L75" s="36">
        <f t="shared" si="21"/>
        <v>1.5932579162478786E-3</v>
      </c>
      <c r="M75" s="66">
        <v>1.3787</v>
      </c>
      <c r="N75" s="66">
        <v>1.3787</v>
      </c>
      <c r="O75" s="38">
        <v>361</v>
      </c>
      <c r="P75" s="56">
        <v>7.9849012775845595E-4</v>
      </c>
      <c r="Q75" s="56">
        <v>5.09740429609397E-2</v>
      </c>
      <c r="R75" s="62">
        <f t="shared" si="22"/>
        <v>3.6842782098278717E-3</v>
      </c>
      <c r="S75" s="62">
        <f t="shared" si="23"/>
        <v>2.7638373699905633E-3</v>
      </c>
      <c r="T75" s="62">
        <f t="shared" si="24"/>
        <v>4.6376811594202899E-2</v>
      </c>
      <c r="U75" s="63">
        <f t="shared" si="25"/>
        <v>2.7584204413472159E-3</v>
      </c>
      <c r="V75" s="64">
        <f t="shared" si="26"/>
        <v>2.7747353048558007E-3</v>
      </c>
    </row>
    <row r="76" spans="1:22">
      <c r="A76" s="150">
        <v>65</v>
      </c>
      <c r="B76" s="134" t="s">
        <v>130</v>
      </c>
      <c r="C76" s="135" t="s">
        <v>31</v>
      </c>
      <c r="D76" s="35">
        <v>128663485.04000001</v>
      </c>
      <c r="E76" s="36">
        <f t="shared" si="27"/>
        <v>5.9129460258082597E-4</v>
      </c>
      <c r="F76" s="66">
        <v>126.2727</v>
      </c>
      <c r="G76" s="66">
        <v>126.2727</v>
      </c>
      <c r="H76" s="38">
        <v>171</v>
      </c>
      <c r="I76" s="56">
        <v>4.1800000000000002E-4</v>
      </c>
      <c r="J76" s="56">
        <v>0.1258</v>
      </c>
      <c r="K76" s="35">
        <v>130969321.93000001</v>
      </c>
      <c r="L76" s="36">
        <f t="shared" si="21"/>
        <v>6.0272411836941758E-4</v>
      </c>
      <c r="M76" s="66">
        <v>126.9778</v>
      </c>
      <c r="N76" s="66">
        <v>126.9778</v>
      </c>
      <c r="O76" s="38">
        <v>162</v>
      </c>
      <c r="P76" s="56">
        <v>5.33E-2</v>
      </c>
      <c r="Q76" s="56">
        <v>0.17829999999999999</v>
      </c>
      <c r="R76" s="62">
        <f t="shared" si="22"/>
        <v>1.7921455254248261E-2</v>
      </c>
      <c r="S76" s="62">
        <f t="shared" si="23"/>
        <v>5.5839464904132215E-3</v>
      </c>
      <c r="T76" s="62">
        <f t="shared" si="24"/>
        <v>-5.2631578947368418E-2</v>
      </c>
      <c r="U76" s="63">
        <f t="shared" si="25"/>
        <v>5.2881999999999998E-2</v>
      </c>
      <c r="V76" s="64">
        <f t="shared" si="26"/>
        <v>5.2499999999999991E-2</v>
      </c>
    </row>
    <row r="77" spans="1:22">
      <c r="A77" s="150">
        <v>66</v>
      </c>
      <c r="B77" s="134" t="s">
        <v>131</v>
      </c>
      <c r="C77" s="135" t="s">
        <v>101</v>
      </c>
      <c r="D77" s="35">
        <v>1585416206.3</v>
      </c>
      <c r="E77" s="36">
        <f t="shared" si="27"/>
        <v>7.2860458065310239E-3</v>
      </c>
      <c r="F77" s="41">
        <v>1000</v>
      </c>
      <c r="G77" s="41">
        <v>1000</v>
      </c>
      <c r="H77" s="38">
        <v>336</v>
      </c>
      <c r="I77" s="56">
        <v>8.5000000000000006E-3</v>
      </c>
      <c r="J77" s="56">
        <v>0.19550000000000001</v>
      </c>
      <c r="K77" s="35">
        <v>1568691408.7</v>
      </c>
      <c r="L77" s="36">
        <f t="shared" si="21"/>
        <v>7.219157374944097E-3</v>
      </c>
      <c r="M77" s="41">
        <v>1000</v>
      </c>
      <c r="N77" s="41">
        <v>1000</v>
      </c>
      <c r="O77" s="38">
        <v>336</v>
      </c>
      <c r="P77" s="56">
        <v>1.06E-2</v>
      </c>
      <c r="Q77" s="56">
        <v>0.2082</v>
      </c>
      <c r="R77" s="62">
        <f t="shared" si="22"/>
        <v>-1.0549152666372555E-2</v>
      </c>
      <c r="S77" s="62">
        <f t="shared" si="23"/>
        <v>0</v>
      </c>
      <c r="T77" s="62">
        <f t="shared" si="24"/>
        <v>0</v>
      </c>
      <c r="U77" s="63">
        <f t="shared" si="25"/>
        <v>2.0999999999999994E-3</v>
      </c>
      <c r="V77" s="64">
        <f t="shared" si="26"/>
        <v>1.2699999999999989E-2</v>
      </c>
    </row>
    <row r="78" spans="1:22">
      <c r="A78" s="150">
        <v>67</v>
      </c>
      <c r="B78" s="134" t="s">
        <v>132</v>
      </c>
      <c r="C78" s="135" t="s">
        <v>75</v>
      </c>
      <c r="D78" s="35">
        <v>217416409.40000001</v>
      </c>
      <c r="E78" s="36">
        <f t="shared" si="27"/>
        <v>9.9917353669346214E-4</v>
      </c>
      <c r="F78" s="41">
        <v>1063.4100000000001</v>
      </c>
      <c r="G78" s="41">
        <v>1069.23</v>
      </c>
      <c r="H78" s="38">
        <v>74</v>
      </c>
      <c r="I78" s="56">
        <v>2.9999999999999997E-4</v>
      </c>
      <c r="J78" s="56">
        <v>6.2E-2</v>
      </c>
      <c r="K78" s="35">
        <v>215763868.94</v>
      </c>
      <c r="L78" s="36">
        <f t="shared" si="21"/>
        <v>9.9295075950948724E-4</v>
      </c>
      <c r="M78" s="41">
        <v>1055.67</v>
      </c>
      <c r="N78" s="41">
        <v>1062.19</v>
      </c>
      <c r="O78" s="38">
        <v>74</v>
      </c>
      <c r="P78" s="56">
        <v>-7.0000000000000001E-3</v>
      </c>
      <c r="Q78" s="56">
        <v>5.5E-2</v>
      </c>
      <c r="R78" s="62">
        <f t="shared" si="22"/>
        <v>-7.6008083500251579E-3</v>
      </c>
      <c r="S78" s="62">
        <f t="shared" si="23"/>
        <v>-6.5841773986887418E-3</v>
      </c>
      <c r="T78" s="62">
        <f t="shared" si="24"/>
        <v>0</v>
      </c>
      <c r="U78" s="63">
        <f t="shared" si="25"/>
        <v>-7.3000000000000001E-3</v>
      </c>
      <c r="V78" s="64">
        <f t="shared" si="26"/>
        <v>-6.9999999999999993E-3</v>
      </c>
    </row>
    <row r="79" spans="1:22">
      <c r="A79" s="150">
        <v>68</v>
      </c>
      <c r="B79" s="134" t="s">
        <v>133</v>
      </c>
      <c r="C79" s="135" t="s">
        <v>78</v>
      </c>
      <c r="D79" s="35">
        <v>972428936.09000003</v>
      </c>
      <c r="E79" s="36">
        <f t="shared" si="27"/>
        <v>4.4689601025860101E-3</v>
      </c>
      <c r="F79" s="67">
        <v>1.1601999999999999</v>
      </c>
      <c r="G79" s="67">
        <v>1.1601999999999999</v>
      </c>
      <c r="H79" s="38">
        <v>42</v>
      </c>
      <c r="I79" s="56">
        <v>1.9859999999999999E-3</v>
      </c>
      <c r="J79" s="56">
        <v>0.11999700000000001</v>
      </c>
      <c r="K79" s="35">
        <v>975536391.05999994</v>
      </c>
      <c r="L79" s="36">
        <f t="shared" si="21"/>
        <v>4.4894430434112105E-3</v>
      </c>
      <c r="M79" s="67">
        <v>1.1637999999999999</v>
      </c>
      <c r="N79" s="67">
        <v>1.1637999999999999</v>
      </c>
      <c r="O79" s="38">
        <v>42</v>
      </c>
      <c r="P79" s="56">
        <v>2.3249999999999998E-3</v>
      </c>
      <c r="Q79" s="56">
        <v>0.120974</v>
      </c>
      <c r="R79" s="62">
        <f t="shared" si="22"/>
        <v>3.1955599578253487E-3</v>
      </c>
      <c r="S79" s="62">
        <f t="shared" si="23"/>
        <v>3.1029132908119701E-3</v>
      </c>
      <c r="T79" s="62">
        <f t="shared" si="24"/>
        <v>0</v>
      </c>
      <c r="U79" s="63">
        <f t="shared" si="25"/>
        <v>3.3899999999999989E-4</v>
      </c>
      <c r="V79" s="64">
        <f t="shared" si="26"/>
        <v>9.7699999999999176E-4</v>
      </c>
    </row>
    <row r="80" spans="1:22">
      <c r="A80" s="150">
        <v>69</v>
      </c>
      <c r="B80" s="134" t="s">
        <v>134</v>
      </c>
      <c r="C80" s="135" t="s">
        <v>33</v>
      </c>
      <c r="D80" s="35">
        <v>26887862682.130001</v>
      </c>
      <c r="E80" s="36">
        <f t="shared" si="27"/>
        <v>0.12356767791526221</v>
      </c>
      <c r="F80" s="67">
        <v>1677.18</v>
      </c>
      <c r="G80" s="67">
        <v>1677.18</v>
      </c>
      <c r="H80" s="38">
        <v>2267</v>
      </c>
      <c r="I80" s="56">
        <v>1.4E-3</v>
      </c>
      <c r="J80" s="56">
        <v>8.3900000000000002E-2</v>
      </c>
      <c r="K80" s="35">
        <v>26204114139.25</v>
      </c>
      <c r="L80" s="36">
        <f t="shared" si="21"/>
        <v>0.12059199329651019</v>
      </c>
      <c r="M80" s="67">
        <v>1680.93</v>
      </c>
      <c r="N80" s="67">
        <v>1680.93</v>
      </c>
      <c r="O80" s="38">
        <v>2267</v>
      </c>
      <c r="P80" s="56">
        <v>2.2000000000000001E-3</v>
      </c>
      <c r="Q80" s="56">
        <v>8.6300000000000002E-2</v>
      </c>
      <c r="R80" s="62">
        <f t="shared" si="22"/>
        <v>-2.5429635332615285E-2</v>
      </c>
      <c r="S80" s="62">
        <f t="shared" si="23"/>
        <v>2.23589596823239E-3</v>
      </c>
      <c r="T80" s="62">
        <f t="shared" si="24"/>
        <v>0</v>
      </c>
      <c r="U80" s="63">
        <f t="shared" si="25"/>
        <v>8.0000000000000015E-4</v>
      </c>
      <c r="V80" s="64">
        <f t="shared" si="26"/>
        <v>2.3999999999999994E-3</v>
      </c>
    </row>
    <row r="81" spans="1:22">
      <c r="A81" s="150">
        <v>70</v>
      </c>
      <c r="B81" s="134" t="s">
        <v>135</v>
      </c>
      <c r="C81" s="135" t="s">
        <v>83</v>
      </c>
      <c r="D81" s="35">
        <v>23255129.57</v>
      </c>
      <c r="E81" s="36">
        <f t="shared" si="27"/>
        <v>1.0687284424779765E-4</v>
      </c>
      <c r="F81" s="66">
        <v>0.70920000000000005</v>
      </c>
      <c r="G81" s="66">
        <v>0.70920000000000005</v>
      </c>
      <c r="H81" s="38">
        <v>746</v>
      </c>
      <c r="I81" s="56">
        <v>2E-3</v>
      </c>
      <c r="J81" s="56">
        <v>-7.22E-2</v>
      </c>
      <c r="K81" s="35">
        <v>23268778.780000001</v>
      </c>
      <c r="L81" s="36">
        <f t="shared" si="21"/>
        <v>1.0708350603818776E-4</v>
      </c>
      <c r="M81" s="66">
        <v>0.70960000000000001</v>
      </c>
      <c r="N81" s="66">
        <v>0.70960000000000001</v>
      </c>
      <c r="O81" s="38">
        <v>746</v>
      </c>
      <c r="P81" s="56">
        <v>2E-3</v>
      </c>
      <c r="Q81" s="56">
        <v>-7.17E-2</v>
      </c>
      <c r="R81" s="62">
        <f t="shared" si="22"/>
        <v>5.869333025608635E-4</v>
      </c>
      <c r="S81" s="62">
        <f t="shared" si="23"/>
        <v>5.640157924421262E-4</v>
      </c>
      <c r="T81" s="62">
        <f t="shared" si="24"/>
        <v>0</v>
      </c>
      <c r="U81" s="63">
        <f t="shared" si="25"/>
        <v>0</v>
      </c>
      <c r="V81" s="64">
        <f t="shared" si="26"/>
        <v>5.0000000000000044E-4</v>
      </c>
    </row>
    <row r="82" spans="1:22">
      <c r="A82" s="150">
        <v>71</v>
      </c>
      <c r="B82" s="134" t="s">
        <v>136</v>
      </c>
      <c r="C82" s="135" t="s">
        <v>39</v>
      </c>
      <c r="D82" s="35">
        <v>10495445162</v>
      </c>
      <c r="E82" s="36">
        <f t="shared" si="27"/>
        <v>4.8233576714048272E-2</v>
      </c>
      <c r="F82" s="66">
        <v>1</v>
      </c>
      <c r="G82" s="66">
        <v>1</v>
      </c>
      <c r="H82" s="38">
        <v>5243</v>
      </c>
      <c r="I82" s="56">
        <v>0.06</v>
      </c>
      <c r="J82" s="56">
        <v>0.06</v>
      </c>
      <c r="K82" s="35">
        <v>10510062772.52</v>
      </c>
      <c r="L82" s="36">
        <f t="shared" si="21"/>
        <v>4.8367573605978383E-2</v>
      </c>
      <c r="M82" s="66">
        <v>1</v>
      </c>
      <c r="N82" s="66">
        <v>1</v>
      </c>
      <c r="O82" s="38">
        <v>5243</v>
      </c>
      <c r="P82" s="56">
        <v>0.06</v>
      </c>
      <c r="Q82" s="56">
        <v>0.06</v>
      </c>
      <c r="R82" s="62">
        <f t="shared" si="22"/>
        <v>1.3927575528597151E-3</v>
      </c>
      <c r="S82" s="62">
        <f t="shared" si="23"/>
        <v>0</v>
      </c>
      <c r="T82" s="62">
        <f t="shared" si="24"/>
        <v>0</v>
      </c>
      <c r="U82" s="63">
        <f t="shared" si="25"/>
        <v>0</v>
      </c>
      <c r="V82" s="64">
        <f t="shared" si="26"/>
        <v>0</v>
      </c>
    </row>
    <row r="83" spans="1:22">
      <c r="A83" s="150">
        <v>72</v>
      </c>
      <c r="B83" s="134" t="s">
        <v>137</v>
      </c>
      <c r="C83" s="135" t="s">
        <v>138</v>
      </c>
      <c r="D83" s="35">
        <v>1179510384.27</v>
      </c>
      <c r="E83" s="36">
        <f t="shared" si="27"/>
        <v>5.4206375934093606E-3</v>
      </c>
      <c r="F83" s="35">
        <v>233.51</v>
      </c>
      <c r="G83" s="35">
        <v>235.47</v>
      </c>
      <c r="H83" s="38">
        <v>491</v>
      </c>
      <c r="I83" s="56">
        <v>5.1999999999999998E-3</v>
      </c>
      <c r="J83" s="56">
        <v>0.17810000000000001</v>
      </c>
      <c r="K83" s="35">
        <v>1181798263.4400001</v>
      </c>
      <c r="L83" s="36">
        <f t="shared" si="21"/>
        <v>5.4386653754158491E-3</v>
      </c>
      <c r="M83" s="35">
        <v>232.98</v>
      </c>
      <c r="N83" s="35">
        <v>234.99</v>
      </c>
      <c r="O83" s="38">
        <v>491</v>
      </c>
      <c r="P83" s="56">
        <v>3.5999999999999999E-3</v>
      </c>
      <c r="Q83" s="56">
        <v>0.17810000000000001</v>
      </c>
      <c r="R83" s="62">
        <f t="shared" si="22"/>
        <v>1.9396854834949561E-3</v>
      </c>
      <c r="S83" s="62">
        <f t="shared" si="23"/>
        <v>-2.0384762390112956E-3</v>
      </c>
      <c r="T83" s="62">
        <f t="shared" si="24"/>
        <v>0</v>
      </c>
      <c r="U83" s="63">
        <f t="shared" si="25"/>
        <v>-1.5999999999999999E-3</v>
      </c>
      <c r="V83" s="64">
        <f t="shared" si="26"/>
        <v>0</v>
      </c>
    </row>
    <row r="84" spans="1:22">
      <c r="A84" s="150">
        <v>73</v>
      </c>
      <c r="B84" s="134" t="s">
        <v>139</v>
      </c>
      <c r="C84" s="135" t="s">
        <v>43</v>
      </c>
      <c r="D84" s="35">
        <v>1061947366.55</v>
      </c>
      <c r="E84" s="36">
        <f t="shared" si="27"/>
        <v>4.8803570482388427E-3</v>
      </c>
      <c r="F84" s="66">
        <v>3.54</v>
      </c>
      <c r="G84" s="66">
        <v>3.54</v>
      </c>
      <c r="H84" s="52">
        <v>770</v>
      </c>
      <c r="I84" s="59">
        <v>1.6999999999999999E-3</v>
      </c>
      <c r="J84" s="59">
        <v>-1.2699999999999999E-2</v>
      </c>
      <c r="K84" s="35">
        <v>1063786784.85</v>
      </c>
      <c r="L84" s="36">
        <f t="shared" si="21"/>
        <v>4.8955735784785058E-3</v>
      </c>
      <c r="M84" s="66">
        <v>3.55</v>
      </c>
      <c r="N84" s="66">
        <v>3.55</v>
      </c>
      <c r="O84" s="52">
        <v>770</v>
      </c>
      <c r="P84" s="59">
        <v>1.6999999999999999E-3</v>
      </c>
      <c r="Q84" s="59">
        <v>-1.03E-2</v>
      </c>
      <c r="R84" s="62">
        <f t="shared" si="22"/>
        <v>1.732118142517627E-3</v>
      </c>
      <c r="S84" s="62">
        <f t="shared" si="23"/>
        <v>2.8248587570620866E-3</v>
      </c>
      <c r="T84" s="62">
        <f t="shared" si="24"/>
        <v>0</v>
      </c>
      <c r="U84" s="63">
        <f t="shared" si="25"/>
        <v>0</v>
      </c>
      <c r="V84" s="64">
        <f t="shared" si="26"/>
        <v>2.3999999999999994E-3</v>
      </c>
    </row>
    <row r="85" spans="1:22">
      <c r="A85" s="150">
        <v>74</v>
      </c>
      <c r="B85" s="134" t="s">
        <v>140</v>
      </c>
      <c r="C85" s="135" t="s">
        <v>45</v>
      </c>
      <c r="D85" s="35">
        <v>544225590.12</v>
      </c>
      <c r="E85" s="36">
        <f t="shared" si="27"/>
        <v>2.5010798823324088E-3</v>
      </c>
      <c r="F85" s="66">
        <v>108.37</v>
      </c>
      <c r="G85" s="66">
        <v>108.37</v>
      </c>
      <c r="H85" s="52">
        <v>59</v>
      </c>
      <c r="I85" s="59">
        <v>0.14169999999999999</v>
      </c>
      <c r="J85" s="59">
        <v>0.1653</v>
      </c>
      <c r="K85" s="35">
        <v>545688883.64999998</v>
      </c>
      <c r="L85" s="36">
        <f t="shared" si="21"/>
        <v>2.511273987336722E-3</v>
      </c>
      <c r="M85" s="66">
        <v>108.66</v>
      </c>
      <c r="N85" s="66">
        <v>108.37</v>
      </c>
      <c r="O85" s="52">
        <v>59</v>
      </c>
      <c r="P85" s="59">
        <v>0.14169999999999999</v>
      </c>
      <c r="Q85" s="59">
        <v>0.16539999999999999</v>
      </c>
      <c r="R85" s="62">
        <f t="shared" si="22"/>
        <v>2.6887628155767536E-3</v>
      </c>
      <c r="S85" s="62">
        <f t="shared" si="23"/>
        <v>0</v>
      </c>
      <c r="T85" s="62">
        <f t="shared" si="24"/>
        <v>0</v>
      </c>
      <c r="U85" s="63">
        <f t="shared" si="25"/>
        <v>0</v>
      </c>
      <c r="V85" s="64">
        <f t="shared" si="26"/>
        <v>9.9999999999988987E-5</v>
      </c>
    </row>
    <row r="86" spans="1:22">
      <c r="A86" s="150">
        <v>75</v>
      </c>
      <c r="B86" s="135" t="s">
        <v>141</v>
      </c>
      <c r="C86" s="151" t="s">
        <v>49</v>
      </c>
      <c r="D86" s="35">
        <v>1763014987.1400001</v>
      </c>
      <c r="E86" s="36">
        <f t="shared" si="27"/>
        <v>8.1022307598841818E-3</v>
      </c>
      <c r="F86" s="66">
        <v>100.2</v>
      </c>
      <c r="G86" s="66">
        <v>100.2</v>
      </c>
      <c r="H86" s="38">
        <v>139</v>
      </c>
      <c r="I86" s="56">
        <v>1.6000000000000001E-3</v>
      </c>
      <c r="J86" s="56">
        <v>8.5900000000000004E-2</v>
      </c>
      <c r="K86" s="35">
        <v>1765830698.1800001</v>
      </c>
      <c r="L86" s="36">
        <f t="shared" si="21"/>
        <v>8.1263973506638561E-3</v>
      </c>
      <c r="M86" s="66">
        <v>100.2</v>
      </c>
      <c r="N86" s="66">
        <v>100.2</v>
      </c>
      <c r="O86" s="38">
        <v>139</v>
      </c>
      <c r="P86" s="56">
        <v>1.6000000000000001E-3</v>
      </c>
      <c r="Q86" s="56">
        <v>8.7999999999999995E-2</v>
      </c>
      <c r="R86" s="62">
        <f t="shared" si="22"/>
        <v>1.5970998888487427E-3</v>
      </c>
      <c r="S86" s="62">
        <f t="shared" si="23"/>
        <v>0</v>
      </c>
      <c r="T86" s="62">
        <f t="shared" si="24"/>
        <v>0</v>
      </c>
      <c r="U86" s="63">
        <f t="shared" si="25"/>
        <v>0</v>
      </c>
      <c r="V86" s="64">
        <f t="shared" si="26"/>
        <v>2.0999999999999908E-3</v>
      </c>
    </row>
    <row r="87" spans="1:22">
      <c r="A87" s="150">
        <v>76</v>
      </c>
      <c r="B87" s="134" t="s">
        <v>142</v>
      </c>
      <c r="C87" s="135" t="s">
        <v>22</v>
      </c>
      <c r="D87" s="35">
        <v>1316247985.8599999</v>
      </c>
      <c r="E87" s="36">
        <f t="shared" si="27"/>
        <v>6.0490381513833525E-3</v>
      </c>
      <c r="F87" s="66">
        <v>345.22730000000001</v>
      </c>
      <c r="G87" s="66">
        <v>345.22730000000001</v>
      </c>
      <c r="H87" s="38">
        <v>196</v>
      </c>
      <c r="I87" s="56">
        <v>1.6999999999999999E-3</v>
      </c>
      <c r="J87" s="56">
        <v>0.09</v>
      </c>
      <c r="K87" s="35">
        <v>1319702922.21</v>
      </c>
      <c r="L87" s="36">
        <f t="shared" si="21"/>
        <v>6.0733060886098023E-3</v>
      </c>
      <c r="M87" s="66">
        <v>346.13350000000003</v>
      </c>
      <c r="N87" s="66">
        <v>346.13350000000003</v>
      </c>
      <c r="O87" s="38">
        <v>196</v>
      </c>
      <c r="P87" s="56">
        <v>2.5999999999999999E-3</v>
      </c>
      <c r="Q87" s="56">
        <v>9.2600000000000002E-2</v>
      </c>
      <c r="R87" s="62">
        <f t="shared" si="22"/>
        <v>2.6248369510269627E-3</v>
      </c>
      <c r="S87" s="62">
        <f t="shared" si="23"/>
        <v>2.6249372514862311E-3</v>
      </c>
      <c r="T87" s="62">
        <f t="shared" si="24"/>
        <v>0</v>
      </c>
      <c r="U87" s="63">
        <f t="shared" si="25"/>
        <v>8.9999999999999998E-4</v>
      </c>
      <c r="V87" s="64">
        <f t="shared" si="26"/>
        <v>2.6000000000000051E-3</v>
      </c>
    </row>
    <row r="88" spans="1:22">
      <c r="A88" s="150">
        <v>77</v>
      </c>
      <c r="B88" s="134" t="s">
        <v>143</v>
      </c>
      <c r="C88" s="135" t="s">
        <v>92</v>
      </c>
      <c r="D88" s="50">
        <v>1467328813.97</v>
      </c>
      <c r="E88" s="36">
        <f>(D88/$K$63)</f>
        <v>9.8191489294190051E-4</v>
      </c>
      <c r="F88" s="66">
        <v>101.39</v>
      </c>
      <c r="G88" s="66">
        <v>101.39</v>
      </c>
      <c r="H88" s="38">
        <v>378</v>
      </c>
      <c r="I88" s="56">
        <v>0.26</v>
      </c>
      <c r="J88" s="56">
        <v>0.109</v>
      </c>
      <c r="K88" s="50">
        <v>1472033440.6700001</v>
      </c>
      <c r="L88" s="36">
        <f>(K88/$K$63)</f>
        <v>9.8506316003682906E-4</v>
      </c>
      <c r="M88" s="66">
        <v>101.62</v>
      </c>
      <c r="N88" s="66">
        <v>101.62</v>
      </c>
      <c r="O88" s="38">
        <v>380</v>
      </c>
      <c r="P88" s="56">
        <v>1.2999999999999999E-3</v>
      </c>
      <c r="Q88" s="56">
        <v>0.1113</v>
      </c>
      <c r="R88" s="62">
        <f t="shared" si="22"/>
        <v>3.2062525149160162E-3</v>
      </c>
      <c r="S88" s="62">
        <f t="shared" si="23"/>
        <v>2.2684682907584968E-3</v>
      </c>
      <c r="T88" s="62">
        <f t="shared" si="24"/>
        <v>5.2910052910052907E-3</v>
      </c>
      <c r="U88" s="63">
        <f t="shared" si="25"/>
        <v>-0.25869999999999999</v>
      </c>
      <c r="V88" s="64">
        <f t="shared" si="26"/>
        <v>2.2999999999999965E-3</v>
      </c>
    </row>
    <row r="89" spans="1:22">
      <c r="A89" s="150">
        <v>78</v>
      </c>
      <c r="B89" s="134" t="s">
        <v>144</v>
      </c>
      <c r="C89" s="135" t="s">
        <v>47</v>
      </c>
      <c r="D89" s="35">
        <v>57747658.659999996</v>
      </c>
      <c r="E89" s="36">
        <f t="shared" ref="E89:E101" si="28">(D89/$D$102)</f>
        <v>2.6538904077347454E-4</v>
      </c>
      <c r="F89" s="35">
        <v>12.003265000000001</v>
      </c>
      <c r="G89" s="35">
        <v>12.266545000000001</v>
      </c>
      <c r="H89" s="38">
        <v>56</v>
      </c>
      <c r="I89" s="56">
        <v>1.5E-3</v>
      </c>
      <c r="J89" s="56">
        <v>1.4E-3</v>
      </c>
      <c r="K89" s="35">
        <v>57870340.719999999</v>
      </c>
      <c r="L89" s="36">
        <f t="shared" ref="L89:L101" si="29">(K89/$K$102)</f>
        <v>2.6632076562816944E-4</v>
      </c>
      <c r="M89" s="35">
        <v>12.028765</v>
      </c>
      <c r="N89" s="35">
        <v>12.286901</v>
      </c>
      <c r="O89" s="38">
        <v>56</v>
      </c>
      <c r="P89" s="56">
        <v>0.15</v>
      </c>
      <c r="Q89" s="56">
        <v>0.4</v>
      </c>
      <c r="R89" s="62">
        <f t="shared" si="22"/>
        <v>2.1244508062623919E-3</v>
      </c>
      <c r="S89" s="62">
        <f t="shared" si="23"/>
        <v>1.6594729811857858E-3</v>
      </c>
      <c r="T89" s="62">
        <f t="shared" si="24"/>
        <v>0</v>
      </c>
      <c r="U89" s="63">
        <f t="shared" si="25"/>
        <v>0.14849999999999999</v>
      </c>
      <c r="V89" s="64">
        <f t="shared" si="26"/>
        <v>0.39860000000000001</v>
      </c>
    </row>
    <row r="90" spans="1:22">
      <c r="A90" s="150">
        <v>79</v>
      </c>
      <c r="B90" s="134" t="s">
        <v>145</v>
      </c>
      <c r="C90" s="135" t="s">
        <v>146</v>
      </c>
      <c r="D90" s="35">
        <v>321054172.72000003</v>
      </c>
      <c r="E90" s="36">
        <f t="shared" si="28"/>
        <v>1.4754582421451581E-3</v>
      </c>
      <c r="F90" s="35">
        <v>126.72</v>
      </c>
      <c r="G90" s="35">
        <v>126.72</v>
      </c>
      <c r="H90" s="38">
        <v>101</v>
      </c>
      <c r="I90" s="56">
        <v>0.21060000000000001</v>
      </c>
      <c r="J90" s="56">
        <v>0.16919999999999999</v>
      </c>
      <c r="K90" s="35">
        <v>322967376.75999999</v>
      </c>
      <c r="L90" s="36">
        <f t="shared" si="29"/>
        <v>1.4863040027327606E-3</v>
      </c>
      <c r="M90" s="35">
        <v>127.02</v>
      </c>
      <c r="N90" s="35">
        <v>127.02</v>
      </c>
      <c r="O90" s="38">
        <v>103</v>
      </c>
      <c r="P90" s="56">
        <v>0.1149</v>
      </c>
      <c r="Q90" s="56">
        <v>0.16830000000000001</v>
      </c>
      <c r="R90" s="62">
        <f t="shared" si="22"/>
        <v>5.9591315191175496E-3</v>
      </c>
      <c r="S90" s="62">
        <f t="shared" si="23"/>
        <v>2.3674242424242199E-3</v>
      </c>
      <c r="T90" s="62">
        <f t="shared" si="24"/>
        <v>1.9801980198019802E-2</v>
      </c>
      <c r="U90" s="63">
        <f t="shared" si="25"/>
        <v>-9.5700000000000007E-2</v>
      </c>
      <c r="V90" s="64">
        <f t="shared" si="26"/>
        <v>-8.9999999999998415E-4</v>
      </c>
    </row>
    <row r="91" spans="1:22">
      <c r="A91" s="150">
        <v>80</v>
      </c>
      <c r="B91" s="134" t="s">
        <v>147</v>
      </c>
      <c r="C91" s="135" t="s">
        <v>148</v>
      </c>
      <c r="D91" s="35">
        <v>7714546310.5142603</v>
      </c>
      <c r="E91" s="36">
        <f t="shared" si="28"/>
        <v>3.5453490112977798E-2</v>
      </c>
      <c r="F91" s="35">
        <v>1.1000000000000001</v>
      </c>
      <c r="G91" s="35">
        <v>1.1000000000000001</v>
      </c>
      <c r="H91" s="38">
        <v>4586</v>
      </c>
      <c r="I91" s="56">
        <v>0.17019999999999999</v>
      </c>
      <c r="J91" s="56">
        <v>0.17019999999999999</v>
      </c>
      <c r="K91" s="35">
        <v>7616445781.9499998</v>
      </c>
      <c r="L91" s="36">
        <f t="shared" si="29"/>
        <v>3.5051075331121118E-2</v>
      </c>
      <c r="M91" s="35">
        <v>1.1086609999999999</v>
      </c>
      <c r="N91" s="35">
        <v>1.1086609999999999</v>
      </c>
      <c r="O91" s="38">
        <v>4377</v>
      </c>
      <c r="P91" s="56">
        <v>0.17199999999999999</v>
      </c>
      <c r="Q91" s="56">
        <v>0.17019999999999999</v>
      </c>
      <c r="R91" s="62">
        <f t="shared" si="22"/>
        <v>-1.271630561483025E-2</v>
      </c>
      <c r="S91" s="62">
        <f t="shared" si="23"/>
        <v>7.8736363636361887E-3</v>
      </c>
      <c r="T91" s="62">
        <f t="shared" si="24"/>
        <v>-4.5573484518098561E-2</v>
      </c>
      <c r="U91" s="63">
        <f t="shared" si="25"/>
        <v>1.799999999999996E-3</v>
      </c>
      <c r="V91" s="64">
        <f t="shared" si="26"/>
        <v>0</v>
      </c>
    </row>
    <row r="92" spans="1:22" ht="14.25" customHeight="1">
      <c r="A92" s="150">
        <v>81</v>
      </c>
      <c r="B92" s="134" t="s">
        <v>149</v>
      </c>
      <c r="C92" s="135" t="s">
        <v>51</v>
      </c>
      <c r="D92" s="35">
        <v>16260484311.75</v>
      </c>
      <c r="E92" s="36">
        <f t="shared" si="28"/>
        <v>7.4727780037194394E-2</v>
      </c>
      <c r="F92" s="35">
        <v>5165.58</v>
      </c>
      <c r="G92" s="35">
        <v>5165.58</v>
      </c>
      <c r="H92" s="38">
        <v>314</v>
      </c>
      <c r="I92" s="56">
        <v>1E-4</v>
      </c>
      <c r="J92" s="56">
        <v>3.0700000000000002E-2</v>
      </c>
      <c r="K92" s="35">
        <v>16244823715.870001</v>
      </c>
      <c r="L92" s="36">
        <f t="shared" si="29"/>
        <v>7.4759087914095551E-2</v>
      </c>
      <c r="M92" s="35">
        <v>5165.8100000000004</v>
      </c>
      <c r="N92" s="35">
        <v>5165.8100000000004</v>
      </c>
      <c r="O92" s="38">
        <v>312</v>
      </c>
      <c r="P92" s="56">
        <v>0</v>
      </c>
      <c r="Q92" s="56">
        <v>3.0800000000000001E-2</v>
      </c>
      <c r="R92" s="62">
        <f t="shared" si="22"/>
        <v>-9.6310759136999664E-4</v>
      </c>
      <c r="S92" s="62">
        <f t="shared" si="23"/>
        <v>4.4525493749099411E-5</v>
      </c>
      <c r="T92" s="62">
        <f t="shared" si="24"/>
        <v>-6.369426751592357E-3</v>
      </c>
      <c r="U92" s="63">
        <f t="shared" si="25"/>
        <v>-1E-4</v>
      </c>
      <c r="V92" s="64">
        <f t="shared" si="26"/>
        <v>9.9999999999999395E-5</v>
      </c>
    </row>
    <row r="93" spans="1:22" ht="13.5" customHeight="1">
      <c r="A93" s="150">
        <v>82</v>
      </c>
      <c r="B93" s="134" t="s">
        <v>150</v>
      </c>
      <c r="C93" s="135" t="s">
        <v>51</v>
      </c>
      <c r="D93" s="35">
        <v>24797655980.98</v>
      </c>
      <c r="E93" s="36">
        <f t="shared" si="28"/>
        <v>0.11396178281391288</v>
      </c>
      <c r="F93" s="66">
        <v>258.43</v>
      </c>
      <c r="G93" s="66">
        <v>258.43</v>
      </c>
      <c r="H93" s="38">
        <v>6423</v>
      </c>
      <c r="I93" s="56">
        <v>0</v>
      </c>
      <c r="J93" s="56">
        <v>1.0200000000000001E-2</v>
      </c>
      <c r="K93" s="35">
        <v>24718177510.950001</v>
      </c>
      <c r="L93" s="36">
        <f t="shared" si="29"/>
        <v>0.11375367550538942</v>
      </c>
      <c r="M93" s="66">
        <v>258.44</v>
      </c>
      <c r="N93" s="66">
        <v>258.44</v>
      </c>
      <c r="O93" s="38">
        <v>6417</v>
      </c>
      <c r="P93" s="56">
        <v>0</v>
      </c>
      <c r="Q93" s="56">
        <v>1.03E-2</v>
      </c>
      <c r="R93" s="62">
        <f t="shared" si="22"/>
        <v>-3.2050799515470092E-3</v>
      </c>
      <c r="S93" s="62">
        <f t="shared" si="23"/>
        <v>3.8695197925902198E-5</v>
      </c>
      <c r="T93" s="62">
        <f t="shared" si="24"/>
        <v>-9.3414292386735165E-4</v>
      </c>
      <c r="U93" s="63">
        <f t="shared" si="25"/>
        <v>0</v>
      </c>
      <c r="V93" s="64">
        <f t="shared" si="26"/>
        <v>9.9999999999999395E-5</v>
      </c>
    </row>
    <row r="94" spans="1:22" ht="13.5" customHeight="1">
      <c r="A94" s="150">
        <v>83</v>
      </c>
      <c r="B94" s="134" t="s">
        <v>151</v>
      </c>
      <c r="C94" s="135" t="s">
        <v>51</v>
      </c>
      <c r="D94" s="35">
        <v>368339827.66000003</v>
      </c>
      <c r="E94" s="36">
        <f t="shared" si="28"/>
        <v>1.6927673919542824E-3</v>
      </c>
      <c r="F94" s="35">
        <v>6386.59</v>
      </c>
      <c r="G94" s="41">
        <v>6417.35</v>
      </c>
      <c r="H94" s="38">
        <v>15</v>
      </c>
      <c r="I94" s="56">
        <v>2.9999999999999997E-4</v>
      </c>
      <c r="J94" s="56">
        <v>0.20880000000000001</v>
      </c>
      <c r="K94" s="35">
        <v>371296910.58999997</v>
      </c>
      <c r="L94" s="36">
        <f t="shared" si="29"/>
        <v>1.7087177347398686E-3</v>
      </c>
      <c r="M94" s="35">
        <v>6437.6</v>
      </c>
      <c r="N94" s="41">
        <v>6469.05</v>
      </c>
      <c r="O94" s="38">
        <v>15</v>
      </c>
      <c r="P94" s="56">
        <v>8.0999999999999996E-3</v>
      </c>
      <c r="Q94" s="56">
        <v>0.2185</v>
      </c>
      <c r="R94" s="62">
        <f t="shared" si="22"/>
        <v>8.0281378985970382E-3</v>
      </c>
      <c r="S94" s="62">
        <f t="shared" si="23"/>
        <v>8.0562849151129077E-3</v>
      </c>
      <c r="T94" s="62">
        <f t="shared" si="24"/>
        <v>0</v>
      </c>
      <c r="U94" s="63">
        <f t="shared" si="25"/>
        <v>7.7999999999999996E-3</v>
      </c>
      <c r="V94" s="64">
        <f t="shared" si="26"/>
        <v>9.6999999999999864E-3</v>
      </c>
    </row>
    <row r="95" spans="1:22" ht="15" customHeight="1">
      <c r="A95" s="150">
        <v>84</v>
      </c>
      <c r="B95" s="134" t="s">
        <v>152</v>
      </c>
      <c r="C95" s="135" t="s">
        <v>51</v>
      </c>
      <c r="D95" s="35">
        <v>10006081725.370001</v>
      </c>
      <c r="E95" s="36">
        <f t="shared" si="28"/>
        <v>4.5984625050025145E-2</v>
      </c>
      <c r="F95" s="66">
        <v>135.93</v>
      </c>
      <c r="G95" s="66">
        <v>135.93</v>
      </c>
      <c r="H95" s="38">
        <v>4480</v>
      </c>
      <c r="I95" s="56">
        <v>1.6999999999999999E-3</v>
      </c>
      <c r="J95" s="56">
        <v>7.9500000000000001E-2</v>
      </c>
      <c r="K95" s="35">
        <v>9931724040.6599998</v>
      </c>
      <c r="L95" s="36">
        <f t="shared" si="29"/>
        <v>4.5706044194796784E-2</v>
      </c>
      <c r="M95" s="66">
        <v>136.08000000000001</v>
      </c>
      <c r="N95" s="66">
        <v>136</v>
      </c>
      <c r="O95" s="38">
        <v>4476</v>
      </c>
      <c r="P95" s="56">
        <v>1.1000000000000001E-3</v>
      </c>
      <c r="Q95" s="56">
        <v>8.0699999999999994E-2</v>
      </c>
      <c r="R95" s="62">
        <f t="shared" si="22"/>
        <v>-7.4312489894491065E-3</v>
      </c>
      <c r="S95" s="62">
        <f t="shared" si="23"/>
        <v>5.1497094092542613E-4</v>
      </c>
      <c r="T95" s="62">
        <f t="shared" si="24"/>
        <v>-8.9285714285714283E-4</v>
      </c>
      <c r="U95" s="63">
        <f t="shared" si="25"/>
        <v>-5.9999999999999984E-4</v>
      </c>
      <c r="V95" s="64">
        <f t="shared" si="26"/>
        <v>1.1999999999999927E-3</v>
      </c>
    </row>
    <row r="96" spans="1:22" ht="15" customHeight="1">
      <c r="A96" s="150">
        <v>85</v>
      </c>
      <c r="B96" s="134" t="s">
        <v>153</v>
      </c>
      <c r="C96" s="135" t="s">
        <v>51</v>
      </c>
      <c r="D96" s="35">
        <v>8457743813.6000004</v>
      </c>
      <c r="E96" s="36">
        <f t="shared" si="28"/>
        <v>3.8868978758334519E-2</v>
      </c>
      <c r="F96" s="66">
        <v>357.06</v>
      </c>
      <c r="G96" s="66">
        <v>357.5</v>
      </c>
      <c r="H96" s="38">
        <v>10217</v>
      </c>
      <c r="I96" s="56">
        <v>-2.3999999999999998E-3</v>
      </c>
      <c r="J96" s="56">
        <v>1.17E-2</v>
      </c>
      <c r="K96" s="35">
        <v>8346838631.4700003</v>
      </c>
      <c r="L96" s="36">
        <f t="shared" si="29"/>
        <v>3.841236162170418E-2</v>
      </c>
      <c r="M96" s="66">
        <v>357.46</v>
      </c>
      <c r="N96" s="66">
        <v>357.93</v>
      </c>
      <c r="O96" s="38">
        <v>10210</v>
      </c>
      <c r="P96" s="56">
        <v>1.1999999999999999E-3</v>
      </c>
      <c r="Q96" s="56">
        <v>1.17E-2</v>
      </c>
      <c r="R96" s="62">
        <f t="shared" si="22"/>
        <v>-1.3112856640522176E-2</v>
      </c>
      <c r="S96" s="62">
        <f t="shared" si="23"/>
        <v>1.202797202797222E-3</v>
      </c>
      <c r="T96" s="62">
        <f t="shared" si="24"/>
        <v>-6.8513262210042085E-4</v>
      </c>
      <c r="U96" s="63">
        <f t="shared" si="25"/>
        <v>3.5999999999999999E-3</v>
      </c>
      <c r="V96" s="64">
        <f t="shared" si="26"/>
        <v>0</v>
      </c>
    </row>
    <row r="97" spans="1:28">
      <c r="A97" s="150">
        <v>86</v>
      </c>
      <c r="B97" s="134" t="s">
        <v>154</v>
      </c>
      <c r="C97" s="135" t="s">
        <v>54</v>
      </c>
      <c r="D97" s="35">
        <v>86709211481.369995</v>
      </c>
      <c r="E97" s="36">
        <f t="shared" si="28"/>
        <v>0.39848670916254125</v>
      </c>
      <c r="F97" s="35">
        <v>1.9335</v>
      </c>
      <c r="G97" s="35">
        <v>1.9335</v>
      </c>
      <c r="H97" s="38">
        <v>6335</v>
      </c>
      <c r="I97" s="56">
        <v>7.85E-2</v>
      </c>
      <c r="J97" s="56">
        <v>5.96E-2</v>
      </c>
      <c r="K97" s="35">
        <v>86830836885.139999</v>
      </c>
      <c r="L97" s="36">
        <f t="shared" si="29"/>
        <v>0.39959769843541337</v>
      </c>
      <c r="M97" s="35">
        <v>1.9362999999999999</v>
      </c>
      <c r="N97" s="35">
        <v>1.9362999999999999</v>
      </c>
      <c r="O97" s="38">
        <v>6339</v>
      </c>
      <c r="P97" s="56">
        <v>7.8399999999999997E-2</v>
      </c>
      <c r="Q97" s="56">
        <v>5.9900000000000002E-2</v>
      </c>
      <c r="R97" s="62">
        <f t="shared" si="22"/>
        <v>1.4026814647730506E-3</v>
      </c>
      <c r="S97" s="62">
        <f t="shared" si="23"/>
        <v>1.4481510214636223E-3</v>
      </c>
      <c r="T97" s="62">
        <f t="shared" si="24"/>
        <v>6.3141278610891866E-4</v>
      </c>
      <c r="U97" s="63">
        <f t="shared" si="25"/>
        <v>-1.0000000000000286E-4</v>
      </c>
      <c r="V97" s="64">
        <f t="shared" si="26"/>
        <v>3.0000000000000165E-4</v>
      </c>
    </row>
    <row r="98" spans="1:28">
      <c r="A98" s="150">
        <v>87</v>
      </c>
      <c r="B98" s="134" t="s">
        <v>155</v>
      </c>
      <c r="C98" s="135" t="s">
        <v>54</v>
      </c>
      <c r="D98" s="35">
        <v>4908425851.54</v>
      </c>
      <c r="E98" s="36">
        <f t="shared" si="28"/>
        <v>2.2557493388909035E-2</v>
      </c>
      <c r="F98" s="35">
        <v>104.4349</v>
      </c>
      <c r="G98" s="35">
        <v>104.4349</v>
      </c>
      <c r="H98" s="38">
        <v>112</v>
      </c>
      <c r="I98" s="56">
        <v>0.25559999999999999</v>
      </c>
      <c r="J98" s="56">
        <v>0.21890000000000001</v>
      </c>
      <c r="K98" s="35">
        <v>5489269236.7299995</v>
      </c>
      <c r="L98" s="36">
        <f t="shared" si="29"/>
        <v>2.5261755290821291E-2</v>
      </c>
      <c r="M98" s="35">
        <v>104.8557</v>
      </c>
      <c r="N98" s="35">
        <v>104.8557</v>
      </c>
      <c r="O98" s="38">
        <v>119</v>
      </c>
      <c r="P98" s="56">
        <v>0.23330000000000001</v>
      </c>
      <c r="Q98" s="56">
        <v>0.22</v>
      </c>
      <c r="R98" s="62">
        <f t="shared" ref="R98:R100" si="30">((K98-D98)/D98)</f>
        <v>0.11833598036481741</v>
      </c>
      <c r="S98" s="62">
        <f t="shared" ref="S98:S100" si="31">((N98-G98)/G98)</f>
        <v>4.029304380049197E-3</v>
      </c>
      <c r="T98" s="62">
        <f t="shared" ref="T98:T100" si="32">((O98-H98)/H98)</f>
        <v>6.25E-2</v>
      </c>
      <c r="U98" s="63">
        <f t="shared" ref="U98:U100" si="33">P98-I98</f>
        <v>-2.2299999999999986E-2</v>
      </c>
      <c r="V98" s="64">
        <f t="shared" ref="V98:V100" si="34">Q98-J98</f>
        <v>1.0999999999999899E-3</v>
      </c>
    </row>
    <row r="99" spans="1:28">
      <c r="A99" s="150">
        <v>88</v>
      </c>
      <c r="B99" s="134" t="s">
        <v>156</v>
      </c>
      <c r="C99" s="134" t="s">
        <v>157</v>
      </c>
      <c r="D99" s="35">
        <v>88136906.099999994</v>
      </c>
      <c r="E99" s="36">
        <f t="shared" si="28"/>
        <v>4.0504791898728028E-4</v>
      </c>
      <c r="F99" s="35">
        <v>108.292956442267</v>
      </c>
      <c r="G99" s="35">
        <v>108.292956442267</v>
      </c>
      <c r="H99" s="68">
        <v>54</v>
      </c>
      <c r="I99" s="69">
        <v>1.64884522874758E-3</v>
      </c>
      <c r="J99" s="69">
        <v>6.5886046538523396E-2</v>
      </c>
      <c r="K99" s="35">
        <v>88406174.390000001</v>
      </c>
      <c r="L99" s="70">
        <f t="shared" si="29"/>
        <v>4.0684744131228723E-4</v>
      </c>
      <c r="M99" s="35">
        <v>108.473826952526</v>
      </c>
      <c r="N99" s="35">
        <v>108.473826952526</v>
      </c>
      <c r="O99" s="68">
        <v>54</v>
      </c>
      <c r="P99" s="69">
        <v>1.67019643936806E-3</v>
      </c>
      <c r="Q99" s="69">
        <v>6.7666285618224201E-2</v>
      </c>
      <c r="R99" s="62">
        <f t="shared" si="30"/>
        <v>3.0551139348424052E-3</v>
      </c>
      <c r="S99" s="62">
        <f t="shared" si="31"/>
        <v>1.6701964393725248E-3</v>
      </c>
      <c r="T99" s="62">
        <f t="shared" si="32"/>
        <v>0</v>
      </c>
      <c r="U99" s="63">
        <f t="shared" si="33"/>
        <v>2.1351210620480007E-5</v>
      </c>
      <c r="V99" s="64">
        <f t="shared" si="34"/>
        <v>1.7802390797008044E-3</v>
      </c>
    </row>
    <row r="100" spans="1:28">
      <c r="A100" s="150">
        <v>89</v>
      </c>
      <c r="B100" s="134" t="s">
        <v>158</v>
      </c>
      <c r="C100" s="135" t="s">
        <v>113</v>
      </c>
      <c r="D100" s="35">
        <v>251236108.55000001</v>
      </c>
      <c r="E100" s="36">
        <f t="shared" si="28"/>
        <v>1.1545976304997614E-3</v>
      </c>
      <c r="F100" s="35">
        <v>1.0616000000000001</v>
      </c>
      <c r="G100" s="35">
        <v>1.0616000000000001</v>
      </c>
      <c r="H100" s="38">
        <v>329</v>
      </c>
      <c r="I100" s="56">
        <v>1.5365E-2</v>
      </c>
      <c r="J100" s="56">
        <v>1.9907999999999999E-2</v>
      </c>
      <c r="K100" s="35">
        <v>251625300.83000001</v>
      </c>
      <c r="L100" s="36">
        <f t="shared" si="29"/>
        <v>1.1579859723428992E-3</v>
      </c>
      <c r="M100" s="35">
        <v>1.0632999999999999</v>
      </c>
      <c r="N100" s="35">
        <v>1.0632999999999999</v>
      </c>
      <c r="O100" s="38">
        <v>339</v>
      </c>
      <c r="P100" s="56">
        <v>1.6000000000000001E-3</v>
      </c>
      <c r="Q100" s="56">
        <v>2.1499999999999998E-2</v>
      </c>
      <c r="R100" s="62">
        <f t="shared" si="30"/>
        <v>1.5491096492706012E-3</v>
      </c>
      <c r="S100" s="62">
        <f t="shared" si="31"/>
        <v>1.601356443104571E-3</v>
      </c>
      <c r="T100" s="62">
        <f t="shared" si="32"/>
        <v>3.0395136778115502E-2</v>
      </c>
      <c r="U100" s="63">
        <f t="shared" si="33"/>
        <v>-1.3764999999999999E-2</v>
      </c>
      <c r="V100" s="64">
        <f t="shared" si="34"/>
        <v>1.5919999999999997E-3</v>
      </c>
    </row>
    <row r="101" spans="1:28">
      <c r="A101" s="150">
        <v>90</v>
      </c>
      <c r="B101" s="134" t="s">
        <v>159</v>
      </c>
      <c r="C101" s="135" t="s">
        <v>115</v>
      </c>
      <c r="D101" s="35">
        <v>2336513296.8800001</v>
      </c>
      <c r="E101" s="36">
        <f t="shared" si="28"/>
        <v>1.0737838329763581E-2</v>
      </c>
      <c r="F101" s="66">
        <v>27.479700000000001</v>
      </c>
      <c r="G101" s="66">
        <v>27.479700000000001</v>
      </c>
      <c r="H101" s="38">
        <v>1303</v>
      </c>
      <c r="I101" s="56">
        <v>0.12959999999999999</v>
      </c>
      <c r="J101" s="56">
        <v>0.12959999999999999</v>
      </c>
      <c r="K101" s="35">
        <v>2341485675.4099998</v>
      </c>
      <c r="L101" s="36">
        <f t="shared" si="29"/>
        <v>1.0775576055439934E-2</v>
      </c>
      <c r="M101" s="66">
        <v>27.537099999999999</v>
      </c>
      <c r="N101" s="66">
        <v>27.537099999999999</v>
      </c>
      <c r="O101" s="38">
        <v>1304</v>
      </c>
      <c r="P101" s="56">
        <v>0.1293</v>
      </c>
      <c r="Q101" s="56">
        <v>0.1293</v>
      </c>
      <c r="R101" s="62">
        <f t="shared" si="22"/>
        <v>2.1281190809568531E-3</v>
      </c>
      <c r="S101" s="62">
        <f t="shared" si="23"/>
        <v>2.0888146522705007E-3</v>
      </c>
      <c r="T101" s="62">
        <f t="shared" si="24"/>
        <v>7.6745970836531081E-4</v>
      </c>
      <c r="U101" s="63">
        <f t="shared" si="25"/>
        <v>-2.9999999999999472E-4</v>
      </c>
      <c r="V101" s="64">
        <f t="shared" si="26"/>
        <v>-2.9999999999999472E-4</v>
      </c>
    </row>
    <row r="102" spans="1:28">
      <c r="A102" s="42"/>
      <c r="B102" s="43"/>
      <c r="C102" s="44" t="s">
        <v>55</v>
      </c>
      <c r="D102" s="54">
        <f>SUM(D66:D101)</f>
        <v>217596244711.89484</v>
      </c>
      <c r="E102" s="46">
        <f>(D102/$D$206)</f>
        <v>5.9617761264917836E-2</v>
      </c>
      <c r="F102" s="47"/>
      <c r="G102" s="51"/>
      <c r="H102" s="49">
        <f>SUM(H66:H101)</f>
        <v>50576</v>
      </c>
      <c r="I102" s="59"/>
      <c r="J102" s="59"/>
      <c r="K102" s="54">
        <f>SUM(K66:K101)</f>
        <v>217295638150.86487</v>
      </c>
      <c r="L102" s="46">
        <f>(K102/$K$206)</f>
        <v>5.903019389070345E-2</v>
      </c>
      <c r="M102" s="47"/>
      <c r="N102" s="51"/>
      <c r="O102" s="49">
        <f>SUM(O66:O101)</f>
        <v>50377</v>
      </c>
      <c r="P102" s="59"/>
      <c r="Q102" s="59"/>
      <c r="R102" s="62">
        <f t="shared" si="22"/>
        <v>-1.3814878167037396E-3</v>
      </c>
      <c r="S102" s="62" t="e">
        <f t="shared" si="23"/>
        <v>#DIV/0!</v>
      </c>
      <c r="T102" s="62">
        <f t="shared" si="24"/>
        <v>-3.9346725719708953E-3</v>
      </c>
      <c r="U102" s="63">
        <f t="shared" si="25"/>
        <v>0</v>
      </c>
      <c r="V102" s="64">
        <f t="shared" si="26"/>
        <v>0</v>
      </c>
    </row>
    <row r="103" spans="1:28" ht="3.75" customHeight="1">
      <c r="A103" s="42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</row>
    <row r="104" spans="1:28" ht="15" customHeight="1">
      <c r="A104" s="145" t="s">
        <v>160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</row>
    <row r="105" spans="1:28">
      <c r="A105" s="144" t="s">
        <v>161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Z105" s="71"/>
      <c r="AB105" s="74"/>
    </row>
    <row r="106" spans="1:28" ht="16.5" customHeight="1">
      <c r="A106" s="150">
        <v>91</v>
      </c>
      <c r="B106" s="134" t="s">
        <v>162</v>
      </c>
      <c r="C106" s="135" t="s">
        <v>22</v>
      </c>
      <c r="D106" s="35">
        <f>1754745.14*1640.428</f>
        <v>2878533060.5199199</v>
      </c>
      <c r="E106" s="36">
        <f>(D106/$D$136)</f>
        <v>1.6684732328272266E-3</v>
      </c>
      <c r="F106" s="35">
        <f>110.9502*1640.428</f>
        <v>182005.81468559999</v>
      </c>
      <c r="G106" s="35">
        <f>110.9502*1640.428</f>
        <v>182005.81468559999</v>
      </c>
      <c r="H106" s="38">
        <v>287</v>
      </c>
      <c r="I106" s="56">
        <v>1.1000000000000001E-3</v>
      </c>
      <c r="J106" s="56">
        <v>4.7399999999999998E-2</v>
      </c>
      <c r="K106" s="35">
        <f>1759144.29*1637.71</f>
        <v>2880968195.1759</v>
      </c>
      <c r="L106" s="36">
        <f t="shared" ref="L106:L118" si="35">(K106/$K$136)</f>
        <v>1.6631158474034917E-3</v>
      </c>
      <c r="M106" s="35">
        <f>111.0747*1637.71</f>
        <v>181908.14693700001</v>
      </c>
      <c r="N106" s="35">
        <f>111.0747*1637.71</f>
        <v>181908.14693700001</v>
      </c>
      <c r="O106" s="38">
        <v>287</v>
      </c>
      <c r="P106" s="56">
        <v>1.1000000000000001E-3</v>
      </c>
      <c r="Q106" s="56">
        <v>4.8500000000000001E-2</v>
      </c>
      <c r="R106" s="63">
        <f>((K106-D106)/D106)</f>
        <v>8.4596376167389814E-4</v>
      </c>
      <c r="S106" s="63">
        <f>((N106-G106)/G106)</f>
        <v>-5.3661883697889298E-4</v>
      </c>
      <c r="T106" s="63">
        <f>((O106-H106)/H106)</f>
        <v>0</v>
      </c>
      <c r="U106" s="63">
        <f>P106-I106</f>
        <v>0</v>
      </c>
      <c r="V106" s="64">
        <f>Q106-J106</f>
        <v>1.1000000000000038E-3</v>
      </c>
      <c r="X106" s="71"/>
      <c r="Y106" s="75"/>
      <c r="Z106" s="71"/>
      <c r="AA106" s="76"/>
    </row>
    <row r="107" spans="1:28" ht="16.5" customHeight="1">
      <c r="A107" s="150">
        <v>92</v>
      </c>
      <c r="B107" s="134" t="s">
        <v>163</v>
      </c>
      <c r="C107" s="135" t="s">
        <v>59</v>
      </c>
      <c r="D107" s="35">
        <f>1086005.9*1640.428</f>
        <v>1781514486.5251999</v>
      </c>
      <c r="E107" s="36">
        <f>(D107/$D$136)</f>
        <v>1.0326125051085433E-3</v>
      </c>
      <c r="F107" s="35">
        <f>100*1640.428</f>
        <v>164042.80000000002</v>
      </c>
      <c r="G107" s="35">
        <f>100*1640.428</f>
        <v>164042.80000000002</v>
      </c>
      <c r="H107" s="38">
        <v>22</v>
      </c>
      <c r="I107" s="56">
        <v>-4.9459999999999999E-3</v>
      </c>
      <c r="J107" s="56">
        <v>6.4009999999999997E-2</v>
      </c>
      <c r="K107" s="35">
        <f>1115368.2*1637.71</f>
        <v>1826649654.822</v>
      </c>
      <c r="L107" s="36">
        <f t="shared" si="35"/>
        <v>1.0544823069117925E-3</v>
      </c>
      <c r="M107" s="35">
        <f>100*1637.71</f>
        <v>163771</v>
      </c>
      <c r="N107" s="35">
        <f>100*1637.71</f>
        <v>163771</v>
      </c>
      <c r="O107" s="38">
        <v>22</v>
      </c>
      <c r="P107" s="56">
        <v>4.2789999999999998E-3</v>
      </c>
      <c r="Q107" s="56">
        <v>6.8289000000000002E-2</v>
      </c>
      <c r="R107" s="63">
        <f>((K107-D107)/D107)</f>
        <v>2.5335279975654407E-2</v>
      </c>
      <c r="S107" s="63">
        <f>((N107-G107)/G107)</f>
        <v>-1.6568846666846545E-3</v>
      </c>
      <c r="T107" s="63">
        <f>((O107-H107)/H107)</f>
        <v>0</v>
      </c>
      <c r="U107" s="63">
        <f>P107-I107</f>
        <v>9.2250000000000006E-3</v>
      </c>
      <c r="V107" s="64">
        <f>Q107-J107</f>
        <v>4.279000000000005E-3</v>
      </c>
      <c r="X107" s="71"/>
      <c r="Y107" s="75"/>
      <c r="Z107" s="71"/>
      <c r="AA107" s="76"/>
    </row>
    <row r="108" spans="1:28">
      <c r="A108" s="150">
        <v>93</v>
      </c>
      <c r="B108" s="134" t="s">
        <v>164</v>
      </c>
      <c r="C108" s="135" t="s">
        <v>296</v>
      </c>
      <c r="D108" s="35">
        <f>9579873.12*1639.928</f>
        <v>15710302165.93536</v>
      </c>
      <c r="E108" s="36">
        <f>(D108/$D$136)</f>
        <v>9.1061030366475296E-3</v>
      </c>
      <c r="F108" s="35">
        <f>1.1485*1639.928</f>
        <v>1883.4573080000002</v>
      </c>
      <c r="G108" s="35">
        <f>1.1485*1639.928</f>
        <v>1883.4573080000002</v>
      </c>
      <c r="H108" s="38">
        <v>295</v>
      </c>
      <c r="I108" s="56">
        <v>5.0099999999999999E-2</v>
      </c>
      <c r="J108" s="56">
        <v>-2.92E-2</v>
      </c>
      <c r="K108" s="35">
        <f>9618833.73*1637.21</f>
        <v>15748050771.093302</v>
      </c>
      <c r="L108" s="36">
        <f t="shared" si="35"/>
        <v>9.0909829712719006E-3</v>
      </c>
      <c r="M108" s="35">
        <f>1.1496*1637.21</f>
        <v>1882.136616</v>
      </c>
      <c r="N108" s="35">
        <f>1.1496*1637.21</f>
        <v>1882.136616</v>
      </c>
      <c r="O108" s="38">
        <v>295</v>
      </c>
      <c r="P108" s="56">
        <v>5.0099999999999999E-2</v>
      </c>
      <c r="Q108" s="56">
        <v>-2.7400000000000001E-2</v>
      </c>
      <c r="R108" s="63">
        <f t="shared" ref="R108:R118" si="36">((K108-D108)/D108)</f>
        <v>2.4027930691105418E-3</v>
      </c>
      <c r="S108" s="63">
        <f t="shared" ref="S108:S118" si="37">((N108-G108)/G108)</f>
        <v>-7.0120623089813905E-4</v>
      </c>
      <c r="T108" s="63">
        <f t="shared" ref="T108:T118" si="38">((O108-H108)/H108)</f>
        <v>0</v>
      </c>
      <c r="U108" s="63">
        <f t="shared" ref="U108:U118" si="39">P108-I108</f>
        <v>0</v>
      </c>
      <c r="V108" s="64">
        <f t="shared" ref="V108:V118" si="40">Q108-J108</f>
        <v>1.7999999999999995E-3</v>
      </c>
    </row>
    <row r="109" spans="1:28">
      <c r="A109" s="150">
        <v>94</v>
      </c>
      <c r="B109" s="134" t="s">
        <v>165</v>
      </c>
      <c r="C109" s="135" t="s">
        <v>29</v>
      </c>
      <c r="D109" s="35">
        <f>2332696.75*1640.428</f>
        <v>3826621064.2090001</v>
      </c>
      <c r="E109" s="36">
        <f>(D109/$D$136)</f>
        <v>2.2180098972538341E-3</v>
      </c>
      <c r="F109" s="35">
        <f>1.0496*1640.428</f>
        <v>1721.7932288000002</v>
      </c>
      <c r="G109" s="35">
        <f>1.0496*1640.428</f>
        <v>1721.7932288000002</v>
      </c>
      <c r="H109" s="38">
        <v>263</v>
      </c>
      <c r="I109" s="56">
        <v>1.2999999999999999E-3</v>
      </c>
      <c r="J109" s="56">
        <v>4.9599999999999998E-2</v>
      </c>
      <c r="K109" s="35">
        <f>2358035.83*1637.71</f>
        <v>3861778859.1493001</v>
      </c>
      <c r="L109" s="36">
        <f t="shared" si="35"/>
        <v>2.2293150027040964E-3</v>
      </c>
      <c r="M109" s="35">
        <f>1.051*1637.71</f>
        <v>1721.2332099999999</v>
      </c>
      <c r="N109" s="35">
        <f>1.051*1637.71</f>
        <v>1721.2332099999999</v>
      </c>
      <c r="O109" s="38">
        <v>266</v>
      </c>
      <c r="P109" s="56">
        <v>1.2999999999999999E-3</v>
      </c>
      <c r="Q109" s="56">
        <v>5.0999999999999997E-2</v>
      </c>
      <c r="R109" s="63">
        <f t="shared" si="36"/>
        <v>9.1876865648225468E-3</v>
      </c>
      <c r="S109" s="63">
        <f t="shared" ref="S109:T112" si="41">((N109-G109)/G109)</f>
        <v>-3.2525322473861223E-4</v>
      </c>
      <c r="T109" s="63">
        <f t="shared" si="41"/>
        <v>1.1406844106463879E-2</v>
      </c>
      <c r="U109" s="63">
        <f t="shared" si="39"/>
        <v>0</v>
      </c>
      <c r="V109" s="64">
        <f t="shared" si="40"/>
        <v>1.3999999999999985E-3</v>
      </c>
    </row>
    <row r="110" spans="1:28">
      <c r="A110" s="150">
        <v>95</v>
      </c>
      <c r="B110" s="134" t="s">
        <v>166</v>
      </c>
      <c r="C110" s="135" t="s">
        <v>65</v>
      </c>
      <c r="D110" s="35">
        <f>388928.84*1640.428</f>
        <v>638009759.14352012</v>
      </c>
      <c r="E110" s="36">
        <f>(D110/$D$136)</f>
        <v>3.698071840874529E-4</v>
      </c>
      <c r="F110" s="35">
        <f>1.06*1640.428</f>
        <v>1738.8536800000002</v>
      </c>
      <c r="G110" s="35">
        <f>1.06*1640.428</f>
        <v>1738.8536800000002</v>
      </c>
      <c r="H110" s="38">
        <v>15</v>
      </c>
      <c r="I110" s="56">
        <v>0.115</v>
      </c>
      <c r="J110" s="56">
        <v>5.8000000000000003E-2</v>
      </c>
      <c r="K110" s="35">
        <f>389515.37*1637.71</f>
        <v>637913216.6027</v>
      </c>
      <c r="L110" s="36">
        <f t="shared" si="35"/>
        <v>3.6825244429167014E-4</v>
      </c>
      <c r="M110" s="35">
        <f>1.05*1637.71</f>
        <v>1719.5955000000001</v>
      </c>
      <c r="N110" s="35">
        <f>1.06*1637.71</f>
        <v>1735.9726000000001</v>
      </c>
      <c r="O110" s="38">
        <v>16</v>
      </c>
      <c r="P110" s="56">
        <v>-0.20300000000000001</v>
      </c>
      <c r="Q110" s="56">
        <v>5.0999999999999997E-2</v>
      </c>
      <c r="R110" s="63">
        <f t="shared" si="36"/>
        <v>-1.5131828226220683E-4</v>
      </c>
      <c r="S110" s="63">
        <f t="shared" si="41"/>
        <v>-1.6568846666846118E-3</v>
      </c>
      <c r="T110" s="63">
        <f t="shared" si="41"/>
        <v>6.6666666666666666E-2</v>
      </c>
      <c r="U110" s="63">
        <f t="shared" si="39"/>
        <v>-0.318</v>
      </c>
      <c r="V110" s="64">
        <f t="shared" si="40"/>
        <v>-7.0000000000000062E-3</v>
      </c>
    </row>
    <row r="111" spans="1:28">
      <c r="A111" s="150">
        <v>96</v>
      </c>
      <c r="B111" s="134" t="s">
        <v>167</v>
      </c>
      <c r="C111" s="135" t="s">
        <v>31</v>
      </c>
      <c r="D111" s="35">
        <f>387616.54*1627.666</f>
        <v>630910263.19563997</v>
      </c>
      <c r="E111" s="36">
        <v>0</v>
      </c>
      <c r="F111" s="35">
        <f>1.1713*1627.666</f>
        <v>1906.4851858</v>
      </c>
      <c r="G111" s="35">
        <f>1.1713*1627.666</f>
        <v>1906.4851858</v>
      </c>
      <c r="H111" s="38">
        <v>43</v>
      </c>
      <c r="I111" s="56">
        <v>2.5599999999999999E-4</v>
      </c>
      <c r="J111" s="56">
        <v>9.35E-2</v>
      </c>
      <c r="K111" s="35">
        <f>391101.46*1637.71</f>
        <v>640510772.05660009</v>
      </c>
      <c r="L111" s="36">
        <f t="shared" si="35"/>
        <v>3.6975195256361997E-4</v>
      </c>
      <c r="M111" s="35">
        <f>1.171*1637.71</f>
        <v>1917.7584100000001</v>
      </c>
      <c r="N111" s="35">
        <f>1.171*1637.71</f>
        <v>1917.7584100000001</v>
      </c>
      <c r="O111" s="38">
        <v>43</v>
      </c>
      <c r="P111" s="56">
        <v>1.9300000000000001E-2</v>
      </c>
      <c r="Q111" s="56">
        <v>9.2999999999999999E-2</v>
      </c>
      <c r="R111" s="63">
        <f t="shared" si="36"/>
        <v>1.5216916606067461E-2</v>
      </c>
      <c r="S111" s="63">
        <f t="shared" si="41"/>
        <v>5.9130929964555231E-3</v>
      </c>
      <c r="T111" s="63">
        <f t="shared" si="41"/>
        <v>0</v>
      </c>
      <c r="U111" s="63">
        <f t="shared" si="39"/>
        <v>1.9044000000000002E-2</v>
      </c>
      <c r="V111" s="64">
        <f t="shared" si="40"/>
        <v>-5.0000000000000044E-4</v>
      </c>
    </row>
    <row r="112" spans="1:28">
      <c r="A112" s="150">
        <v>97</v>
      </c>
      <c r="B112" s="134" t="s">
        <v>168</v>
      </c>
      <c r="C112" s="135" t="s">
        <v>75</v>
      </c>
      <c r="D112" s="35">
        <f>407353.78*1640.428</f>
        <v>668234546.61784005</v>
      </c>
      <c r="E112" s="36">
        <f t="shared" ref="E112:E118" si="42">(D112/$D$136)</f>
        <v>3.873262633575329E-4</v>
      </c>
      <c r="F112" s="35">
        <f>106.36*1640.428</f>
        <v>174475.92208000002</v>
      </c>
      <c r="G112" s="35">
        <f>107.51*1640.428</f>
        <v>176362.41428000003</v>
      </c>
      <c r="H112" s="38">
        <v>44</v>
      </c>
      <c r="I112" s="56">
        <v>8.0000000000000004E-4</v>
      </c>
      <c r="J112" s="56">
        <v>6.6500000000000004E-2</v>
      </c>
      <c r="K112" s="35">
        <f>407605.09*1637.71</f>
        <v>667538931.94390011</v>
      </c>
      <c r="L112" s="36">
        <f t="shared" si="35"/>
        <v>3.8535467983773328E-4</v>
      </c>
      <c r="M112" s="35">
        <f>106.44*1637.71</f>
        <v>174317.8524</v>
      </c>
      <c r="N112" s="35">
        <f>107.67*1637.71</f>
        <v>176332.23570000002</v>
      </c>
      <c r="O112" s="38">
        <v>44</v>
      </c>
      <c r="P112" s="56">
        <v>1.1000000000000001E-3</v>
      </c>
      <c r="Q112" s="56">
        <v>6.7699999999999996E-2</v>
      </c>
      <c r="R112" s="63">
        <f t="shared" si="36"/>
        <v>-1.0409738279181812E-3</v>
      </c>
      <c r="S112" s="63">
        <f t="shared" si="41"/>
        <v>-1.7111684552069206E-4</v>
      </c>
      <c r="T112" s="63">
        <f t="shared" si="41"/>
        <v>0</v>
      </c>
      <c r="U112" s="63">
        <f t="shared" si="39"/>
        <v>3.0000000000000003E-4</v>
      </c>
      <c r="V112" s="64">
        <f t="shared" si="40"/>
        <v>1.1999999999999927E-3</v>
      </c>
    </row>
    <row r="113" spans="1:24">
      <c r="A113" s="150">
        <v>98</v>
      </c>
      <c r="B113" s="134" t="s">
        <v>169</v>
      </c>
      <c r="C113" s="135" t="s">
        <v>78</v>
      </c>
      <c r="D113" s="35">
        <v>5099155324.1732702</v>
      </c>
      <c r="E113" s="36">
        <f t="shared" si="42"/>
        <v>2.9556041183264586E-3</v>
      </c>
      <c r="F113" s="35">
        <v>181660.14929579999</v>
      </c>
      <c r="G113" s="35">
        <v>181660.14929579999</v>
      </c>
      <c r="H113" s="38">
        <v>53</v>
      </c>
      <c r="I113" s="56">
        <v>7.8799999999999996E-4</v>
      </c>
      <c r="J113" s="56">
        <v>6.7484000000000002E-2</v>
      </c>
      <c r="K113" s="35">
        <v>5180769533.3499002</v>
      </c>
      <c r="L113" s="36">
        <f t="shared" si="35"/>
        <v>2.9907376024098527E-3</v>
      </c>
      <c r="M113" s="35">
        <v>180055.28307899999</v>
      </c>
      <c r="N113" s="35">
        <v>180055.28307899999</v>
      </c>
      <c r="O113" s="38">
        <v>53</v>
      </c>
      <c r="P113" s="56">
        <v>1.1709999999999999E-3</v>
      </c>
      <c r="Q113" s="56">
        <v>6.7699999999999996E-2</v>
      </c>
      <c r="R113" s="63">
        <f t="shared" si="36"/>
        <v>1.6005436976929546E-2</v>
      </c>
      <c r="S113" s="63">
        <f t="shared" si="37"/>
        <v>-8.8344429035273602E-3</v>
      </c>
      <c r="T113" s="63">
        <f t="shared" si="38"/>
        <v>0</v>
      </c>
      <c r="U113" s="63">
        <f t="shared" si="39"/>
        <v>3.8299999999999999E-4</v>
      </c>
      <c r="V113" s="64">
        <f t="shared" si="40"/>
        <v>2.1599999999999397E-4</v>
      </c>
      <c r="X113" s="72"/>
    </row>
    <row r="114" spans="1:24">
      <c r="A114" s="150">
        <v>99</v>
      </c>
      <c r="B114" s="134" t="s">
        <v>170</v>
      </c>
      <c r="C114" s="135" t="s">
        <v>33</v>
      </c>
      <c r="D114" s="35">
        <v>55099823910.980003</v>
      </c>
      <c r="E114" s="36">
        <f t="shared" si="42"/>
        <v>3.193730257604159E-2</v>
      </c>
      <c r="F114" s="35">
        <v>210838.73</v>
      </c>
      <c r="G114" s="35">
        <v>210838.73</v>
      </c>
      <c r="H114" s="38">
        <v>2206</v>
      </c>
      <c r="I114" s="56">
        <v>1.5E-3</v>
      </c>
      <c r="J114" s="56">
        <v>6.2899999999999998E-2</v>
      </c>
      <c r="K114" s="35">
        <f>33985534.05*1637.71</f>
        <v>55658448969.025497</v>
      </c>
      <c r="L114" s="36">
        <f t="shared" si="35"/>
        <v>3.2130326421959378E-2</v>
      </c>
      <c r="M114" s="35">
        <f>124.59*1637.71</f>
        <v>204042.28890000001</v>
      </c>
      <c r="N114" s="137">
        <f>124.59*1637.71</f>
        <v>204042.28890000001</v>
      </c>
      <c r="O114" s="38">
        <v>2206</v>
      </c>
      <c r="P114" s="56">
        <v>-5.1400000000000001E-2</v>
      </c>
      <c r="Q114" s="56">
        <v>7.9000000000000001E-2</v>
      </c>
      <c r="R114" s="63">
        <f t="shared" si="36"/>
        <v>1.013841820888604E-2</v>
      </c>
      <c r="S114" s="63">
        <f t="shared" si="37"/>
        <v>-3.2235259148070169E-2</v>
      </c>
      <c r="T114" s="63">
        <f t="shared" si="38"/>
        <v>0</v>
      </c>
      <c r="U114" s="63">
        <f t="shared" si="39"/>
        <v>-5.2900000000000003E-2</v>
      </c>
      <c r="V114" s="64">
        <f t="shared" si="40"/>
        <v>1.6100000000000003E-2</v>
      </c>
    </row>
    <row r="115" spans="1:24">
      <c r="A115" s="150">
        <v>100</v>
      </c>
      <c r="B115" s="138" t="s">
        <v>171</v>
      </c>
      <c r="C115" s="138" t="s">
        <v>33</v>
      </c>
      <c r="D115" s="35">
        <v>98698418340.110001</v>
      </c>
      <c r="E115" s="36">
        <f t="shared" si="42"/>
        <v>5.7208190998895E-2</v>
      </c>
      <c r="F115" s="35">
        <v>192733.91</v>
      </c>
      <c r="G115" s="35">
        <v>192733.91</v>
      </c>
      <c r="H115" s="38">
        <v>554</v>
      </c>
      <c r="I115" s="56">
        <v>1.6999999999999999E-3</v>
      </c>
      <c r="J115" s="56">
        <v>7.6200000000000004E-2</v>
      </c>
      <c r="K115" s="35">
        <f>62145500.78*1637.71</f>
        <v>101776308082.4138</v>
      </c>
      <c r="L115" s="36">
        <f t="shared" si="35"/>
        <v>5.8753092500470248E-2</v>
      </c>
      <c r="M115" s="35">
        <f>116.84*1637.71</f>
        <v>191350.03640000001</v>
      </c>
      <c r="N115" s="35">
        <f>116.84*1637.71</f>
        <v>191350.03640000001</v>
      </c>
      <c r="O115" s="38">
        <v>554</v>
      </c>
      <c r="P115" s="56">
        <v>-2.9600000000000001E-2</v>
      </c>
      <c r="Q115" s="56">
        <v>8.8700000000000001E-2</v>
      </c>
      <c r="R115" s="63">
        <f t="shared" si="36"/>
        <v>3.118479296899716E-2</v>
      </c>
      <c r="S115" s="63">
        <f t="shared" si="37"/>
        <v>-7.1802289488133754E-3</v>
      </c>
      <c r="T115" s="63">
        <f t="shared" si="38"/>
        <v>0</v>
      </c>
      <c r="U115" s="63">
        <f t="shared" si="39"/>
        <v>-3.1300000000000001E-2</v>
      </c>
      <c r="V115" s="64">
        <f t="shared" si="40"/>
        <v>1.2499999999999997E-2</v>
      </c>
    </row>
    <row r="116" spans="1:24">
      <c r="A116" s="150">
        <v>101</v>
      </c>
      <c r="B116" s="134" t="s">
        <v>172</v>
      </c>
      <c r="C116" s="135" t="s">
        <v>37</v>
      </c>
      <c r="D116" s="35">
        <f>118984.35*1640.428</f>
        <v>195185259.30180001</v>
      </c>
      <c r="E116" s="36">
        <f t="shared" si="42"/>
        <v>1.1313449376491576E-4</v>
      </c>
      <c r="F116" s="35">
        <f>116.08*1640.428</f>
        <v>190420.88224000001</v>
      </c>
      <c r="G116" s="35">
        <f>116.08*1640.428</f>
        <v>190420.88224000001</v>
      </c>
      <c r="H116" s="38">
        <v>4</v>
      </c>
      <c r="I116" s="56">
        <v>2.2000000000000001E-3</v>
      </c>
      <c r="J116" s="56">
        <v>1.2999999999999999E-2</v>
      </c>
      <c r="K116" s="35">
        <f>119249.2*1637.71</f>
        <v>195295607.33199999</v>
      </c>
      <c r="L116" s="36">
        <f t="shared" si="35"/>
        <v>1.1273960609006578E-4</v>
      </c>
      <c r="M116" s="35">
        <f>116.34*1637.71</f>
        <v>190531.1814</v>
      </c>
      <c r="N116" s="35">
        <f>116.34*1637.71</f>
        <v>190531.1814</v>
      </c>
      <c r="O116" s="38">
        <v>4</v>
      </c>
      <c r="P116" s="56">
        <v>2.2000000000000001E-3</v>
      </c>
      <c r="Q116" s="56">
        <v>1.52E-2</v>
      </c>
      <c r="R116" s="63">
        <f t="shared" si="36"/>
        <v>5.6535022467732606E-4</v>
      </c>
      <c r="S116" s="63">
        <f t="shared" si="37"/>
        <v>5.7923878254580142E-4</v>
      </c>
      <c r="T116" s="63">
        <f t="shared" si="38"/>
        <v>0</v>
      </c>
      <c r="U116" s="63">
        <f t="shared" si="39"/>
        <v>0</v>
      </c>
      <c r="V116" s="64">
        <f t="shared" si="40"/>
        <v>2.2000000000000006E-3</v>
      </c>
    </row>
    <row r="117" spans="1:24">
      <c r="A117" s="150">
        <v>102</v>
      </c>
      <c r="B117" s="134" t="s">
        <v>173</v>
      </c>
      <c r="C117" s="135" t="s">
        <v>43</v>
      </c>
      <c r="D117" s="35">
        <f>10093725.75*1640.428</f>
        <v>16558030344.621</v>
      </c>
      <c r="E117" s="36">
        <f t="shared" si="42"/>
        <v>9.5974685152135104E-3</v>
      </c>
      <c r="F117" s="35">
        <f>1.37*1640.428</f>
        <v>2247.3863600000004</v>
      </c>
      <c r="G117" s="35">
        <f>1.37*1640.428</f>
        <v>2247.3863600000004</v>
      </c>
      <c r="H117" s="52">
        <v>112</v>
      </c>
      <c r="I117" s="59">
        <v>1.9E-3</v>
      </c>
      <c r="J117" s="59">
        <v>4.7500000000000001E-2</v>
      </c>
      <c r="K117" s="35">
        <f>10099049.36*1637.71</f>
        <v>16539314127.365599</v>
      </c>
      <c r="L117" s="36">
        <f t="shared" si="35"/>
        <v>9.5477608799935838E-3</v>
      </c>
      <c r="M117" s="35">
        <f>1.37*1637.71</f>
        <v>2243.6627000000003</v>
      </c>
      <c r="N117" s="35">
        <f>1.37*1637.71</f>
        <v>2243.6627000000003</v>
      </c>
      <c r="O117" s="52">
        <v>109</v>
      </c>
      <c r="P117" s="59">
        <v>8.9999999999999998E-4</v>
      </c>
      <c r="Q117" s="59">
        <v>4.7600000000000003E-2</v>
      </c>
      <c r="R117" s="63">
        <f t="shared" si="36"/>
        <v>-1.1303407993500697E-3</v>
      </c>
      <c r="S117" s="63">
        <f t="shared" si="37"/>
        <v>-1.6568846666845964E-3</v>
      </c>
      <c r="T117" s="63">
        <f t="shared" si="38"/>
        <v>-2.6785714285714284E-2</v>
      </c>
      <c r="U117" s="63">
        <f t="shared" si="39"/>
        <v>-1E-3</v>
      </c>
      <c r="V117" s="64">
        <f t="shared" si="40"/>
        <v>1.0000000000000286E-4</v>
      </c>
    </row>
    <row r="118" spans="1:24">
      <c r="A118" s="150">
        <v>103</v>
      </c>
      <c r="B118" s="134" t="s">
        <v>174</v>
      </c>
      <c r="C118" s="135" t="s">
        <v>92</v>
      </c>
      <c r="D118" s="35">
        <f>15599217.01*1640.428</f>
        <v>25589392361.280281</v>
      </c>
      <c r="E118" s="36">
        <f t="shared" si="42"/>
        <v>1.4832282729244752E-2</v>
      </c>
      <c r="F118" s="35">
        <f>103.43*1640.428</f>
        <v>169669.46804000004</v>
      </c>
      <c r="G118" s="35">
        <f>103.43*1640.428</f>
        <v>169669.46804000004</v>
      </c>
      <c r="H118" s="38">
        <v>422</v>
      </c>
      <c r="I118" s="189">
        <v>2E-3</v>
      </c>
      <c r="J118" s="56">
        <v>7.9899999999999999E-2</v>
      </c>
      <c r="K118" s="35">
        <f>18127596.88*1637.71</f>
        <v>29687746686.344799</v>
      </c>
      <c r="L118" s="36">
        <f t="shared" si="35"/>
        <v>1.7138044797036001E-2</v>
      </c>
      <c r="M118" s="35">
        <f>103.7*1637.71</f>
        <v>169830.527</v>
      </c>
      <c r="N118" s="35">
        <f>103.7*1637.71</f>
        <v>169830.527</v>
      </c>
      <c r="O118" s="38">
        <v>426</v>
      </c>
      <c r="P118" s="188">
        <v>2.5999999999999999E-3</v>
      </c>
      <c r="Q118" s="56">
        <v>8.2500000000000004E-2</v>
      </c>
      <c r="R118" s="63">
        <f t="shared" si="36"/>
        <v>0.16015832917024647</v>
      </c>
      <c r="S118" s="63">
        <f t="shared" si="37"/>
        <v>9.4925128168608182E-4</v>
      </c>
      <c r="T118" s="63">
        <f t="shared" si="38"/>
        <v>9.4786729857819912E-3</v>
      </c>
      <c r="U118" s="63">
        <f t="shared" si="39"/>
        <v>5.9999999999999984E-4</v>
      </c>
      <c r="V118" s="64">
        <f t="shared" si="40"/>
        <v>2.6000000000000051E-3</v>
      </c>
    </row>
    <row r="119" spans="1:24">
      <c r="A119" s="150">
        <v>104</v>
      </c>
      <c r="B119" s="134" t="s">
        <v>175</v>
      </c>
      <c r="C119" s="135" t="s">
        <v>47</v>
      </c>
      <c r="D119" s="35">
        <f>1937879.77*1640.428</f>
        <v>3178952235.3415604</v>
      </c>
      <c r="E119" s="36">
        <f t="shared" ref="E119:E120" si="43">(D119/$D$136)</f>
        <v>1.842604063107639E-3</v>
      </c>
      <c r="F119" s="35">
        <f>136.543101*1640.428</f>
        <v>223989.12608722804</v>
      </c>
      <c r="G119" s="35">
        <f>140.72244*1640.428</f>
        <v>230845.03080432003</v>
      </c>
      <c r="H119" s="38">
        <v>46</v>
      </c>
      <c r="I119" s="56">
        <v>6.9999999999999999E-4</v>
      </c>
      <c r="J119" s="56">
        <v>3.8199999999999998E-2</v>
      </c>
      <c r="K119" s="35">
        <f>1942115.31*1637.71</f>
        <v>3180621664.3401003</v>
      </c>
      <c r="L119" s="36">
        <f t="shared" ref="L119:L120" si="44">(K119/$K$136)</f>
        <v>1.8360988168548387E-3</v>
      </c>
      <c r="M119" s="35">
        <f>136.77*1637.71</f>
        <v>223989.59670000002</v>
      </c>
      <c r="N119" s="35">
        <f>140.35*1637.71</f>
        <v>229852.59849999999</v>
      </c>
      <c r="O119" s="38">
        <v>46</v>
      </c>
      <c r="P119" s="56">
        <v>-1.1000000000000001E-3</v>
      </c>
      <c r="Q119" s="56">
        <v>3.7699999999999997E-2</v>
      </c>
      <c r="R119" s="63">
        <f t="shared" ref="R119:R120" si="45">((K119-D119)/D119)</f>
        <v>5.2515070216541137E-4</v>
      </c>
      <c r="S119" s="63">
        <f t="shared" ref="S119:S120" si="46">((N119-G119)/G119)</f>
        <v>-4.2991278645339139E-3</v>
      </c>
      <c r="T119" s="63">
        <f t="shared" ref="T119:T120" si="47">((O119-H119)/H119)</f>
        <v>0</v>
      </c>
      <c r="U119" s="63">
        <f t="shared" ref="U119:U120" si="48">P119-I119</f>
        <v>-1.8E-3</v>
      </c>
      <c r="V119" s="64">
        <f t="shared" ref="V119:V120" si="49">Q119-J119</f>
        <v>-5.0000000000000044E-4</v>
      </c>
    </row>
    <row r="120" spans="1:24">
      <c r="A120" s="150">
        <v>105</v>
      </c>
      <c r="B120" s="134" t="s">
        <v>176</v>
      </c>
      <c r="C120" s="135" t="s">
        <v>54</v>
      </c>
      <c r="D120" s="39">
        <f>143117310.99*1600.78</f>
        <v>229099329086.5722</v>
      </c>
      <c r="E120" s="36">
        <f t="shared" si="43"/>
        <v>0.13279197778974983</v>
      </c>
      <c r="F120" s="35">
        <f>122.9025*1600.78</f>
        <v>196739.86395</v>
      </c>
      <c r="G120" s="35">
        <f>122.9025*1600.78</f>
        <v>196739.86395</v>
      </c>
      <c r="H120" s="38">
        <v>3340</v>
      </c>
      <c r="I120" s="56">
        <v>5.4899999999999997E-2</v>
      </c>
      <c r="J120" s="56">
        <v>5.3100000000000001E-2</v>
      </c>
      <c r="K120" s="39">
        <f>143404839.52*1600</f>
        <v>229447743232.00003</v>
      </c>
      <c r="L120" s="36">
        <f t="shared" si="44"/>
        <v>0.13245483881393827</v>
      </c>
      <c r="M120" s="35">
        <f>123.0285*1600</f>
        <v>196845.59999999998</v>
      </c>
      <c r="N120" s="35">
        <f>123.0285*1600</f>
        <v>196845.59999999998</v>
      </c>
      <c r="O120" s="38">
        <v>3349</v>
      </c>
      <c r="P120" s="56">
        <v>5.4899999999999997E-2</v>
      </c>
      <c r="Q120" s="56">
        <v>5.3100000000000001E-2</v>
      </c>
      <c r="R120" s="63">
        <f t="shared" si="45"/>
        <v>1.5207995013209617E-3</v>
      </c>
      <c r="S120" s="63">
        <f t="shared" si="46"/>
        <v>5.37440902301578E-4</v>
      </c>
      <c r="T120" s="63">
        <f t="shared" si="47"/>
        <v>2.6946107784431138E-3</v>
      </c>
      <c r="U120" s="63">
        <f t="shared" si="48"/>
        <v>0</v>
      </c>
      <c r="V120" s="64">
        <f t="shared" si="49"/>
        <v>0</v>
      </c>
    </row>
    <row r="121" spans="1:24" ht="6" customHeight="1">
      <c r="A121" s="42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</row>
    <row r="122" spans="1:24">
      <c r="A122" s="144" t="s">
        <v>177</v>
      </c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4">
      <c r="A123" s="150">
        <v>106</v>
      </c>
      <c r="B123" s="134" t="s">
        <v>178</v>
      </c>
      <c r="C123" s="135" t="s">
        <v>121</v>
      </c>
      <c r="D123" s="39">
        <v>1892907796.3599999</v>
      </c>
      <c r="E123" s="36">
        <f t="shared" ref="E123:E133" si="50">(D123/$D$136)</f>
        <v>1.0971789880593504E-3</v>
      </c>
      <c r="F123" s="35">
        <v>172910.62</v>
      </c>
      <c r="G123" s="35">
        <v>172910.62</v>
      </c>
      <c r="H123" s="38">
        <v>21</v>
      </c>
      <c r="I123" s="56">
        <v>-0.1217</v>
      </c>
      <c r="J123" s="56">
        <v>7.3099999999999998E-2</v>
      </c>
      <c r="K123" s="39">
        <v>1897803820.03</v>
      </c>
      <c r="L123" s="36">
        <f t="shared" ref="L123:L135" si="51">(K123/$K$136)</f>
        <v>1.0955579494559705E-3</v>
      </c>
      <c r="M123" s="35">
        <v>173363.39</v>
      </c>
      <c r="N123" s="35">
        <v>145471.43</v>
      </c>
      <c r="O123" s="38">
        <v>21</v>
      </c>
      <c r="P123" s="56">
        <v>2.6189999999999998E-3</v>
      </c>
      <c r="Q123" s="56">
        <v>7.5600000000000001E-2</v>
      </c>
      <c r="R123" s="63">
        <f>((K123-D123)/D123)</f>
        <v>2.5865093267696242E-3</v>
      </c>
      <c r="S123" s="63">
        <f>((N123-G123)/G123)</f>
        <v>-0.15869002146889533</v>
      </c>
      <c r="T123" s="63">
        <f>((O123-H123)/H123)</f>
        <v>0</v>
      </c>
      <c r="U123" s="63">
        <f>P123-I123</f>
        <v>0.124319</v>
      </c>
      <c r="V123" s="64">
        <f>Q123-J123</f>
        <v>2.5000000000000022E-3</v>
      </c>
    </row>
    <row r="124" spans="1:24">
      <c r="A124" s="150">
        <v>107</v>
      </c>
      <c r="B124" s="135" t="s">
        <v>179</v>
      </c>
      <c r="C124" s="135" t="s">
        <v>27</v>
      </c>
      <c r="D124" s="35">
        <f>10342987.91*1640.428</f>
        <v>16966926971.225481</v>
      </c>
      <c r="E124" s="36">
        <f t="shared" si="50"/>
        <v>9.8344757206682565E-3</v>
      </c>
      <c r="F124" s="39">
        <f>132.24*1640.428</f>
        <v>216930.19872000004</v>
      </c>
      <c r="G124" s="39">
        <f>132.24*1640.428</f>
        <v>216930.19872000004</v>
      </c>
      <c r="H124" s="38">
        <v>481</v>
      </c>
      <c r="I124" s="56">
        <v>5.0000000000000001E-4</v>
      </c>
      <c r="J124" s="56">
        <v>4.6600000000000003E-2</v>
      </c>
      <c r="K124" s="35">
        <f>10713072.85*1637.71</f>
        <v>17544906537.1735</v>
      </c>
      <c r="L124" s="36">
        <f t="shared" si="51"/>
        <v>1.0128265960049867E-2</v>
      </c>
      <c r="M124" s="39">
        <f>132.38*1637.71</f>
        <v>216800.04980000001</v>
      </c>
      <c r="N124" s="39">
        <f>132.38*1637.71</f>
        <v>216800.04980000001</v>
      </c>
      <c r="O124" s="38">
        <v>483</v>
      </c>
      <c r="P124" s="56">
        <v>5.0000000000000001E-4</v>
      </c>
      <c r="Q124" s="56">
        <v>4.7699999999999999E-2</v>
      </c>
      <c r="R124" s="63">
        <f t="shared" ref="R124:R136" si="52">((K124-D124)/D124)</f>
        <v>3.4065070647632603E-2</v>
      </c>
      <c r="S124" s="63">
        <f t="shared" ref="S124:S136" si="53">((N124-G124)/G124)</f>
        <v>-5.9995759358531776E-4</v>
      </c>
      <c r="T124" s="63">
        <f t="shared" ref="T124:T136" si="54">((O124-H124)/H124)</f>
        <v>4.1580041580041582E-3</v>
      </c>
      <c r="U124" s="63">
        <f t="shared" ref="U124:U136" si="55">P124-I124</f>
        <v>0</v>
      </c>
      <c r="V124" s="64">
        <f t="shared" ref="V124:V136" si="56">Q124-J124</f>
        <v>1.0999999999999968E-3</v>
      </c>
    </row>
    <row r="125" spans="1:24">
      <c r="A125" s="150">
        <v>108</v>
      </c>
      <c r="B125" s="134" t="s">
        <v>180</v>
      </c>
      <c r="C125" s="135" t="s">
        <v>69</v>
      </c>
      <c r="D125" s="39">
        <f>10114832.44*1651.12</f>
        <v>16700802138.332798</v>
      </c>
      <c r="E125" s="36">
        <f t="shared" si="50"/>
        <v>9.6802227901176315E-3</v>
      </c>
      <c r="F125" s="39">
        <f>114.99*1651.12</f>
        <v>189862.28879999998</v>
      </c>
      <c r="G125" s="39">
        <f>114.99*1651.12</f>
        <v>189862.28879999998</v>
      </c>
      <c r="H125" s="38">
        <v>629</v>
      </c>
      <c r="I125" s="56">
        <v>1.2999999999999999E-3</v>
      </c>
      <c r="J125" s="56">
        <v>6.3799999999999996E-2</v>
      </c>
      <c r="K125" s="39">
        <f>10072002.3*1651.12</f>
        <v>16630084437.576</v>
      </c>
      <c r="L125" s="36">
        <f t="shared" si="51"/>
        <v>9.6001604662290137E-3</v>
      </c>
      <c r="M125" s="39">
        <f>115.13*1651.12</f>
        <v>190093.44559999998</v>
      </c>
      <c r="N125" s="39">
        <f>115.13*1651.12</f>
        <v>190093.44559999998</v>
      </c>
      <c r="O125" s="38">
        <v>631</v>
      </c>
      <c r="P125" s="56">
        <v>1.2999999999999999E-3</v>
      </c>
      <c r="Q125" s="56">
        <v>6.2600000000000003E-2</v>
      </c>
      <c r="R125" s="63">
        <f t="shared" si="52"/>
        <v>-4.2343894724961618E-3</v>
      </c>
      <c r="S125" s="63">
        <f t="shared" si="53"/>
        <v>1.2174971736672599E-3</v>
      </c>
      <c r="T125" s="63">
        <f t="shared" si="54"/>
        <v>3.1796502384737681E-3</v>
      </c>
      <c r="U125" s="63">
        <f t="shared" si="55"/>
        <v>0</v>
      </c>
      <c r="V125" s="64">
        <f t="shared" si="56"/>
        <v>-1.1999999999999927E-3</v>
      </c>
    </row>
    <row r="126" spans="1:24">
      <c r="A126" s="150">
        <v>109</v>
      </c>
      <c r="B126" s="134" t="s">
        <v>181</v>
      </c>
      <c r="C126" s="135" t="s">
        <v>67</v>
      </c>
      <c r="D126" s="39">
        <v>6527479856.89851</v>
      </c>
      <c r="E126" s="36">
        <f t="shared" si="50"/>
        <v>3.7834984660856884E-3</v>
      </c>
      <c r="F126" s="39">
        <v>2074.9282917584301</v>
      </c>
      <c r="G126" s="39">
        <v>2074.9282917584301</v>
      </c>
      <c r="H126" s="38">
        <v>219</v>
      </c>
      <c r="I126" s="56">
        <v>5.5704925620466902E-2</v>
      </c>
      <c r="J126" s="56">
        <v>5.3681568212515698E-2</v>
      </c>
      <c r="K126" s="39">
        <v>6697233024.2490997</v>
      </c>
      <c r="L126" s="36">
        <f t="shared" si="51"/>
        <v>3.8661566604703992E-3</v>
      </c>
      <c r="M126" s="39">
        <v>2046.6959087483599</v>
      </c>
      <c r="N126" s="39">
        <v>2046.6959087483599</v>
      </c>
      <c r="O126" s="38">
        <v>219</v>
      </c>
      <c r="P126" s="56">
        <v>5.49609829238503E-2</v>
      </c>
      <c r="Q126" s="56">
        <v>5.3766628259989999E-2</v>
      </c>
      <c r="R126" s="63">
        <f t="shared" si="52"/>
        <v>2.6005927413347375E-2</v>
      </c>
      <c r="S126" s="63">
        <f t="shared" si="53"/>
        <v>-1.360643792954609E-2</v>
      </c>
      <c r="T126" s="63">
        <f t="shared" si="54"/>
        <v>0</v>
      </c>
      <c r="U126" s="63">
        <f t="shared" si="55"/>
        <v>-7.4394269661660212E-4</v>
      </c>
      <c r="V126" s="64">
        <f t="shared" si="56"/>
        <v>8.5060047474300182E-5</v>
      </c>
    </row>
    <row r="127" spans="1:24">
      <c r="A127" s="150">
        <v>110</v>
      </c>
      <c r="B127" s="134" t="s">
        <v>182</v>
      </c>
      <c r="C127" s="135" t="s">
        <v>39</v>
      </c>
      <c r="D127" s="39">
        <v>70693243492.540802</v>
      </c>
      <c r="E127" s="36">
        <f t="shared" si="50"/>
        <v>4.0975657402294273E-2</v>
      </c>
      <c r="F127" s="39">
        <f>100*1541.94</f>
        <v>154194</v>
      </c>
      <c r="G127" s="39">
        <f>100*1541.94</f>
        <v>154194</v>
      </c>
      <c r="H127" s="38">
        <v>1925</v>
      </c>
      <c r="I127" s="56">
        <v>5.3499999999999999E-2</v>
      </c>
      <c r="J127" s="56">
        <v>5.62E-2</v>
      </c>
      <c r="K127" s="39">
        <v>66540735236.2248</v>
      </c>
      <c r="L127" s="36">
        <f t="shared" si="51"/>
        <v>3.8412416858523715E-2</v>
      </c>
      <c r="M127" s="39">
        <f>100*1541.94</f>
        <v>154194</v>
      </c>
      <c r="N127" s="39">
        <f>100*1541.94</f>
        <v>154194</v>
      </c>
      <c r="O127" s="38">
        <v>1737</v>
      </c>
      <c r="P127" s="56">
        <v>5.2200000000000003E-2</v>
      </c>
      <c r="Q127" s="56">
        <v>5.6025400000000003E-2</v>
      </c>
      <c r="R127" s="63">
        <f t="shared" si="52"/>
        <v>-5.8739817996243927E-2</v>
      </c>
      <c r="S127" s="63">
        <f t="shared" si="53"/>
        <v>0</v>
      </c>
      <c r="T127" s="63">
        <f t="shared" si="54"/>
        <v>-9.7662337662337659E-2</v>
      </c>
      <c r="U127" s="63">
        <f t="shared" si="55"/>
        <v>-1.2999999999999956E-3</v>
      </c>
      <c r="V127" s="64">
        <f t="shared" si="56"/>
        <v>-1.7459999999999698E-4</v>
      </c>
    </row>
    <row r="128" spans="1:24" ht="15.6">
      <c r="A128" s="150">
        <v>111</v>
      </c>
      <c r="B128" s="134" t="s">
        <v>183</v>
      </c>
      <c r="C128" s="135" t="s">
        <v>138</v>
      </c>
      <c r="D128" s="39">
        <f>1076668.95*1640.428</f>
        <v>1766197892.3106</v>
      </c>
      <c r="E128" s="36">
        <f t="shared" si="50"/>
        <v>1.0237346055229398E-3</v>
      </c>
      <c r="F128" s="39">
        <f>1.09*1640.428</f>
        <v>1788.0665200000003</v>
      </c>
      <c r="G128" s="39">
        <f>1.12*1640.428</f>
        <v>1837.2793600000002</v>
      </c>
      <c r="H128" s="38">
        <v>38</v>
      </c>
      <c r="I128" s="56">
        <v>1.6000000000000001E-3</v>
      </c>
      <c r="J128" s="56">
        <v>0.1028</v>
      </c>
      <c r="K128" s="39">
        <v>1761405732.45</v>
      </c>
      <c r="L128" s="36">
        <f t="shared" si="51"/>
        <v>1.0168185099197499E-3</v>
      </c>
      <c r="M128" s="39">
        <f>1.09*1637.71</f>
        <v>1785.1039000000001</v>
      </c>
      <c r="N128" s="39">
        <f>1.11*1637.71</f>
        <v>1817.8581000000001</v>
      </c>
      <c r="O128" s="38">
        <v>38</v>
      </c>
      <c r="P128" s="56">
        <v>0.1028</v>
      </c>
      <c r="Q128" s="56">
        <v>0.1028</v>
      </c>
      <c r="R128" s="63">
        <f t="shared" si="52"/>
        <v>-2.7132632653811676E-3</v>
      </c>
      <c r="S128" s="63">
        <f t="shared" si="53"/>
        <v>-1.0570662482160618E-2</v>
      </c>
      <c r="T128" s="63">
        <f t="shared" si="54"/>
        <v>0</v>
      </c>
      <c r="U128" s="63">
        <f t="shared" si="55"/>
        <v>0.1012</v>
      </c>
      <c r="V128" s="64">
        <f t="shared" si="56"/>
        <v>0</v>
      </c>
      <c r="X128" s="73"/>
    </row>
    <row r="129" spans="1:24" ht="15.6">
      <c r="A129" s="150">
        <v>112</v>
      </c>
      <c r="B129" s="134" t="s">
        <v>184</v>
      </c>
      <c r="C129" s="135" t="s">
        <v>45</v>
      </c>
      <c r="D129" s="35">
        <f>1948594.13*1640.428</f>
        <v>3196528371.4876399</v>
      </c>
      <c r="E129" s="36">
        <f t="shared" si="50"/>
        <v>1.852791652438631E-3</v>
      </c>
      <c r="F129" s="39">
        <f>10.48*1640.428</f>
        <v>17191.685440000001</v>
      </c>
      <c r="G129" s="39">
        <f>10.48*1640.428</f>
        <v>17191.685440000001</v>
      </c>
      <c r="H129" s="38">
        <v>68</v>
      </c>
      <c r="I129" s="56">
        <v>7.7299999999999994E-2</v>
      </c>
      <c r="J129" s="56">
        <v>9.7500000000000003E-2</v>
      </c>
      <c r="K129" s="35">
        <f>1974028.52*1637.71</f>
        <v>3232886247.4892001</v>
      </c>
      <c r="L129" s="36">
        <f t="shared" si="51"/>
        <v>1.8662699435749303E-3</v>
      </c>
      <c r="M129" s="39">
        <f>10.48*1637.71</f>
        <v>17163.200800000002</v>
      </c>
      <c r="N129" s="39">
        <f>10.48*1637.71</f>
        <v>17163.200800000002</v>
      </c>
      <c r="O129" s="38">
        <v>68</v>
      </c>
      <c r="P129" s="56">
        <v>7.7299999999999994E-2</v>
      </c>
      <c r="Q129" s="56">
        <v>8.6199999999999999E-2</v>
      </c>
      <c r="R129" s="63">
        <f t="shared" si="52"/>
        <v>1.1374175910924118E-2</v>
      </c>
      <c r="S129" s="63">
        <f t="shared" si="53"/>
        <v>-1.656884666684476E-3</v>
      </c>
      <c r="T129" s="63">
        <f t="shared" si="54"/>
        <v>0</v>
      </c>
      <c r="U129" s="63">
        <f t="shared" si="55"/>
        <v>0</v>
      </c>
      <c r="V129" s="64">
        <f t="shared" si="56"/>
        <v>-1.1300000000000004E-2</v>
      </c>
      <c r="X129" s="73"/>
    </row>
    <row r="130" spans="1:24" ht="15.6">
      <c r="A130" s="150">
        <v>113</v>
      </c>
      <c r="B130" s="135" t="s">
        <v>185</v>
      </c>
      <c r="C130" s="151" t="s">
        <v>49</v>
      </c>
      <c r="D130" s="39">
        <v>21411019433</v>
      </c>
      <c r="E130" s="36">
        <f t="shared" si="50"/>
        <v>1.2410388229152969E-2</v>
      </c>
      <c r="F130" s="39">
        <f>1.0541*1640.428</f>
        <v>1729.1751548000002</v>
      </c>
      <c r="G130" s="39">
        <f>1.0541*1640.428</f>
        <v>1729.1751548000002</v>
      </c>
      <c r="H130" s="38">
        <v>371</v>
      </c>
      <c r="I130" s="56">
        <v>7.3000000000000001E-3</v>
      </c>
      <c r="J130" s="56">
        <v>8.9099999999999999E-2</v>
      </c>
      <c r="K130" s="39">
        <v>21488260494</v>
      </c>
      <c r="L130" s="36">
        <f t="shared" si="51"/>
        <v>1.2404672366931076E-2</v>
      </c>
      <c r="M130" s="39">
        <f>1.0541*1637.71</f>
        <v>1726.310111</v>
      </c>
      <c r="N130" s="39">
        <f>1.0587*1637.71</f>
        <v>1733.8435770000001</v>
      </c>
      <c r="O130" s="38">
        <v>371</v>
      </c>
      <c r="P130" s="56">
        <v>1.1599999999999999E-2</v>
      </c>
      <c r="Q130" s="56">
        <v>9.3399999999999997E-2</v>
      </c>
      <c r="R130" s="63">
        <f t="shared" si="52"/>
        <v>3.607537756046835E-3</v>
      </c>
      <c r="S130" s="63">
        <f t="shared" si="53"/>
        <v>2.6997971761512237E-3</v>
      </c>
      <c r="T130" s="63">
        <f t="shared" si="54"/>
        <v>0</v>
      </c>
      <c r="U130" s="63">
        <f t="shared" si="55"/>
        <v>4.2999999999999991E-3</v>
      </c>
      <c r="V130" s="64">
        <f t="shared" si="56"/>
        <v>4.2999999999999983E-3</v>
      </c>
      <c r="X130" s="73"/>
    </row>
    <row r="131" spans="1:24">
      <c r="A131" s="150">
        <v>114</v>
      </c>
      <c r="B131" s="134" t="s">
        <v>186</v>
      </c>
      <c r="C131" s="135" t="s">
        <v>94</v>
      </c>
      <c r="D131" s="35">
        <v>554123606.86000001</v>
      </c>
      <c r="E131" s="36">
        <f t="shared" si="50"/>
        <v>3.2118457085102825E-4</v>
      </c>
      <c r="F131" s="39">
        <f>1.1*1663</f>
        <v>1829.3000000000002</v>
      </c>
      <c r="G131" s="39">
        <f>1.1*1663</f>
        <v>1829.3000000000002</v>
      </c>
      <c r="H131" s="38">
        <v>3</v>
      </c>
      <c r="I131" s="56">
        <v>1.6789999999999999E-3</v>
      </c>
      <c r="J131" s="56">
        <v>5.9979999999999999E-2</v>
      </c>
      <c r="K131" s="35">
        <f>332671.32*1638.65</f>
        <v>545131858.51800001</v>
      </c>
      <c r="L131" s="36">
        <f t="shared" si="51"/>
        <v>3.1469192695147041E-4</v>
      </c>
      <c r="M131" s="39">
        <f>1.1*1638.65</f>
        <v>1802.5150000000003</v>
      </c>
      <c r="N131" s="39">
        <f>1.1*1638.65</f>
        <v>1802.5150000000003</v>
      </c>
      <c r="O131" s="38">
        <v>3</v>
      </c>
      <c r="P131" s="56">
        <v>-1.6080000000000001E-3</v>
      </c>
      <c r="Q131" s="56">
        <v>5.8275E-2</v>
      </c>
      <c r="R131" s="63">
        <f t="shared" si="52"/>
        <v>-1.6226972160512526E-2</v>
      </c>
      <c r="S131" s="63">
        <f t="shared" si="53"/>
        <v>-1.4642212868310201E-2</v>
      </c>
      <c r="T131" s="63">
        <f t="shared" si="54"/>
        <v>0</v>
      </c>
      <c r="U131" s="63">
        <f t="shared" si="55"/>
        <v>-3.287E-3</v>
      </c>
      <c r="V131" s="64">
        <f t="shared" si="56"/>
        <v>-1.7049999999999982E-3</v>
      </c>
    </row>
    <row r="132" spans="1:24">
      <c r="A132" s="150">
        <v>115</v>
      </c>
      <c r="B132" s="134" t="s">
        <v>187</v>
      </c>
      <c r="C132" s="135" t="s">
        <v>51</v>
      </c>
      <c r="D132" s="35">
        <v>1012282993944.41</v>
      </c>
      <c r="E132" s="36">
        <f t="shared" si="50"/>
        <v>0.58674576387786659</v>
      </c>
      <c r="F132" s="39">
        <v>2581.81</v>
      </c>
      <c r="G132" s="39">
        <v>2581.81</v>
      </c>
      <c r="H132" s="38">
        <v>8622</v>
      </c>
      <c r="I132" s="56">
        <v>1.4E-3</v>
      </c>
      <c r="J132" s="56">
        <v>5.9900000000000002E-2</v>
      </c>
      <c r="K132" s="35">
        <f>618732566.46*1638.65</f>
        <v>1013886120029.6791</v>
      </c>
      <c r="L132" s="36">
        <f t="shared" si="51"/>
        <v>0.58529284582429941</v>
      </c>
      <c r="M132" s="39">
        <v>2547.77</v>
      </c>
      <c r="N132" s="39">
        <v>2547.77</v>
      </c>
      <c r="O132" s="38">
        <v>8696</v>
      </c>
      <c r="P132" s="56">
        <v>1.5E-3</v>
      </c>
      <c r="Q132" s="56">
        <v>6.1499999999999999E-2</v>
      </c>
      <c r="R132" s="63">
        <f t="shared" si="52"/>
        <v>1.5836738292148761E-3</v>
      </c>
      <c r="S132" s="63">
        <f t="shared" si="53"/>
        <v>-1.3184548824274429E-2</v>
      </c>
      <c r="T132" s="63">
        <f t="shared" si="54"/>
        <v>8.5826954302945947E-3</v>
      </c>
      <c r="U132" s="63">
        <f t="shared" si="55"/>
        <v>1.0000000000000005E-4</v>
      </c>
      <c r="V132" s="64">
        <f t="shared" si="56"/>
        <v>1.5999999999999973E-3</v>
      </c>
    </row>
    <row r="133" spans="1:24" ht="16.5" customHeight="1">
      <c r="A133" s="150">
        <v>116</v>
      </c>
      <c r="B133" s="134" t="s">
        <v>188</v>
      </c>
      <c r="C133" s="135" t="s">
        <v>54</v>
      </c>
      <c r="D133" s="35">
        <f>69460396.42*1600.78</f>
        <v>111190813381.2076</v>
      </c>
      <c r="E133" s="36">
        <f t="shared" si="50"/>
        <v>6.4449110697142348E-2</v>
      </c>
      <c r="F133" s="39">
        <f>1.1465*1600.78</f>
        <v>1835.2942700000001</v>
      </c>
      <c r="G133" s="39">
        <f>1.1465*1600.78</f>
        <v>1835.2942700000001</v>
      </c>
      <c r="H133" s="38">
        <v>416</v>
      </c>
      <c r="I133" s="56">
        <v>0.1003</v>
      </c>
      <c r="J133" s="56">
        <v>8.9300000000000004E-2</v>
      </c>
      <c r="K133" s="35">
        <f>69835502.04*1600</f>
        <v>111736803264.00002</v>
      </c>
      <c r="L133" s="36">
        <f t="shared" si="51"/>
        <v>6.4503054409879926E-2</v>
      </c>
      <c r="M133" s="39">
        <f>1.1486*1600</f>
        <v>1837.7600000000002</v>
      </c>
      <c r="N133" s="39">
        <f>1.1486*1600</f>
        <v>1837.7600000000002</v>
      </c>
      <c r="O133" s="38">
        <v>427</v>
      </c>
      <c r="P133" s="56">
        <v>0.10009999999999999</v>
      </c>
      <c r="Q133" s="56">
        <v>8.9499999999999996E-2</v>
      </c>
      <c r="R133" s="63">
        <f t="shared" si="52"/>
        <v>4.9103866244825708E-3</v>
      </c>
      <c r="S133" s="63">
        <f t="shared" si="53"/>
        <v>1.343506619241023E-3</v>
      </c>
      <c r="T133" s="63">
        <f t="shared" si="54"/>
        <v>2.6442307692307692E-2</v>
      </c>
      <c r="U133" s="63">
        <f t="shared" si="55"/>
        <v>-2.0000000000000573E-4</v>
      </c>
      <c r="V133" s="64">
        <f t="shared" si="56"/>
        <v>1.9999999999999185E-4</v>
      </c>
    </row>
    <row r="134" spans="1:24" ht="16.5" customHeight="1">
      <c r="A134" s="150">
        <v>117</v>
      </c>
      <c r="B134" s="134" t="s">
        <v>189</v>
      </c>
      <c r="C134" s="135" t="s">
        <v>99</v>
      </c>
      <c r="D134" s="39">
        <v>687688869.05012906</v>
      </c>
      <c r="E134" s="36">
        <v>0</v>
      </c>
      <c r="F134" s="39">
        <v>169260.14</v>
      </c>
      <c r="G134" s="39">
        <v>169260.14</v>
      </c>
      <c r="H134" s="38">
        <v>20</v>
      </c>
      <c r="I134" s="56">
        <v>1.1999999999999999E-3</v>
      </c>
      <c r="J134" s="56">
        <v>3.7900000000000003E-2</v>
      </c>
      <c r="K134" s="39">
        <v>678435205.51999998</v>
      </c>
      <c r="L134" s="36">
        <f t="shared" si="51"/>
        <v>3.9164484482199103E-4</v>
      </c>
      <c r="M134" s="39">
        <v>166978.44</v>
      </c>
      <c r="N134" s="39">
        <v>166978.435</v>
      </c>
      <c r="O134" s="38">
        <v>20</v>
      </c>
      <c r="P134" s="56">
        <v>1.1999999999999999E-3</v>
      </c>
      <c r="Q134" s="56">
        <v>3.8199999999999998E-2</v>
      </c>
      <c r="R134" s="63">
        <f t="shared" si="52"/>
        <v>-1.3456177563133612E-2</v>
      </c>
      <c r="S134" s="63">
        <f t="shared" si="53"/>
        <v>-1.3480462677154918E-2</v>
      </c>
      <c r="T134" s="63">
        <f t="shared" si="54"/>
        <v>0</v>
      </c>
      <c r="U134" s="63">
        <f t="shared" si="55"/>
        <v>0</v>
      </c>
      <c r="V134" s="64">
        <f t="shared" si="56"/>
        <v>2.9999999999999472E-4</v>
      </c>
    </row>
    <row r="135" spans="1:24">
      <c r="A135" s="150">
        <v>118</v>
      </c>
      <c r="B135" s="134" t="s">
        <v>190</v>
      </c>
      <c r="C135" s="135" t="s">
        <v>113</v>
      </c>
      <c r="D135" s="39">
        <f>1052549.48*1640.428</f>
        <v>1726631638.37744</v>
      </c>
      <c r="E135" s="36">
        <f>(D135/$D$136)</f>
        <v>1.000800967373653E-3</v>
      </c>
      <c r="F135" s="39">
        <f>1.2435*1640.428</f>
        <v>2039.8722180000002</v>
      </c>
      <c r="G135" s="39">
        <f>1.2435*1640.428</f>
        <v>2039.8722180000002</v>
      </c>
      <c r="H135" s="38">
        <v>55</v>
      </c>
      <c r="I135" s="56">
        <v>1.6827999999999999E-2</v>
      </c>
      <c r="J135" s="56">
        <v>0.12809100000000001</v>
      </c>
      <c r="K135" s="39">
        <f>1039282.13*1637.71</f>
        <v>1702042737.1223001</v>
      </c>
      <c r="L135" s="36">
        <f t="shared" si="51"/>
        <v>9.8254963515599734E-4</v>
      </c>
      <c r="M135" s="39">
        <f>1.228*1637.71</f>
        <v>2011.10788</v>
      </c>
      <c r="N135" s="39">
        <f>1.228*1637.71</f>
        <v>2011.10788</v>
      </c>
      <c r="O135" s="38">
        <v>55</v>
      </c>
      <c r="P135" s="56">
        <v>-1.2488000000000001E-2</v>
      </c>
      <c r="Q135" s="56">
        <v>0.11400299999999999</v>
      </c>
      <c r="R135" s="63">
        <f t="shared" si="52"/>
        <v>-1.4240965304126274E-2</v>
      </c>
      <c r="S135" s="63">
        <f t="shared" si="53"/>
        <v>-1.4101048951096689E-2</v>
      </c>
      <c r="T135" s="63">
        <f t="shared" si="54"/>
        <v>0</v>
      </c>
      <c r="U135" s="63">
        <f t="shared" si="55"/>
        <v>-2.9316000000000002E-2</v>
      </c>
      <c r="V135" s="64">
        <f t="shared" si="56"/>
        <v>-1.4088000000000017E-2</v>
      </c>
    </row>
    <row r="136" spans="1:24">
      <c r="A136" s="42"/>
      <c r="B136" s="43"/>
      <c r="C136" s="77" t="s">
        <v>55</v>
      </c>
      <c r="D136" s="54">
        <f>SUM(D106:D135)</f>
        <v>1725249769600.5874</v>
      </c>
      <c r="E136" s="46">
        <f>(D136/$D$206)</f>
        <v>0.47268981605168187</v>
      </c>
      <c r="F136" s="47"/>
      <c r="G136" s="51"/>
      <c r="H136" s="49">
        <f>SUM(H106:H135)</f>
        <v>20574</v>
      </c>
      <c r="I136" s="86"/>
      <c r="J136" s="86"/>
      <c r="K136" s="54">
        <f>SUM(K106:K135)</f>
        <v>1732271506927.0474</v>
      </c>
      <c r="L136" s="46">
        <f>(K136/$K$206)</f>
        <v>0.47058617372820771</v>
      </c>
      <c r="M136" s="47"/>
      <c r="N136" s="51"/>
      <c r="O136" s="49">
        <f>SUM(O106:O135)</f>
        <v>20489</v>
      </c>
      <c r="P136" s="86"/>
      <c r="Q136" s="86"/>
      <c r="R136" s="63">
        <f t="shared" si="52"/>
        <v>4.0699830541554363E-3</v>
      </c>
      <c r="S136" s="63" t="e">
        <f t="shared" si="53"/>
        <v>#DIV/0!</v>
      </c>
      <c r="T136" s="63">
        <f t="shared" si="54"/>
        <v>-4.1314280159424517E-3</v>
      </c>
      <c r="U136" s="63">
        <f t="shared" si="55"/>
        <v>0</v>
      </c>
      <c r="V136" s="64">
        <f t="shared" si="56"/>
        <v>0</v>
      </c>
    </row>
    <row r="137" spans="1:24" ht="6" customHeight="1">
      <c r="A137" s="42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</row>
    <row r="138" spans="1:24">
      <c r="A138" s="143" t="s">
        <v>191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4">
      <c r="A139" s="150">
        <v>119</v>
      </c>
      <c r="B139" s="134" t="s">
        <v>192</v>
      </c>
      <c r="C139" s="135" t="s">
        <v>193</v>
      </c>
      <c r="D139" s="78">
        <v>2456845221.6700001</v>
      </c>
      <c r="E139" s="36">
        <f>(D139/$D$144)</f>
        <v>2.4874833662449105E-2</v>
      </c>
      <c r="F139" s="66">
        <v>115.78</v>
      </c>
      <c r="G139" s="66">
        <v>115.78</v>
      </c>
      <c r="H139" s="38">
        <v>7</v>
      </c>
      <c r="I139" s="56">
        <v>5.4000000000000003E-3</v>
      </c>
      <c r="J139" s="56">
        <v>0.13270000000000001</v>
      </c>
      <c r="K139" s="78">
        <v>2456845221.6700001</v>
      </c>
      <c r="L139" s="36">
        <f>(K139/$K$144)</f>
        <v>2.4858422718784256E-2</v>
      </c>
      <c r="M139" s="66">
        <v>116.19</v>
      </c>
      <c r="N139" s="66">
        <v>116.19</v>
      </c>
      <c r="O139" s="38">
        <v>7</v>
      </c>
      <c r="P139" s="56">
        <v>3.5614111066288902E-3</v>
      </c>
      <c r="Q139" s="56">
        <v>0.13671153451800799</v>
      </c>
      <c r="R139" s="63">
        <f t="shared" ref="R139:R144" si="57">((K139-D139)/D139)</f>
        <v>0</v>
      </c>
      <c r="S139" s="63">
        <f t="shared" ref="S139:T144" si="58">((N139-G139)/G139)</f>
        <v>3.541198825358409E-3</v>
      </c>
      <c r="T139" s="63">
        <f t="shared" si="58"/>
        <v>0</v>
      </c>
      <c r="U139" s="63">
        <f t="shared" ref="U139:V144" si="59">P139-I139</f>
        <v>-1.8385888933711101E-3</v>
      </c>
      <c r="V139" s="64">
        <f t="shared" si="59"/>
        <v>4.0115345180079809E-3</v>
      </c>
    </row>
    <row r="140" spans="1:24">
      <c r="A140" s="150">
        <v>120</v>
      </c>
      <c r="B140" s="134" t="s">
        <v>194</v>
      </c>
      <c r="C140" s="135" t="s">
        <v>49</v>
      </c>
      <c r="D140" s="35">
        <v>53749983529</v>
      </c>
      <c r="E140" s="36">
        <f>(D140/$D$144)</f>
        <v>0.54420273928954932</v>
      </c>
      <c r="F140" s="66">
        <v>102.5</v>
      </c>
      <c r="G140" s="66">
        <v>102.5</v>
      </c>
      <c r="H140" s="38">
        <v>666</v>
      </c>
      <c r="I140" s="56">
        <v>0</v>
      </c>
      <c r="J140" s="56">
        <v>7.6999999999999999E-2</v>
      </c>
      <c r="K140" s="35">
        <v>53749983529</v>
      </c>
      <c r="L140" s="36">
        <f>(K140/$K$144)</f>
        <v>0.54384370651699177</v>
      </c>
      <c r="M140" s="66">
        <v>102.5</v>
      </c>
      <c r="N140" s="66">
        <v>102.5</v>
      </c>
      <c r="O140" s="38">
        <v>666</v>
      </c>
      <c r="P140" s="56">
        <v>0</v>
      </c>
      <c r="Q140" s="56">
        <v>7.6999999999999999E-2</v>
      </c>
      <c r="R140" s="63">
        <f t="shared" si="57"/>
        <v>0</v>
      </c>
      <c r="S140" s="63">
        <f t="shared" si="58"/>
        <v>0</v>
      </c>
      <c r="T140" s="63">
        <f t="shared" si="58"/>
        <v>0</v>
      </c>
      <c r="U140" s="63">
        <f t="shared" si="59"/>
        <v>0</v>
      </c>
      <c r="V140" s="64">
        <f t="shared" si="59"/>
        <v>0</v>
      </c>
    </row>
    <row r="141" spans="1:24" ht="15.75" customHeight="1">
      <c r="A141" s="150">
        <v>121</v>
      </c>
      <c r="B141" s="134" t="s">
        <v>195</v>
      </c>
      <c r="C141" s="135" t="s">
        <v>148</v>
      </c>
      <c r="D141" s="35">
        <v>2545322253.6641102</v>
      </c>
      <c r="E141" s="36">
        <f>(D141/$D$144)</f>
        <v>2.5770637530917743E-2</v>
      </c>
      <c r="F141" s="66">
        <v>141.76611268320599</v>
      </c>
      <c r="G141" s="66">
        <v>141.76611268320599</v>
      </c>
      <c r="H141" s="38">
        <v>2834</v>
      </c>
      <c r="I141" s="56">
        <v>0.14897861947176999</v>
      </c>
      <c r="J141" s="56">
        <v>6.4003864159465795E-2</v>
      </c>
      <c r="K141" s="35">
        <v>2562759552.0512099</v>
      </c>
      <c r="L141" s="36">
        <f>(K141/$K$144)</f>
        <v>2.5930066619413637E-2</v>
      </c>
      <c r="M141" s="66">
        <v>142.63797760256</v>
      </c>
      <c r="N141" s="66">
        <v>142.63797760256</v>
      </c>
      <c r="O141" s="38">
        <v>2834</v>
      </c>
      <c r="P141" s="56">
        <v>0.45018171754057401</v>
      </c>
      <c r="Q141" s="56">
        <v>6.7099082844947006E-2</v>
      </c>
      <c r="R141" s="63">
        <f t="shared" si="57"/>
        <v>6.8507232677504542E-3</v>
      </c>
      <c r="S141" s="63">
        <f t="shared" si="58"/>
        <v>6.1500234636630039E-3</v>
      </c>
      <c r="T141" s="63">
        <f t="shared" si="58"/>
        <v>0</v>
      </c>
      <c r="U141" s="63">
        <f t="shared" si="59"/>
        <v>0.30120309806880402</v>
      </c>
      <c r="V141" s="64">
        <f t="shared" si="59"/>
        <v>3.0952186854812103E-3</v>
      </c>
    </row>
    <row r="142" spans="1:24">
      <c r="A142" s="150">
        <v>122</v>
      </c>
      <c r="B142" s="134" t="s">
        <v>196</v>
      </c>
      <c r="C142" s="135" t="s">
        <v>148</v>
      </c>
      <c r="D142" s="35">
        <v>10244265053.780001</v>
      </c>
      <c r="E142" s="36">
        <f>(D142/$D$144)</f>
        <v>0.10372016395628092</v>
      </c>
      <c r="F142" s="66">
        <v>57.6</v>
      </c>
      <c r="G142" s="66">
        <v>57.6</v>
      </c>
      <c r="H142" s="38">
        <v>5260</v>
      </c>
      <c r="I142" s="56">
        <v>7.2720047685282105E-2</v>
      </c>
      <c r="J142" s="56">
        <v>0.20145044319097499</v>
      </c>
      <c r="K142" s="35">
        <v>10256018316.02</v>
      </c>
      <c r="L142" s="36">
        <f>(K142/$K$144)</f>
        <v>0.10377065533575698</v>
      </c>
      <c r="M142" s="66">
        <v>57.67</v>
      </c>
      <c r="N142" s="66">
        <v>57.67</v>
      </c>
      <c r="O142" s="38">
        <v>5260</v>
      </c>
      <c r="P142" s="56">
        <v>6.3541666666666899E-2</v>
      </c>
      <c r="Q142" s="56">
        <v>0.201037772968719</v>
      </c>
      <c r="R142" s="63">
        <f t="shared" si="57"/>
        <v>1.1473016539788738E-3</v>
      </c>
      <c r="S142" s="63">
        <f t="shared" si="58"/>
        <v>1.2152777777777828E-3</v>
      </c>
      <c r="T142" s="63">
        <f t="shared" si="58"/>
        <v>0</v>
      </c>
      <c r="U142" s="63">
        <f t="shared" si="59"/>
        <v>-9.1783810186152059E-3</v>
      </c>
      <c r="V142" s="64">
        <f t="shared" si="59"/>
        <v>-4.1267022225599526E-4</v>
      </c>
    </row>
    <row r="143" spans="1:24">
      <c r="A143" s="150">
        <v>123</v>
      </c>
      <c r="B143" s="134" t="s">
        <v>197</v>
      </c>
      <c r="C143" s="135" t="s">
        <v>51</v>
      </c>
      <c r="D143" s="35">
        <v>29771891501.619999</v>
      </c>
      <c r="E143" s="36">
        <f>(D143/$D$144)</f>
        <v>0.301431625560803</v>
      </c>
      <c r="F143" s="66">
        <v>5.15</v>
      </c>
      <c r="G143" s="66">
        <v>5.15</v>
      </c>
      <c r="H143" s="38">
        <v>208159</v>
      </c>
      <c r="I143" s="56">
        <v>0</v>
      </c>
      <c r="J143" s="56">
        <v>-0.1953</v>
      </c>
      <c r="K143" s="35">
        <v>29807905445.299999</v>
      </c>
      <c r="L143" s="36">
        <f>(K143/$K$144)</f>
        <v>0.30159714880905325</v>
      </c>
      <c r="M143" s="66">
        <v>5.25</v>
      </c>
      <c r="N143" s="66">
        <v>5.25</v>
      </c>
      <c r="O143" s="38">
        <v>208159</v>
      </c>
      <c r="P143" s="56">
        <v>0</v>
      </c>
      <c r="Q143" s="56">
        <v>-0.1953</v>
      </c>
      <c r="R143" s="63">
        <f t="shared" si="57"/>
        <v>1.2096625999742292E-3</v>
      </c>
      <c r="S143" s="63">
        <f t="shared" si="58"/>
        <v>1.9417475728155269E-2</v>
      </c>
      <c r="T143" s="63">
        <f t="shared" si="58"/>
        <v>0</v>
      </c>
      <c r="U143" s="63">
        <f t="shared" si="59"/>
        <v>0</v>
      </c>
      <c r="V143" s="64">
        <f t="shared" si="59"/>
        <v>0</v>
      </c>
    </row>
    <row r="144" spans="1:24">
      <c r="A144" s="42"/>
      <c r="B144" s="79"/>
      <c r="C144" s="44" t="s">
        <v>55</v>
      </c>
      <c r="D144" s="45">
        <f>SUM(D139:D143)</f>
        <v>98768307559.7341</v>
      </c>
      <c r="E144" s="46">
        <f>(D144/$D$206)</f>
        <v>2.706087776667555E-2</v>
      </c>
      <c r="F144" s="47"/>
      <c r="G144" s="80"/>
      <c r="H144" s="49">
        <f>SUM(H139:H143)</f>
        <v>216926</v>
      </c>
      <c r="I144" s="87"/>
      <c r="J144" s="87"/>
      <c r="K144" s="45">
        <f>SUM(K139:K143)</f>
        <v>98833512064.041214</v>
      </c>
      <c r="L144" s="46">
        <f>(K144/$K$206)</f>
        <v>2.6848957621454728E-2</v>
      </c>
      <c r="M144" s="47"/>
      <c r="N144" s="80"/>
      <c r="O144" s="49">
        <f>SUM(O139:O143)</f>
        <v>216926</v>
      </c>
      <c r="P144" s="87"/>
      <c r="Q144" s="87"/>
      <c r="R144" s="63">
        <f t="shared" si="57"/>
        <v>6.6017638570630159E-4</v>
      </c>
      <c r="S144" s="63" t="e">
        <f t="shared" si="58"/>
        <v>#DIV/0!</v>
      </c>
      <c r="T144" s="63">
        <f t="shared" si="58"/>
        <v>0</v>
      </c>
      <c r="U144" s="63">
        <f t="shared" si="59"/>
        <v>0</v>
      </c>
      <c r="V144" s="64">
        <f t="shared" si="59"/>
        <v>0</v>
      </c>
    </row>
    <row r="145" spans="1:22" ht="5.25" customHeight="1">
      <c r="A145" s="42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</row>
    <row r="146" spans="1:22" ht="15" customHeight="1">
      <c r="A146" s="143" t="s">
        <v>198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>
      <c r="A147" s="150">
        <v>124</v>
      </c>
      <c r="B147" s="134" t="s">
        <v>199</v>
      </c>
      <c r="C147" s="135" t="s">
        <v>59</v>
      </c>
      <c r="D147" s="39">
        <v>250504932.30000001</v>
      </c>
      <c r="E147" s="36">
        <f t="shared" ref="E147:E175" si="60">(D147/$D$176)</f>
        <v>4.8385425660206665E-3</v>
      </c>
      <c r="F147" s="39">
        <v>5.6</v>
      </c>
      <c r="G147" s="39">
        <v>5.68</v>
      </c>
      <c r="H147" s="40">
        <v>11835</v>
      </c>
      <c r="I147" s="57">
        <v>5.0504336999999998E-3</v>
      </c>
      <c r="J147" s="57">
        <v>0.11392066620000001</v>
      </c>
      <c r="K147" s="39">
        <v>250600603.19999999</v>
      </c>
      <c r="L147" s="60">
        <f t="shared" ref="L147:L175" si="61">(K147/$K$176)</f>
        <v>4.7906768435966446E-3</v>
      </c>
      <c r="M147" s="39">
        <v>5.61</v>
      </c>
      <c r="N147" s="39">
        <v>5.68</v>
      </c>
      <c r="O147" s="40">
        <v>11835</v>
      </c>
      <c r="P147" s="57">
        <v>8.9400000000000005E-4</v>
      </c>
      <c r="Q147" s="57">
        <v>0.1148146662</v>
      </c>
      <c r="R147" s="63">
        <f>((K147-D147)/D147)</f>
        <v>3.819122406955344E-4</v>
      </c>
      <c r="S147" s="63">
        <f>((N147-G147)/G147)</f>
        <v>0</v>
      </c>
      <c r="T147" s="63">
        <f>((O147-H147)/H147)</f>
        <v>0</v>
      </c>
      <c r="U147" s="63">
        <f>P147-I147</f>
        <v>-4.1564337E-3</v>
      </c>
      <c r="V147" s="64">
        <f>Q147-J147</f>
        <v>8.9399999999999202E-4</v>
      </c>
    </row>
    <row r="148" spans="1:22">
      <c r="A148" s="150">
        <v>125</v>
      </c>
      <c r="B148" s="134" t="s">
        <v>200</v>
      </c>
      <c r="C148" s="134" t="s">
        <v>201</v>
      </c>
      <c r="D148" s="39">
        <v>544637862.02371502</v>
      </c>
      <c r="E148" s="36">
        <f t="shared" si="60"/>
        <v>1.0519766833621885E-2</v>
      </c>
      <c r="F148" s="39">
        <v>1274.8802742795399</v>
      </c>
      <c r="G148" s="39">
        <v>1289.7897078810299</v>
      </c>
      <c r="H148" s="40">
        <v>163</v>
      </c>
      <c r="I148" s="57">
        <v>9.2999999999999992E-3</v>
      </c>
      <c r="J148" s="57">
        <v>0.13950000000000001</v>
      </c>
      <c r="K148" s="39">
        <v>563890952.37067902</v>
      </c>
      <c r="L148" s="60">
        <f t="shared" si="61"/>
        <v>1.0779779830297993E-2</v>
      </c>
      <c r="M148" s="39">
        <v>1321.91328973431</v>
      </c>
      <c r="N148" s="39">
        <v>1337.5505033812699</v>
      </c>
      <c r="O148" s="40">
        <v>162</v>
      </c>
      <c r="P148" s="57">
        <v>3.6975861518705203E-2</v>
      </c>
      <c r="Q148" s="57">
        <v>0.18166843337205901</v>
      </c>
      <c r="R148" s="63">
        <f>((K148-D148)/D148)</f>
        <v>3.5350260584941978E-2</v>
      </c>
      <c r="S148" s="63">
        <f>((N148-G148)/G148)</f>
        <v>3.7029908990904595E-2</v>
      </c>
      <c r="T148" s="63">
        <f>((O148-H148)/H148)</f>
        <v>-6.1349693251533744E-3</v>
      </c>
      <c r="U148" s="63">
        <f>P148-I148</f>
        <v>2.7675861518705203E-2</v>
      </c>
      <c r="V148" s="64">
        <f>Q148-J148</f>
        <v>4.2168433372059E-2</v>
      </c>
    </row>
    <row r="149" spans="1:22">
      <c r="A149" s="150">
        <v>126</v>
      </c>
      <c r="B149" s="134" t="s">
        <v>202</v>
      </c>
      <c r="C149" s="135" t="s">
        <v>296</v>
      </c>
      <c r="D149" s="39">
        <v>6471718616.0799999</v>
      </c>
      <c r="E149" s="36">
        <f t="shared" si="60"/>
        <v>0.12500227325548527</v>
      </c>
      <c r="F149" s="39">
        <v>754.4556</v>
      </c>
      <c r="G149" s="39">
        <v>777.20299999999997</v>
      </c>
      <c r="H149" s="40">
        <v>21326</v>
      </c>
      <c r="I149" s="57">
        <v>0.25109999999999999</v>
      </c>
      <c r="J149" s="57">
        <v>0.17399999999999999</v>
      </c>
      <c r="K149" s="39">
        <v>6592233173.8100004</v>
      </c>
      <c r="L149" s="60">
        <f t="shared" si="61"/>
        <v>0.12602227772036417</v>
      </c>
      <c r="M149" s="39">
        <v>769.70190000000002</v>
      </c>
      <c r="N149" s="39">
        <v>792.90890000000002</v>
      </c>
      <c r="O149" s="40">
        <v>21328</v>
      </c>
      <c r="P149" s="57">
        <v>1.0566</v>
      </c>
      <c r="Q149" s="57">
        <v>0.1981</v>
      </c>
      <c r="R149" s="63">
        <f t="shared" ref="R149:R176" si="62">((K149-D149)/D149)</f>
        <v>1.8621723977702488E-2</v>
      </c>
      <c r="S149" s="63">
        <f t="shared" ref="S149:S176" si="63">((N149-G149)/G149)</f>
        <v>2.0208233884840953E-2</v>
      </c>
      <c r="T149" s="63">
        <f t="shared" ref="T149:T176" si="64">((O149-H149)/H149)</f>
        <v>9.3782237644190192E-5</v>
      </c>
      <c r="U149" s="63">
        <f t="shared" ref="U149:U176" si="65">P149-I149</f>
        <v>0.80549999999999999</v>
      </c>
      <c r="V149" s="64">
        <f t="shared" ref="V149:V176" si="66">Q149-J149</f>
        <v>2.410000000000001E-2</v>
      </c>
    </row>
    <row r="150" spans="1:22">
      <c r="A150" s="150">
        <v>127</v>
      </c>
      <c r="B150" s="134" t="s">
        <v>203</v>
      </c>
      <c r="C150" s="135" t="s">
        <v>115</v>
      </c>
      <c r="D150" s="39">
        <v>3515410849.8400002</v>
      </c>
      <c r="E150" s="36">
        <f t="shared" si="60"/>
        <v>6.7900719070998206E-2</v>
      </c>
      <c r="F150" s="39">
        <v>20.546800000000001</v>
      </c>
      <c r="G150" s="39">
        <v>20.7912</v>
      </c>
      <c r="H150" s="38">
        <v>6192</v>
      </c>
      <c r="I150" s="56">
        <v>1.23E-2</v>
      </c>
      <c r="J150" s="56">
        <v>0.11409999999999999</v>
      </c>
      <c r="K150" s="39">
        <v>3517347281.7199998</v>
      </c>
      <c r="L150" s="60">
        <f t="shared" si="61"/>
        <v>6.7240357597924599E-2</v>
      </c>
      <c r="M150" s="39">
        <v>20.514099999999999</v>
      </c>
      <c r="N150" s="39">
        <v>20.7576</v>
      </c>
      <c r="O150" s="38">
        <v>6189</v>
      </c>
      <c r="P150" s="56">
        <v>7.1000000000000004E-3</v>
      </c>
      <c r="Q150" s="56">
        <v>0.1123</v>
      </c>
      <c r="R150" s="63">
        <f t="shared" si="62"/>
        <v>5.5084084413284785E-4</v>
      </c>
      <c r="S150" s="63">
        <f t="shared" si="63"/>
        <v>-1.6160683366039407E-3</v>
      </c>
      <c r="T150" s="63">
        <f t="shared" si="64"/>
        <v>-4.8449612403100775E-4</v>
      </c>
      <c r="U150" s="63">
        <f t="shared" si="65"/>
        <v>-5.1999999999999998E-3</v>
      </c>
      <c r="V150" s="64">
        <f t="shared" si="66"/>
        <v>-1.799999999999996E-3</v>
      </c>
    </row>
    <row r="151" spans="1:22">
      <c r="A151" s="150">
        <v>128</v>
      </c>
      <c r="B151" s="134" t="s">
        <v>204</v>
      </c>
      <c r="C151" s="135" t="s">
        <v>124</v>
      </c>
      <c r="D151" s="35">
        <v>1741720884.8275499</v>
      </c>
      <c r="E151" s="36">
        <f t="shared" si="60"/>
        <v>3.3641615604090361E-2</v>
      </c>
      <c r="F151" s="39">
        <v>4.0913000000000004</v>
      </c>
      <c r="G151" s="39">
        <v>4.1901000000000002</v>
      </c>
      <c r="H151" s="38">
        <v>2746</v>
      </c>
      <c r="I151" s="56">
        <v>0.41632358500292299</v>
      </c>
      <c r="J151" s="56">
        <v>0.44053830992537202</v>
      </c>
      <c r="K151" s="35">
        <v>1765227174.9647901</v>
      </c>
      <c r="L151" s="60">
        <f t="shared" si="61"/>
        <v>3.3745461275056274E-2</v>
      </c>
      <c r="M151" s="39">
        <v>4.1463999999999999</v>
      </c>
      <c r="N151" s="39">
        <v>4.2465000000000002</v>
      </c>
      <c r="O151" s="38">
        <v>2746</v>
      </c>
      <c r="P151" s="56">
        <v>0.70378136219047005</v>
      </c>
      <c r="Q151" s="56">
        <v>0.45192252508045899</v>
      </c>
      <c r="R151" s="63">
        <f t="shared" si="62"/>
        <v>1.3496014397029844E-2</v>
      </c>
      <c r="S151" s="63">
        <f t="shared" si="63"/>
        <v>1.3460299276866901E-2</v>
      </c>
      <c r="T151" s="63">
        <f t="shared" si="64"/>
        <v>0</v>
      </c>
      <c r="U151" s="63">
        <f t="shared" si="65"/>
        <v>0.28745777718754706</v>
      </c>
      <c r="V151" s="64">
        <f t="shared" si="66"/>
        <v>1.1384215155086974E-2</v>
      </c>
    </row>
    <row r="152" spans="1:22">
      <c r="A152" s="150">
        <v>129</v>
      </c>
      <c r="B152" s="134" t="s">
        <v>205</v>
      </c>
      <c r="C152" s="135" t="s">
        <v>67</v>
      </c>
      <c r="D152" s="39">
        <v>3097085558.6217098</v>
      </c>
      <c r="E152" s="36">
        <f t="shared" si="60"/>
        <v>5.9820699610228942E-2</v>
      </c>
      <c r="F152" s="39">
        <v>7116.4714196275399</v>
      </c>
      <c r="G152" s="39">
        <v>7167.4432032413797</v>
      </c>
      <c r="H152" s="38">
        <v>887</v>
      </c>
      <c r="I152" s="56">
        <v>-0.25830026924263</v>
      </c>
      <c r="J152" s="56">
        <v>0.28782429908996299</v>
      </c>
      <c r="K152" s="39">
        <v>3165869668.2318602</v>
      </c>
      <c r="L152" s="60">
        <f t="shared" si="61"/>
        <v>6.0521237043228975E-2</v>
      </c>
      <c r="M152" s="39">
        <v>7227.0653226940203</v>
      </c>
      <c r="N152" s="39">
        <v>7279.23499604477</v>
      </c>
      <c r="O152" s="38">
        <v>891</v>
      </c>
      <c r="P152" s="56">
        <v>0.81254892720114602</v>
      </c>
      <c r="Q152" s="56">
        <v>0.30447705313748502</v>
      </c>
      <c r="R152" s="63">
        <f t="shared" si="62"/>
        <v>2.2209302361269348E-2</v>
      </c>
      <c r="S152" s="63">
        <f t="shared" si="63"/>
        <v>1.5597164795506713E-2</v>
      </c>
      <c r="T152" s="63">
        <f t="shared" si="64"/>
        <v>4.5095828635851182E-3</v>
      </c>
      <c r="U152" s="63">
        <f t="shared" si="65"/>
        <v>1.0708491964437761</v>
      </c>
      <c r="V152" s="64">
        <f t="shared" si="66"/>
        <v>1.6652754047522034E-2</v>
      </c>
    </row>
    <row r="153" spans="1:22">
      <c r="A153" s="150">
        <v>130</v>
      </c>
      <c r="B153" s="134" t="s">
        <v>206</v>
      </c>
      <c r="C153" s="135" t="s">
        <v>69</v>
      </c>
      <c r="D153" s="39">
        <v>736524179.47000003</v>
      </c>
      <c r="E153" s="36">
        <f t="shared" si="60"/>
        <v>1.4226081540786651E-2</v>
      </c>
      <c r="F153" s="39">
        <v>185.66</v>
      </c>
      <c r="G153" s="39">
        <v>187.01</v>
      </c>
      <c r="H153" s="38">
        <v>675</v>
      </c>
      <c r="I153" s="56">
        <v>1.6000000000000001E-3</v>
      </c>
      <c r="J153" s="56">
        <v>0.19650000000000001</v>
      </c>
      <c r="K153" s="39">
        <v>760912775.38999999</v>
      </c>
      <c r="L153" s="60">
        <f t="shared" si="61"/>
        <v>1.4546202868268786E-2</v>
      </c>
      <c r="M153" s="39">
        <v>190.81</v>
      </c>
      <c r="N153" s="39">
        <v>192.23</v>
      </c>
      <c r="O153" s="38">
        <v>676</v>
      </c>
      <c r="P153" s="56">
        <v>2.7799999999999998E-2</v>
      </c>
      <c r="Q153" s="56">
        <v>0.22639999999999999</v>
      </c>
      <c r="R153" s="63">
        <f t="shared" si="62"/>
        <v>3.3113096079954767E-2</v>
      </c>
      <c r="S153" s="63">
        <f t="shared" si="63"/>
        <v>2.7912945831773697E-2</v>
      </c>
      <c r="T153" s="63">
        <f t="shared" si="64"/>
        <v>1.4814814814814814E-3</v>
      </c>
      <c r="U153" s="63">
        <f t="shared" si="65"/>
        <v>2.6199999999999998E-2</v>
      </c>
      <c r="V153" s="64">
        <f t="shared" si="66"/>
        <v>2.9899999999999982E-2</v>
      </c>
    </row>
    <row r="154" spans="1:22">
      <c r="A154" s="150">
        <v>131</v>
      </c>
      <c r="B154" s="134" t="s">
        <v>207</v>
      </c>
      <c r="C154" s="135" t="s">
        <v>71</v>
      </c>
      <c r="D154" s="39">
        <v>3734808.11</v>
      </c>
      <c r="E154" s="36">
        <f t="shared" si="60"/>
        <v>7.2138412007443712E-5</v>
      </c>
      <c r="F154" s="39">
        <v>102.747</v>
      </c>
      <c r="G154" s="39">
        <v>102.99</v>
      </c>
      <c r="H154" s="38">
        <v>0</v>
      </c>
      <c r="I154" s="56">
        <v>0</v>
      </c>
      <c r="J154" s="56">
        <v>0</v>
      </c>
      <c r="K154" s="39">
        <v>3734808.11</v>
      </c>
      <c r="L154" s="60">
        <f t="shared" si="61"/>
        <v>7.1397508622812251E-5</v>
      </c>
      <c r="M154" s="39">
        <v>102.747</v>
      </c>
      <c r="N154" s="39">
        <v>102.99</v>
      </c>
      <c r="O154" s="38">
        <v>0</v>
      </c>
      <c r="P154" s="56">
        <v>0</v>
      </c>
      <c r="Q154" s="56">
        <v>0</v>
      </c>
      <c r="R154" s="63">
        <f t="shared" si="62"/>
        <v>0</v>
      </c>
      <c r="S154" s="63">
        <f t="shared" si="63"/>
        <v>0</v>
      </c>
      <c r="T154" s="63" t="e">
        <f t="shared" si="64"/>
        <v>#DIV/0!</v>
      </c>
      <c r="U154" s="63">
        <f t="shared" si="65"/>
        <v>0</v>
      </c>
      <c r="V154" s="64">
        <f t="shared" si="66"/>
        <v>0</v>
      </c>
    </row>
    <row r="155" spans="1:22">
      <c r="A155" s="150">
        <v>132</v>
      </c>
      <c r="B155" s="134" t="s">
        <v>208</v>
      </c>
      <c r="C155" s="135" t="s">
        <v>129</v>
      </c>
      <c r="D155" s="39">
        <v>189507855.13999999</v>
      </c>
      <c r="E155" s="36">
        <f t="shared" si="60"/>
        <v>3.6603743298437574E-3</v>
      </c>
      <c r="F155" s="39">
        <v>1.4947999999999999</v>
      </c>
      <c r="G155" s="39">
        <v>1.5077</v>
      </c>
      <c r="H155" s="38">
        <v>359</v>
      </c>
      <c r="I155" s="56">
        <v>1.40684665371471E-3</v>
      </c>
      <c r="J155" s="56">
        <v>2.11079991802718E-2</v>
      </c>
      <c r="K155" s="39">
        <v>193256579.28</v>
      </c>
      <c r="L155" s="60">
        <f t="shared" si="61"/>
        <v>3.6944436980884138E-3</v>
      </c>
      <c r="M155" s="39">
        <v>1.5244</v>
      </c>
      <c r="N155" s="39">
        <v>1.5383</v>
      </c>
      <c r="O155" s="38">
        <v>346</v>
      </c>
      <c r="P155" s="56">
        <v>2.12366852013131E-2</v>
      </c>
      <c r="Q155" s="56">
        <v>4.13279595600793E-2</v>
      </c>
      <c r="R155" s="63">
        <f t="shared" si="62"/>
        <v>1.9781365459656669E-2</v>
      </c>
      <c r="S155" s="63">
        <f t="shared" si="63"/>
        <v>2.0295814817271315E-2</v>
      </c>
      <c r="T155" s="63">
        <f t="shared" si="64"/>
        <v>-3.6211699164345405E-2</v>
      </c>
      <c r="U155" s="63">
        <f t="shared" si="65"/>
        <v>1.9829838547598389E-2</v>
      </c>
      <c r="V155" s="64">
        <f t="shared" si="66"/>
        <v>2.02199603798075E-2</v>
      </c>
    </row>
    <row r="156" spans="1:22">
      <c r="A156" s="150">
        <v>133</v>
      </c>
      <c r="B156" s="134" t="s">
        <v>209</v>
      </c>
      <c r="C156" s="135" t="s">
        <v>31</v>
      </c>
      <c r="D156" s="50">
        <v>130675521.34</v>
      </c>
      <c r="E156" s="36">
        <f t="shared" si="60"/>
        <v>2.5240184555860418E-3</v>
      </c>
      <c r="F156" s="39">
        <v>153.80430000000001</v>
      </c>
      <c r="G156" s="39">
        <v>154.48410000000001</v>
      </c>
      <c r="H156" s="38">
        <v>125</v>
      </c>
      <c r="I156" s="56">
        <v>3.1849999999999999E-3</v>
      </c>
      <c r="J156" s="56">
        <v>0.1812</v>
      </c>
      <c r="K156" s="50">
        <v>131073937.01000001</v>
      </c>
      <c r="L156" s="60">
        <f t="shared" si="61"/>
        <v>2.5057117453612431E-3</v>
      </c>
      <c r="M156" s="39">
        <v>155.48050000000001</v>
      </c>
      <c r="N156" s="39">
        <v>156.17769999999999</v>
      </c>
      <c r="O156" s="38">
        <v>122</v>
      </c>
      <c r="P156" s="56">
        <v>4.02E-2</v>
      </c>
      <c r="Q156" s="56">
        <v>0.13719999999999999</v>
      </c>
      <c r="R156" s="63">
        <f t="shared" si="62"/>
        <v>3.0488929059894715E-3</v>
      </c>
      <c r="S156" s="63">
        <f t="shared" si="63"/>
        <v>1.096294052268146E-2</v>
      </c>
      <c r="T156" s="63">
        <f t="shared" si="64"/>
        <v>-2.4E-2</v>
      </c>
      <c r="U156" s="63">
        <f t="shared" si="65"/>
        <v>3.7014999999999999E-2</v>
      </c>
      <c r="V156" s="64">
        <f t="shared" si="66"/>
        <v>-4.4000000000000011E-2</v>
      </c>
    </row>
    <row r="157" spans="1:22">
      <c r="A157" s="150">
        <v>134</v>
      </c>
      <c r="B157" s="134" t="s">
        <v>210</v>
      </c>
      <c r="C157" s="135" t="s">
        <v>75</v>
      </c>
      <c r="D157" s="50">
        <v>222683574.96000001</v>
      </c>
      <c r="E157" s="36">
        <f t="shared" si="60"/>
        <v>4.3011686289165085E-3</v>
      </c>
      <c r="F157" s="39">
        <v>119.31</v>
      </c>
      <c r="G157" s="39">
        <v>119.94</v>
      </c>
      <c r="H157" s="38">
        <v>40</v>
      </c>
      <c r="I157" s="56">
        <v>2.7000000000000001E-3</v>
      </c>
      <c r="J157" s="56">
        <v>0.19070000000000001</v>
      </c>
      <c r="K157" s="50">
        <v>224250515.49000001</v>
      </c>
      <c r="L157" s="60">
        <f t="shared" si="61"/>
        <v>4.2869479881704996E-3</v>
      </c>
      <c r="M157" s="39">
        <v>120.22</v>
      </c>
      <c r="N157" s="39">
        <v>120.93</v>
      </c>
      <c r="O157" s="38">
        <v>41</v>
      </c>
      <c r="P157" s="56">
        <v>9.1999999999999998E-3</v>
      </c>
      <c r="Q157" s="56">
        <v>0.19989999999999999</v>
      </c>
      <c r="R157" s="63">
        <f t="shared" si="62"/>
        <v>7.0366237396784475E-3</v>
      </c>
      <c r="S157" s="63">
        <f t="shared" si="63"/>
        <v>8.2541270635318412E-3</v>
      </c>
      <c r="T157" s="63">
        <f t="shared" si="64"/>
        <v>2.5000000000000001E-2</v>
      </c>
      <c r="U157" s="63">
        <f t="shared" si="65"/>
        <v>6.4999999999999997E-3</v>
      </c>
      <c r="V157" s="64">
        <f t="shared" si="66"/>
        <v>9.199999999999986E-3</v>
      </c>
    </row>
    <row r="158" spans="1:22" ht="15.75" customHeight="1">
      <c r="A158" s="150">
        <v>135</v>
      </c>
      <c r="B158" s="134" t="s">
        <v>211</v>
      </c>
      <c r="C158" s="135" t="s">
        <v>78</v>
      </c>
      <c r="D158" s="35">
        <v>304705739.11000001</v>
      </c>
      <c r="E158" s="36">
        <f t="shared" si="60"/>
        <v>5.8854397606386902E-3</v>
      </c>
      <c r="F158" s="39">
        <v>1.2373000000000001</v>
      </c>
      <c r="G158" s="39">
        <v>1.2506999999999999</v>
      </c>
      <c r="H158" s="38">
        <v>103</v>
      </c>
      <c r="I158" s="56">
        <v>-1.7750000000000001E-3</v>
      </c>
      <c r="J158" s="56">
        <v>6.1348E-2</v>
      </c>
      <c r="K158" s="35">
        <v>306882482.12</v>
      </c>
      <c r="L158" s="60">
        <f t="shared" si="61"/>
        <v>5.8666051957761024E-3</v>
      </c>
      <c r="M158" s="39">
        <v>1.2410000000000001</v>
      </c>
      <c r="N158" s="39">
        <v>1.2544999999999999</v>
      </c>
      <c r="O158" s="38">
        <v>101</v>
      </c>
      <c r="P158" s="56">
        <v>2.5850000000000001E-3</v>
      </c>
      <c r="Q158" s="56">
        <v>6.3399999999999998E-2</v>
      </c>
      <c r="R158" s="63">
        <f t="shared" si="62"/>
        <v>7.1437545494152221E-3</v>
      </c>
      <c r="S158" s="63">
        <f t="shared" si="63"/>
        <v>3.0382985528104468E-3</v>
      </c>
      <c r="T158" s="63">
        <f t="shared" si="64"/>
        <v>-1.9417475728155338E-2</v>
      </c>
      <c r="U158" s="63">
        <f t="shared" si="65"/>
        <v>4.3600000000000002E-3</v>
      </c>
      <c r="V158" s="64">
        <f t="shared" si="66"/>
        <v>2.0519999999999983E-3</v>
      </c>
    </row>
    <row r="159" spans="1:22">
      <c r="A159" s="150">
        <v>136</v>
      </c>
      <c r="B159" s="134" t="s">
        <v>212</v>
      </c>
      <c r="C159" s="135" t="s">
        <v>33</v>
      </c>
      <c r="D159" s="39">
        <v>9081133707.4699993</v>
      </c>
      <c r="E159" s="36">
        <f t="shared" si="60"/>
        <v>0.17540354031312086</v>
      </c>
      <c r="F159" s="39">
        <v>334.33</v>
      </c>
      <c r="G159" s="39">
        <v>336.56</v>
      </c>
      <c r="H159" s="38">
        <v>5460</v>
      </c>
      <c r="I159" s="56">
        <v>4.4999999999999997E-3</v>
      </c>
      <c r="J159" s="56">
        <v>0.23630000000000001</v>
      </c>
      <c r="K159" s="39">
        <v>9119588941.4200001</v>
      </c>
      <c r="L159" s="60">
        <f t="shared" si="61"/>
        <v>0.17433718437586279</v>
      </c>
      <c r="M159" s="39">
        <v>303.99</v>
      </c>
      <c r="N159" s="39">
        <v>306.05</v>
      </c>
      <c r="O159" s="38">
        <v>5460</v>
      </c>
      <c r="P159" s="56">
        <v>-9.0700000000000003E-2</v>
      </c>
      <c r="Q159" s="56">
        <v>0.247</v>
      </c>
      <c r="R159" s="63">
        <f t="shared" si="62"/>
        <v>4.2346291981548607E-3</v>
      </c>
      <c r="S159" s="63">
        <f t="shared" si="63"/>
        <v>-9.0652483955312543E-2</v>
      </c>
      <c r="T159" s="63">
        <f t="shared" si="64"/>
        <v>0</v>
      </c>
      <c r="U159" s="63">
        <f t="shared" si="65"/>
        <v>-9.5200000000000007E-2</v>
      </c>
      <c r="V159" s="64">
        <f t="shared" si="66"/>
        <v>1.0699999999999987E-2</v>
      </c>
    </row>
    <row r="160" spans="1:22">
      <c r="A160" s="150">
        <v>137</v>
      </c>
      <c r="B160" s="134" t="s">
        <v>213</v>
      </c>
      <c r="C160" s="135" t="s">
        <v>83</v>
      </c>
      <c r="D160" s="39">
        <v>3098548632.5900002</v>
      </c>
      <c r="E160" s="36">
        <f t="shared" si="60"/>
        <v>5.9848959116370448E-2</v>
      </c>
      <c r="F160" s="39">
        <v>2.1736</v>
      </c>
      <c r="G160" s="39">
        <v>2.2103000000000002</v>
      </c>
      <c r="H160" s="38">
        <v>10307</v>
      </c>
      <c r="I160" s="56">
        <v>1.2999999999999999E-3</v>
      </c>
      <c r="J160" s="56">
        <v>0.246</v>
      </c>
      <c r="K160" s="39">
        <v>3099375280.3699999</v>
      </c>
      <c r="L160" s="60">
        <f t="shared" si="61"/>
        <v>5.9250078394401953E-2</v>
      </c>
      <c r="M160" s="39">
        <v>2.1741999999999999</v>
      </c>
      <c r="N160" s="39">
        <v>2.2109000000000001</v>
      </c>
      <c r="O160" s="38">
        <v>10307</v>
      </c>
      <c r="P160" s="56">
        <v>1.4E-3</v>
      </c>
      <c r="Q160" s="56">
        <v>0.24629999999999999</v>
      </c>
      <c r="R160" s="63">
        <f t="shared" si="62"/>
        <v>2.6678547862866964E-4</v>
      </c>
      <c r="S160" s="63">
        <f t="shared" si="63"/>
        <v>2.7145636338955521E-4</v>
      </c>
      <c r="T160" s="63">
        <f t="shared" si="64"/>
        <v>0</v>
      </c>
      <c r="U160" s="63">
        <f t="shared" si="65"/>
        <v>1.0000000000000005E-4</v>
      </c>
      <c r="V160" s="64">
        <f t="shared" si="66"/>
        <v>2.9999999999999472E-4</v>
      </c>
    </row>
    <row r="161" spans="1:22">
      <c r="A161" s="150">
        <v>138</v>
      </c>
      <c r="B161" s="134" t="s">
        <v>214</v>
      </c>
      <c r="C161" s="135" t="s">
        <v>85</v>
      </c>
      <c r="D161" s="39">
        <v>220482587.13999999</v>
      </c>
      <c r="E161" s="36">
        <f t="shared" si="60"/>
        <v>4.2586561994941239E-3</v>
      </c>
      <c r="F161" s="39">
        <v>277.83</v>
      </c>
      <c r="G161" s="39">
        <v>286.75</v>
      </c>
      <c r="H161" s="38">
        <v>39</v>
      </c>
      <c r="I161" s="56">
        <v>-2.6634992621387102E-3</v>
      </c>
      <c r="J161" s="56">
        <v>0.16869999999999999</v>
      </c>
      <c r="K161" s="39">
        <v>227086953.91930401</v>
      </c>
      <c r="L161" s="60">
        <f t="shared" si="61"/>
        <v>4.3411715603727963E-3</v>
      </c>
      <c r="M161" s="39">
        <v>295.47000000000003</v>
      </c>
      <c r="N161" s="39">
        <v>305.29000000000002</v>
      </c>
      <c r="O161" s="38">
        <v>39</v>
      </c>
      <c r="P161" s="56">
        <v>6.3492063492063697E-2</v>
      </c>
      <c r="Q161" s="56">
        <v>0.25690000000000002</v>
      </c>
      <c r="R161" s="63">
        <f t="shared" si="62"/>
        <v>2.9954142252106502E-2</v>
      </c>
      <c r="S161" s="63">
        <f t="shared" si="63"/>
        <v>6.4655623365300854E-2</v>
      </c>
      <c r="T161" s="63">
        <f t="shared" si="64"/>
        <v>0</v>
      </c>
      <c r="U161" s="63">
        <f t="shared" si="65"/>
        <v>6.615556275420241E-2</v>
      </c>
      <c r="V161" s="64">
        <f t="shared" si="66"/>
        <v>8.8200000000000028E-2</v>
      </c>
    </row>
    <row r="162" spans="1:22">
      <c r="A162" s="150">
        <v>139</v>
      </c>
      <c r="B162" s="134" t="s">
        <v>215</v>
      </c>
      <c r="C162" s="134" t="s">
        <v>87</v>
      </c>
      <c r="D162" s="39">
        <v>58934953.109999999</v>
      </c>
      <c r="E162" s="36">
        <f t="shared" si="60"/>
        <v>1.1383379825338756E-3</v>
      </c>
      <c r="F162" s="39">
        <v>1.147</v>
      </c>
      <c r="G162" s="39">
        <v>1.1599999999999999</v>
      </c>
      <c r="H162" s="38">
        <v>28</v>
      </c>
      <c r="I162" s="56">
        <v>4.3E-3</v>
      </c>
      <c r="J162" s="56">
        <v>0.19500000000000001</v>
      </c>
      <c r="K162" s="39">
        <v>58680082.560000002</v>
      </c>
      <c r="L162" s="60">
        <f t="shared" si="61"/>
        <v>1.1217742858989708E-3</v>
      </c>
      <c r="M162" s="39">
        <v>1.1419999999999999</v>
      </c>
      <c r="N162" s="39">
        <v>1.155</v>
      </c>
      <c r="O162" s="38">
        <v>28</v>
      </c>
      <c r="P162" s="56">
        <v>-4.3E-3</v>
      </c>
      <c r="Q162" s="56">
        <v>0.1736</v>
      </c>
      <c r="R162" s="63">
        <f t="shared" ref="R162" si="67">((K162-D162)/D162)</f>
        <v>-4.324607665747866E-3</v>
      </c>
      <c r="S162" s="63">
        <f t="shared" ref="S162" si="68">((N162-G162)/G162)</f>
        <v>-4.3103448275861149E-3</v>
      </c>
      <c r="T162" s="63">
        <f t="shared" ref="T162" si="69">((O162-H162)/H162)</f>
        <v>0</v>
      </c>
      <c r="U162" s="63">
        <f t="shared" ref="U162" si="70">P162-I162</f>
        <v>-8.6E-3</v>
      </c>
      <c r="V162" s="64">
        <f t="shared" ref="V162:V164" si="71">Q162-J162</f>
        <v>-2.1400000000000002E-2</v>
      </c>
    </row>
    <row r="163" spans="1:22" ht="13.5" customHeight="1">
      <c r="A163" s="150">
        <v>140</v>
      </c>
      <c r="B163" s="134" t="s">
        <v>216</v>
      </c>
      <c r="C163" s="135" t="s">
        <v>39</v>
      </c>
      <c r="D163" s="35">
        <v>2765060095.54</v>
      </c>
      <c r="E163" s="36">
        <f t="shared" si="60"/>
        <v>5.340757504069097E-2</v>
      </c>
      <c r="F163" s="39">
        <v>3.9043890000000001</v>
      </c>
      <c r="G163" s="39">
        <v>4.0343730000000004</v>
      </c>
      <c r="H163" s="38">
        <v>2343</v>
      </c>
      <c r="I163" s="56">
        <v>-2E-3</v>
      </c>
      <c r="J163" s="56">
        <v>7.3400000000000007E-2</v>
      </c>
      <c r="K163" s="35">
        <v>2836525158.8299999</v>
      </c>
      <c r="L163" s="60">
        <f t="shared" si="61"/>
        <v>5.4225230191649335E-2</v>
      </c>
      <c r="M163" s="39">
        <v>4.0077109999999996</v>
      </c>
      <c r="N163" s="39">
        <v>4.1396040000000003</v>
      </c>
      <c r="O163" s="38">
        <v>2345</v>
      </c>
      <c r="P163" s="56">
        <v>2.6463039415386001E-2</v>
      </c>
      <c r="Q163" s="56">
        <v>0.101836802023479</v>
      </c>
      <c r="R163" s="63">
        <f t="shared" si="62"/>
        <v>2.5845754096003926E-2</v>
      </c>
      <c r="S163" s="63">
        <f t="shared" si="63"/>
        <v>2.6083607043771075E-2</v>
      </c>
      <c r="T163" s="63">
        <f t="shared" si="64"/>
        <v>8.5360648740930435E-4</v>
      </c>
      <c r="U163" s="63">
        <f t="shared" si="65"/>
        <v>2.8463039415385999E-2</v>
      </c>
      <c r="V163" s="64">
        <f t="shared" si="71"/>
        <v>2.8436802023478994E-2</v>
      </c>
    </row>
    <row r="164" spans="1:22" ht="13.5" customHeight="1">
      <c r="A164" s="150">
        <v>141</v>
      </c>
      <c r="B164" s="134" t="s">
        <v>217</v>
      </c>
      <c r="C164" s="135" t="s">
        <v>218</v>
      </c>
      <c r="D164" s="35">
        <v>66114306.859999999</v>
      </c>
      <c r="E164" s="36">
        <f t="shared" si="60"/>
        <v>1.2770083408256395E-3</v>
      </c>
      <c r="F164" s="39">
        <v>2.1800000000000002</v>
      </c>
      <c r="G164" s="39">
        <v>2.1800000000000002</v>
      </c>
      <c r="H164" s="38">
        <v>62</v>
      </c>
      <c r="I164" s="56">
        <v>-3.8999999999999998E-3</v>
      </c>
      <c r="J164" s="56">
        <v>8.7900000000000006E-2</v>
      </c>
      <c r="K164" s="35">
        <v>63743140.079999998</v>
      </c>
      <c r="L164" s="60">
        <f t="shared" si="61"/>
        <v>1.2185636475730286E-3</v>
      </c>
      <c r="M164" s="39">
        <v>2.08</v>
      </c>
      <c r="N164" s="39">
        <v>2.09</v>
      </c>
      <c r="O164" s="38">
        <v>64</v>
      </c>
      <c r="P164" s="56">
        <v>-3.7000000000000002E-3</v>
      </c>
      <c r="Q164" s="56">
        <v>4.4999999999999998E-2</v>
      </c>
      <c r="R164" s="63">
        <f t="shared" ref="R164" si="72">((K164-D164)/D164)</f>
        <v>-3.5864654605258929E-2</v>
      </c>
      <c r="S164" s="63">
        <f t="shared" ref="S164" si="73">((N164-G164)/G164)</f>
        <v>-4.1284403669724905E-2</v>
      </c>
      <c r="T164" s="63">
        <f t="shared" ref="T164" si="74">((O164-H164)/H164)</f>
        <v>3.2258064516129031E-2</v>
      </c>
      <c r="U164" s="63">
        <f t="shared" ref="U164" si="75">P164-I164</f>
        <v>1.9999999999999966E-4</v>
      </c>
      <c r="V164" s="64">
        <f t="shared" si="71"/>
        <v>-4.2900000000000008E-2</v>
      </c>
    </row>
    <row r="165" spans="1:22">
      <c r="A165" s="150">
        <v>142</v>
      </c>
      <c r="B165" s="134" t="s">
        <v>219</v>
      </c>
      <c r="C165" s="135" t="s">
        <v>138</v>
      </c>
      <c r="D165" s="35">
        <v>208267754.71000001</v>
      </c>
      <c r="E165" s="36">
        <f t="shared" si="60"/>
        <v>4.0227247704930167E-3</v>
      </c>
      <c r="F165" s="39">
        <v>190.23</v>
      </c>
      <c r="G165" s="39">
        <v>194.56</v>
      </c>
      <c r="H165" s="38">
        <v>141</v>
      </c>
      <c r="I165" s="56">
        <v>2E-3</v>
      </c>
      <c r="J165" s="56">
        <v>0.1855</v>
      </c>
      <c r="K165" s="35">
        <v>208859014.41</v>
      </c>
      <c r="L165" s="60">
        <f t="shared" si="61"/>
        <v>3.992712033146475E-3</v>
      </c>
      <c r="M165" s="39">
        <v>191.9</v>
      </c>
      <c r="N165" s="39">
        <v>196.3</v>
      </c>
      <c r="O165" s="38">
        <v>141</v>
      </c>
      <c r="P165" s="56">
        <v>0.1855</v>
      </c>
      <c r="Q165" s="56">
        <v>6.4999999999999997E-3</v>
      </c>
      <c r="R165" s="63">
        <f t="shared" si="62"/>
        <v>2.8389401941903139E-3</v>
      </c>
      <c r="S165" s="63">
        <f t="shared" si="63"/>
        <v>8.9432565789474144E-3</v>
      </c>
      <c r="T165" s="63">
        <f t="shared" si="64"/>
        <v>0</v>
      </c>
      <c r="U165" s="63">
        <f t="shared" si="65"/>
        <v>0.1835</v>
      </c>
      <c r="V165" s="64">
        <f t="shared" si="66"/>
        <v>-0.17899999999999999</v>
      </c>
    </row>
    <row r="166" spans="1:22">
      <c r="A166" s="150">
        <v>143</v>
      </c>
      <c r="B166" s="134" t="s">
        <v>220</v>
      </c>
      <c r="C166" s="135" t="s">
        <v>35</v>
      </c>
      <c r="D166" s="35">
        <v>2173436601.5999999</v>
      </c>
      <c r="E166" s="36">
        <f t="shared" si="60"/>
        <v>4.1980273261824713E-2</v>
      </c>
      <c r="F166" s="39">
        <v>552.22</v>
      </c>
      <c r="G166" s="39">
        <v>552.22</v>
      </c>
      <c r="H166" s="38">
        <v>823</v>
      </c>
      <c r="I166" s="56">
        <v>2.043E-2</v>
      </c>
      <c r="J166" s="56">
        <v>0.39029000000000003</v>
      </c>
      <c r="K166" s="35">
        <v>2306805798.48</v>
      </c>
      <c r="L166" s="60">
        <f t="shared" si="61"/>
        <v>4.4098701201580368E-2</v>
      </c>
      <c r="M166" s="39">
        <v>552.22</v>
      </c>
      <c r="N166" s="39">
        <v>552.22</v>
      </c>
      <c r="O166" s="38">
        <v>823</v>
      </c>
      <c r="P166" s="56">
        <v>1.2E-2</v>
      </c>
      <c r="Q166" s="56">
        <v>0.40689999999999998</v>
      </c>
      <c r="R166" s="63">
        <f t="shared" si="62"/>
        <v>6.1363279141346413E-2</v>
      </c>
      <c r="S166" s="63">
        <f t="shared" si="63"/>
        <v>0</v>
      </c>
      <c r="T166" s="63">
        <f t="shared" si="64"/>
        <v>0</v>
      </c>
      <c r="U166" s="63">
        <f t="shared" si="65"/>
        <v>-8.43E-3</v>
      </c>
      <c r="V166" s="64">
        <f t="shared" si="66"/>
        <v>1.6609999999999958E-2</v>
      </c>
    </row>
    <row r="167" spans="1:22">
      <c r="A167" s="150">
        <v>144</v>
      </c>
      <c r="B167" s="134" t="s">
        <v>221</v>
      </c>
      <c r="C167" s="135" t="s">
        <v>94</v>
      </c>
      <c r="D167" s="39">
        <v>27329415.609999999</v>
      </c>
      <c r="E167" s="36">
        <f t="shared" si="60"/>
        <v>5.2787200443260357E-4</v>
      </c>
      <c r="F167" s="39">
        <v>1.73</v>
      </c>
      <c r="G167" s="39">
        <v>1.73</v>
      </c>
      <c r="H167" s="38">
        <v>8</v>
      </c>
      <c r="I167" s="56">
        <v>1.8280000000000001E-2</v>
      </c>
      <c r="J167" s="56">
        <v>6.4360000000000001E-2</v>
      </c>
      <c r="K167" s="39">
        <v>28181533.129999999</v>
      </c>
      <c r="L167" s="60">
        <f t="shared" si="61"/>
        <v>5.387401963880934E-4</v>
      </c>
      <c r="M167" s="39">
        <v>1.75</v>
      </c>
      <c r="N167" s="39">
        <v>1.75</v>
      </c>
      <c r="O167" s="38">
        <v>8</v>
      </c>
      <c r="P167" s="56">
        <v>9.0709999999999992E-3</v>
      </c>
      <c r="Q167" s="56">
        <v>7.4014999999999997E-2</v>
      </c>
      <c r="R167" s="63">
        <f t="shared" si="62"/>
        <v>3.1179500219104744E-2</v>
      </c>
      <c r="S167" s="63">
        <f t="shared" si="63"/>
        <v>1.1560693641618507E-2</v>
      </c>
      <c r="T167" s="63">
        <f t="shared" si="64"/>
        <v>0</v>
      </c>
      <c r="U167" s="63">
        <f t="shared" si="65"/>
        <v>-9.2090000000000019E-3</v>
      </c>
      <c r="V167" s="64">
        <f t="shared" si="66"/>
        <v>9.6549999999999969E-3</v>
      </c>
    </row>
    <row r="168" spans="1:22">
      <c r="A168" s="150">
        <v>145</v>
      </c>
      <c r="B168" s="134" t="s">
        <v>222</v>
      </c>
      <c r="C168" s="135" t="s">
        <v>47</v>
      </c>
      <c r="D168" s="39">
        <v>234186022.91999999</v>
      </c>
      <c r="E168" s="36">
        <f t="shared" si="60"/>
        <v>4.5233402387004074E-3</v>
      </c>
      <c r="F168" s="39">
        <v>2.3562080000000001</v>
      </c>
      <c r="G168" s="39">
        <v>2.4129520000000002</v>
      </c>
      <c r="H168" s="38">
        <v>120</v>
      </c>
      <c r="I168" s="56">
        <v>4.0000000000000002E-4</v>
      </c>
      <c r="J168" s="56">
        <v>1.7299999999999999E-2</v>
      </c>
      <c r="K168" s="39">
        <v>240738226.38999999</v>
      </c>
      <c r="L168" s="60">
        <f t="shared" si="61"/>
        <v>4.6021399462261936E-3</v>
      </c>
      <c r="M168" s="39">
        <v>2.4218790000000001</v>
      </c>
      <c r="N168" s="39">
        <v>2.4650820000000002</v>
      </c>
      <c r="O168" s="38">
        <v>120</v>
      </c>
      <c r="P168" s="56">
        <v>2.4199999999999999E-2</v>
      </c>
      <c r="Q168" s="56">
        <v>4.24E-2</v>
      </c>
      <c r="R168" s="63">
        <f t="shared" si="62"/>
        <v>2.7978627367690041E-2</v>
      </c>
      <c r="S168" s="63">
        <f t="shared" si="63"/>
        <v>2.1604242438307934E-2</v>
      </c>
      <c r="T168" s="63">
        <f t="shared" si="64"/>
        <v>0</v>
      </c>
      <c r="U168" s="63">
        <f t="shared" si="65"/>
        <v>2.3799999999999998E-2</v>
      </c>
      <c r="V168" s="64">
        <f t="shared" si="66"/>
        <v>2.5100000000000001E-2</v>
      </c>
    </row>
    <row r="169" spans="1:22">
      <c r="A169" s="150">
        <v>146</v>
      </c>
      <c r="B169" s="134" t="s">
        <v>223</v>
      </c>
      <c r="C169" s="135" t="s">
        <v>51</v>
      </c>
      <c r="D169" s="35">
        <v>2650531742.9299998</v>
      </c>
      <c r="E169" s="36">
        <f t="shared" si="60"/>
        <v>5.1195441714485361E-2</v>
      </c>
      <c r="F169" s="39">
        <v>5885.87</v>
      </c>
      <c r="G169" s="39">
        <v>5943.76</v>
      </c>
      <c r="H169" s="38">
        <v>2248</v>
      </c>
      <c r="I169" s="56">
        <v>3.5000000000000001E-3</v>
      </c>
      <c r="J169" s="56">
        <v>0.1837</v>
      </c>
      <c r="K169" s="35">
        <v>2710708560.2199998</v>
      </c>
      <c r="L169" s="36">
        <f t="shared" si="61"/>
        <v>5.1820021832992759E-2</v>
      </c>
      <c r="M169" s="39">
        <v>6014.66</v>
      </c>
      <c r="N169" s="39">
        <v>6074.7</v>
      </c>
      <c r="O169" s="38">
        <v>2248</v>
      </c>
      <c r="P169" s="56">
        <v>2.1999999999999999E-2</v>
      </c>
      <c r="Q169" s="56">
        <v>0.20979999999999999</v>
      </c>
      <c r="R169" s="63">
        <f t="shared" si="62"/>
        <v>2.2703677271745552E-2</v>
      </c>
      <c r="S169" s="63">
        <f t="shared" si="63"/>
        <v>2.202982623793686E-2</v>
      </c>
      <c r="T169" s="63">
        <f t="shared" si="64"/>
        <v>0</v>
      </c>
      <c r="U169" s="63">
        <f t="shared" si="65"/>
        <v>1.8499999999999999E-2</v>
      </c>
      <c r="V169" s="64">
        <f t="shared" si="66"/>
        <v>2.6099999999999984E-2</v>
      </c>
    </row>
    <row r="170" spans="1:22">
      <c r="A170" s="150">
        <v>147</v>
      </c>
      <c r="B170" s="134" t="s">
        <v>224</v>
      </c>
      <c r="C170" s="134" t="s">
        <v>104</v>
      </c>
      <c r="D170" s="35">
        <v>83231650.790000007</v>
      </c>
      <c r="E170" s="36">
        <f t="shared" si="60"/>
        <v>1.6076325583294021E-3</v>
      </c>
      <c r="F170" s="39">
        <v>1074.3599999999999</v>
      </c>
      <c r="G170" s="39">
        <v>1091.24</v>
      </c>
      <c r="H170" s="38">
        <v>7</v>
      </c>
      <c r="I170" s="56">
        <v>1.01681351157104E-2</v>
      </c>
      <c r="J170" s="56">
        <v>8.8426000000000005E-2</v>
      </c>
      <c r="K170" s="35">
        <v>85177812.340000004</v>
      </c>
      <c r="L170" s="36">
        <f t="shared" si="61"/>
        <v>1.6283255824400128E-3</v>
      </c>
      <c r="M170" s="39">
        <v>1097.8599999999999</v>
      </c>
      <c r="N170" s="39">
        <v>1115.45</v>
      </c>
      <c r="O170" s="38">
        <v>8</v>
      </c>
      <c r="P170" s="56">
        <v>2.29E-2</v>
      </c>
      <c r="Q170" s="56">
        <v>0.1132</v>
      </c>
      <c r="R170" s="63">
        <f t="shared" si="62"/>
        <v>2.3382469667822828E-2</v>
      </c>
      <c r="S170" s="63">
        <f t="shared" si="63"/>
        <v>2.2185770316337412E-2</v>
      </c>
      <c r="T170" s="63">
        <f t="shared" si="64"/>
        <v>0.14285714285714285</v>
      </c>
      <c r="U170" s="63">
        <f t="shared" si="65"/>
        <v>1.2731864884289601E-2</v>
      </c>
      <c r="V170" s="64">
        <f t="shared" si="66"/>
        <v>2.477399999999999E-2</v>
      </c>
    </row>
    <row r="171" spans="1:22">
      <c r="A171" s="150">
        <v>148</v>
      </c>
      <c r="B171" s="134" t="s">
        <v>225</v>
      </c>
      <c r="C171" s="134" t="s">
        <v>87</v>
      </c>
      <c r="D171" s="35">
        <v>682174673.70000005</v>
      </c>
      <c r="E171" s="36">
        <f t="shared" si="60"/>
        <v>1.3176312202131875E-2</v>
      </c>
      <c r="F171" s="39">
        <v>1.3049999999999999</v>
      </c>
      <c r="G171" s="39">
        <v>1.3049999999999999</v>
      </c>
      <c r="H171" s="38">
        <v>42</v>
      </c>
      <c r="I171" s="56">
        <v>1.8E-3</v>
      </c>
      <c r="J171" s="56">
        <v>0.223</v>
      </c>
      <c r="K171" s="35">
        <v>684299333.13</v>
      </c>
      <c r="L171" s="36">
        <f t="shared" si="61"/>
        <v>1.3081600472837638E-2</v>
      </c>
      <c r="M171" s="39">
        <v>1.3089999999999999</v>
      </c>
      <c r="N171" s="39">
        <v>1.3089999999999999</v>
      </c>
      <c r="O171" s="38">
        <v>43</v>
      </c>
      <c r="P171" s="56">
        <v>3.0999999999999999E-3</v>
      </c>
      <c r="Q171" s="56">
        <v>0.2266</v>
      </c>
      <c r="R171" s="63">
        <f t="shared" si="62"/>
        <v>3.1145387126088309E-3</v>
      </c>
      <c r="S171" s="63">
        <f t="shared" si="63"/>
        <v>3.0651340996168609E-3</v>
      </c>
      <c r="T171" s="63">
        <f t="shared" si="64"/>
        <v>2.3809523809523808E-2</v>
      </c>
      <c r="U171" s="63">
        <f t="shared" si="65"/>
        <v>1.2999999999999999E-3</v>
      </c>
      <c r="V171" s="64">
        <f t="shared" si="66"/>
        <v>3.5999999999999921E-3</v>
      </c>
    </row>
    <row r="172" spans="1:22">
      <c r="A172" s="150">
        <v>149</v>
      </c>
      <c r="B172" s="134" t="s">
        <v>226</v>
      </c>
      <c r="C172" s="135" t="s">
        <v>54</v>
      </c>
      <c r="D172" s="39">
        <v>1899783622.5599999</v>
      </c>
      <c r="E172" s="36">
        <f t="shared" si="60"/>
        <v>3.6694622495405053E-2</v>
      </c>
      <c r="F172" s="39">
        <v>1.7963</v>
      </c>
      <c r="G172" s="39">
        <v>1.8070999999999999</v>
      </c>
      <c r="H172" s="38">
        <v>2168</v>
      </c>
      <c r="I172" s="56">
        <v>5.0000000000000001E-4</v>
      </c>
      <c r="J172" s="56">
        <v>0.1641</v>
      </c>
      <c r="K172" s="39">
        <v>1934450755.6300001</v>
      </c>
      <c r="L172" s="60">
        <f t="shared" si="61"/>
        <v>3.6980471402451413E-2</v>
      </c>
      <c r="M172" s="39">
        <v>1.8283</v>
      </c>
      <c r="N172" s="39">
        <v>1.8394999999999999</v>
      </c>
      <c r="O172" s="38">
        <v>2179</v>
      </c>
      <c r="P172" s="56">
        <v>1.78E-2</v>
      </c>
      <c r="Q172" s="56">
        <v>0.18140000000000001</v>
      </c>
      <c r="R172" s="63">
        <f t="shared" si="62"/>
        <v>1.8247937637911337E-2</v>
      </c>
      <c r="S172" s="63">
        <f t="shared" si="63"/>
        <v>1.7929278955232133E-2</v>
      </c>
      <c r="T172" s="63">
        <f t="shared" si="64"/>
        <v>5.0738007380073799E-3</v>
      </c>
      <c r="U172" s="63">
        <f t="shared" si="65"/>
        <v>1.7299999999999999E-2</v>
      </c>
      <c r="V172" s="64">
        <f t="shared" si="66"/>
        <v>1.730000000000001E-2</v>
      </c>
    </row>
    <row r="173" spans="1:22">
      <c r="A173" s="150">
        <v>150</v>
      </c>
      <c r="B173" s="134" t="s">
        <v>227</v>
      </c>
      <c r="C173" s="135" t="s">
        <v>54</v>
      </c>
      <c r="D173" s="39">
        <v>1101802695.3699999</v>
      </c>
      <c r="E173" s="36">
        <f t="shared" si="60"/>
        <v>2.1281494108545525E-2</v>
      </c>
      <c r="F173" s="39">
        <v>1.4272</v>
      </c>
      <c r="G173" s="39">
        <v>1.4352</v>
      </c>
      <c r="H173" s="38">
        <v>783</v>
      </c>
      <c r="I173" s="56">
        <v>-2.0000000000000001E-4</v>
      </c>
      <c r="J173" s="56">
        <v>0.1953</v>
      </c>
      <c r="K173" s="39">
        <v>1111442873.8099999</v>
      </c>
      <c r="L173" s="60">
        <f t="shared" si="61"/>
        <v>2.1247209984936198E-2</v>
      </c>
      <c r="M173" s="39">
        <v>1.4406000000000001</v>
      </c>
      <c r="N173" s="39">
        <v>1.4488000000000001</v>
      </c>
      <c r="O173" s="38">
        <v>789</v>
      </c>
      <c r="P173" s="56">
        <v>9.4000000000000004E-3</v>
      </c>
      <c r="Q173" s="56">
        <v>0.20480000000000001</v>
      </c>
      <c r="R173" s="63">
        <f t="shared" si="62"/>
        <v>8.7494598447708082E-3</v>
      </c>
      <c r="S173" s="63">
        <f t="shared" si="63"/>
        <v>9.4760312151616899E-3</v>
      </c>
      <c r="T173" s="63">
        <f t="shared" si="64"/>
        <v>7.6628352490421452E-3</v>
      </c>
      <c r="U173" s="63">
        <f t="shared" si="65"/>
        <v>9.6000000000000009E-3</v>
      </c>
      <c r="V173" s="64">
        <f t="shared" si="66"/>
        <v>9.5000000000000084E-3</v>
      </c>
    </row>
    <row r="174" spans="1:22">
      <c r="A174" s="150">
        <v>151</v>
      </c>
      <c r="B174" s="134" t="s">
        <v>228</v>
      </c>
      <c r="C174" s="135" t="s">
        <v>109</v>
      </c>
      <c r="D174" s="35">
        <v>9698869089.5599995</v>
      </c>
      <c r="E174" s="36">
        <f t="shared" si="60"/>
        <v>0.18733519736009671</v>
      </c>
      <c r="F174" s="39">
        <v>526.35</v>
      </c>
      <c r="G174" s="39">
        <v>532.02</v>
      </c>
      <c r="H174" s="38">
        <v>36</v>
      </c>
      <c r="I174" s="56">
        <v>-1.2160000000000001E-2</v>
      </c>
      <c r="J174" s="56">
        <v>0.51270000000000004</v>
      </c>
      <c r="K174" s="35">
        <v>9597812414.3500004</v>
      </c>
      <c r="L174" s="60">
        <f t="shared" si="61"/>
        <v>0.18347927776500642</v>
      </c>
      <c r="M174" s="39">
        <v>520.61</v>
      </c>
      <c r="N174" s="39">
        <v>526.61</v>
      </c>
      <c r="O174" s="38">
        <v>36</v>
      </c>
      <c r="P174" s="56">
        <v>3.1320000000000001E-2</v>
      </c>
      <c r="Q174" s="56">
        <v>0.497</v>
      </c>
      <c r="R174" s="63">
        <f t="shared" si="62"/>
        <v>-1.0419428726878881E-2</v>
      </c>
      <c r="S174" s="63">
        <f t="shared" si="63"/>
        <v>-1.0168790646968099E-2</v>
      </c>
      <c r="T174" s="63">
        <f t="shared" si="64"/>
        <v>0</v>
      </c>
      <c r="U174" s="63">
        <f t="shared" si="65"/>
        <v>4.3480000000000005E-2</v>
      </c>
      <c r="V174" s="64">
        <f t="shared" si="66"/>
        <v>-1.5700000000000047E-2</v>
      </c>
    </row>
    <row r="175" spans="1:22">
      <c r="A175" s="150">
        <v>152</v>
      </c>
      <c r="B175" s="134" t="s">
        <v>229</v>
      </c>
      <c r="C175" s="135" t="s">
        <v>49</v>
      </c>
      <c r="D175" s="35">
        <v>514009451.81</v>
      </c>
      <c r="E175" s="36">
        <f t="shared" si="60"/>
        <v>9.9281742242950388E-3</v>
      </c>
      <c r="F175" s="39">
        <v>248.41</v>
      </c>
      <c r="G175" s="39">
        <v>251.52</v>
      </c>
      <c r="H175" s="38">
        <v>690</v>
      </c>
      <c r="I175" s="56">
        <v>-3.2000000000000002E-3</v>
      </c>
      <c r="J175" s="56">
        <v>0.28739999999999999</v>
      </c>
      <c r="K175" s="35">
        <v>521306271.41000003</v>
      </c>
      <c r="L175" s="60">
        <f t="shared" si="61"/>
        <v>9.9656978114791503E-3</v>
      </c>
      <c r="M175" s="39">
        <v>251.95</v>
      </c>
      <c r="N175" s="39">
        <v>255.07</v>
      </c>
      <c r="O175" s="38">
        <v>690</v>
      </c>
      <c r="P175" s="56">
        <v>1.4200000000000001E-2</v>
      </c>
      <c r="Q175" s="56">
        <v>0.30559999999999998</v>
      </c>
      <c r="R175" s="63">
        <f t="shared" si="62"/>
        <v>1.4195886037319878E-2</v>
      </c>
      <c r="S175" s="63">
        <f t="shared" si="63"/>
        <v>1.4114185750636063E-2</v>
      </c>
      <c r="T175" s="63">
        <f t="shared" si="64"/>
        <v>0</v>
      </c>
      <c r="U175" s="63">
        <f t="shared" si="65"/>
        <v>1.7400000000000002E-2</v>
      </c>
      <c r="V175" s="64">
        <f t="shared" si="66"/>
        <v>1.8199999999999994E-2</v>
      </c>
    </row>
    <row r="176" spans="1:22">
      <c r="A176" s="42"/>
      <c r="B176" s="43"/>
      <c r="C176" s="44" t="s">
        <v>55</v>
      </c>
      <c r="D176" s="81">
        <f>SUM(D147:D175)</f>
        <v>51772807386.092972</v>
      </c>
      <c r="E176" s="46">
        <f>(D176/$D$206)</f>
        <v>1.4184890345168436E-2</v>
      </c>
      <c r="F176" s="47"/>
      <c r="G176" s="82"/>
      <c r="H176" s="49">
        <f>SUM(H147:H175)</f>
        <v>69756</v>
      </c>
      <c r="I176" s="88"/>
      <c r="J176" s="88"/>
      <c r="K176" s="81">
        <f>SUM(K147:K175)</f>
        <v>52310062102.176628</v>
      </c>
      <c r="L176" s="46">
        <f>(K176/$K$206)</f>
        <v>1.421046982168305E-2</v>
      </c>
      <c r="M176" s="47"/>
      <c r="N176" s="82"/>
      <c r="O176" s="49">
        <f>SUM(O147:O175)</f>
        <v>69765</v>
      </c>
      <c r="P176" s="88"/>
      <c r="Q176" s="88"/>
      <c r="R176" s="63">
        <f t="shared" si="62"/>
        <v>1.0377160196801917E-2</v>
      </c>
      <c r="S176" s="63" t="e">
        <f t="shared" si="63"/>
        <v>#DIV/0!</v>
      </c>
      <c r="T176" s="63">
        <f t="shared" si="64"/>
        <v>1.2902115947015312E-4</v>
      </c>
      <c r="U176" s="63">
        <f t="shared" si="65"/>
        <v>0</v>
      </c>
      <c r="V176" s="64">
        <f t="shared" si="66"/>
        <v>0</v>
      </c>
    </row>
    <row r="177" spans="1:24" ht="5.25" customHeight="1">
      <c r="A177" s="42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</row>
    <row r="178" spans="1:24" ht="15" customHeight="1">
      <c r="A178" s="143" t="s">
        <v>230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4">
      <c r="A179" s="150">
        <v>153</v>
      </c>
      <c r="B179" s="134" t="s">
        <v>231</v>
      </c>
      <c r="C179" s="135" t="s">
        <v>296</v>
      </c>
      <c r="D179" s="83">
        <v>901012114.35000002</v>
      </c>
      <c r="E179" s="36">
        <f>(D179/$D$182)</f>
        <v>0.16701995135282355</v>
      </c>
      <c r="F179" s="83">
        <v>63.969299999999997</v>
      </c>
      <c r="G179" s="83">
        <v>65.898099999999999</v>
      </c>
      <c r="H179" s="40">
        <v>1620</v>
      </c>
      <c r="I179" s="57">
        <v>-0.25259999999999999</v>
      </c>
      <c r="J179" s="57">
        <v>0.217</v>
      </c>
      <c r="K179" s="83">
        <v>905185031.84000003</v>
      </c>
      <c r="L179" s="60">
        <f>(K179/$K$182)</f>
        <v>0.16485677756819384</v>
      </c>
      <c r="M179" s="83">
        <v>63.990099999999998</v>
      </c>
      <c r="N179" s="83">
        <v>65.919499999999999</v>
      </c>
      <c r="O179" s="40">
        <v>1624</v>
      </c>
      <c r="P179" s="57">
        <v>1.7000000000000001E-2</v>
      </c>
      <c r="Q179" s="57">
        <v>0.21240000000000001</v>
      </c>
      <c r="R179" s="63">
        <f>((K179-D179)/D179)</f>
        <v>4.6313666859078778E-3</v>
      </c>
      <c r="S179" s="63">
        <f t="shared" ref="S179:T182" si="76">((N179-G179)/G179)</f>
        <v>3.2474380900207844E-4</v>
      </c>
      <c r="T179" s="63">
        <f t="shared" si="76"/>
        <v>2.4691358024691358E-3</v>
      </c>
      <c r="U179" s="63">
        <f t="shared" ref="U179:V182" si="77">P179-I179</f>
        <v>0.26960000000000001</v>
      </c>
      <c r="V179" s="64">
        <f t="shared" si="77"/>
        <v>-4.599999999999993E-3</v>
      </c>
    </row>
    <row r="180" spans="1:24">
      <c r="A180" s="150">
        <v>154</v>
      </c>
      <c r="B180" s="134" t="s">
        <v>232</v>
      </c>
      <c r="C180" s="135" t="s">
        <v>233</v>
      </c>
      <c r="D180" s="84">
        <v>926055647.63999999</v>
      </c>
      <c r="E180" s="36">
        <f>(D180/$D$182)</f>
        <v>0.17166225265508306</v>
      </c>
      <c r="F180" s="83">
        <v>26.3049</v>
      </c>
      <c r="G180" s="83">
        <v>26.5579</v>
      </c>
      <c r="H180" s="38">
        <v>1483</v>
      </c>
      <c r="I180" s="56">
        <v>1.15E-2</v>
      </c>
      <c r="J180" s="56">
        <v>0.2074</v>
      </c>
      <c r="K180" s="84">
        <v>931757023.16999996</v>
      </c>
      <c r="L180" s="60">
        <f>(K180/$K$182)</f>
        <v>0.16969620012838493</v>
      </c>
      <c r="M180" s="83">
        <v>26.3049</v>
      </c>
      <c r="N180" s="83">
        <v>26.5579</v>
      </c>
      <c r="O180" s="38">
        <v>1483</v>
      </c>
      <c r="P180" s="56">
        <v>1.0999999999999999E-2</v>
      </c>
      <c r="Q180" s="56">
        <v>0.2074</v>
      </c>
      <c r="R180" s="63">
        <f>((K180-D180)/D180)</f>
        <v>6.156623032891816E-3</v>
      </c>
      <c r="S180" s="63">
        <f t="shared" si="76"/>
        <v>0</v>
      </c>
      <c r="T180" s="63">
        <f t="shared" si="76"/>
        <v>0</v>
      </c>
      <c r="U180" s="63">
        <f t="shared" si="77"/>
        <v>-5.0000000000000044E-4</v>
      </c>
      <c r="V180" s="64">
        <f t="shared" si="77"/>
        <v>0</v>
      </c>
    </row>
    <row r="181" spans="1:24">
      <c r="A181" s="150">
        <v>155</v>
      </c>
      <c r="B181" s="134" t="s">
        <v>234</v>
      </c>
      <c r="C181" s="135" t="s">
        <v>51</v>
      </c>
      <c r="D181" s="50">
        <v>3567569866.9400001</v>
      </c>
      <c r="E181" s="36">
        <f>(D181/$D$182)</f>
        <v>0.66131779599209328</v>
      </c>
      <c r="F181" s="83">
        <v>2.6</v>
      </c>
      <c r="G181" s="83">
        <v>2.64</v>
      </c>
      <c r="H181" s="38">
        <v>10156</v>
      </c>
      <c r="I181" s="56">
        <v>3.8E-3</v>
      </c>
      <c r="J181" s="56">
        <v>0.26919999999999999</v>
      </c>
      <c r="K181" s="50">
        <v>3653793874.6399999</v>
      </c>
      <c r="L181" s="60">
        <f>(K181/$K$182)</f>
        <v>0.66544702230342123</v>
      </c>
      <c r="M181" s="83">
        <v>2.67</v>
      </c>
      <c r="N181" s="83">
        <v>2.71</v>
      </c>
      <c r="O181" s="38">
        <v>10159</v>
      </c>
      <c r="P181" s="56">
        <v>2.6499999999999999E-2</v>
      </c>
      <c r="Q181" s="56">
        <v>0.3029</v>
      </c>
      <c r="R181" s="63">
        <f>((K181-D181)/D181)</f>
        <v>2.4168835065858554E-2</v>
      </c>
      <c r="S181" s="63">
        <f t="shared" si="76"/>
        <v>2.6515151515151453E-2</v>
      </c>
      <c r="T181" s="63">
        <f t="shared" si="76"/>
        <v>2.9539188656951555E-4</v>
      </c>
      <c r="U181" s="63">
        <f t="shared" si="77"/>
        <v>2.2699999999999998E-2</v>
      </c>
      <c r="V181" s="64">
        <f t="shared" si="77"/>
        <v>3.3700000000000008E-2</v>
      </c>
    </row>
    <row r="182" spans="1:24">
      <c r="A182" s="42"/>
      <c r="B182" s="43"/>
      <c r="C182" s="77" t="s">
        <v>55</v>
      </c>
      <c r="D182" s="81">
        <f>SUM(D179:D181)</f>
        <v>5394637628.9300003</v>
      </c>
      <c r="E182" s="46">
        <f>(D182/$D$206)</f>
        <v>1.4780412166493153E-3</v>
      </c>
      <c r="F182" s="47"/>
      <c r="G182" s="82"/>
      <c r="H182" s="49">
        <f>SUM(H179:H181)</f>
        <v>13259</v>
      </c>
      <c r="I182" s="88"/>
      <c r="J182" s="88"/>
      <c r="K182" s="81">
        <f>SUM(K179:K181)</f>
        <v>5490735929.6499996</v>
      </c>
      <c r="L182" s="46">
        <f>(K182/$K$206)</f>
        <v>1.4916047523460209E-3</v>
      </c>
      <c r="M182" s="47"/>
      <c r="N182" s="82"/>
      <c r="O182" s="49">
        <f>SUM(O179:O181)</f>
        <v>13266</v>
      </c>
      <c r="P182" s="88"/>
      <c r="Q182" s="88"/>
      <c r="R182" s="63">
        <f>((K182-D182)/D182)</f>
        <v>1.781367115460171E-2</v>
      </c>
      <c r="S182" s="63" t="e">
        <f t="shared" si="76"/>
        <v>#DIV/0!</v>
      </c>
      <c r="T182" s="63">
        <f t="shared" si="76"/>
        <v>5.2794328380722524E-4</v>
      </c>
      <c r="U182" s="63">
        <f t="shared" si="77"/>
        <v>0</v>
      </c>
      <c r="V182" s="64">
        <f t="shared" si="77"/>
        <v>0</v>
      </c>
    </row>
    <row r="183" spans="1:24" ht="6" customHeight="1">
      <c r="A183" s="42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</row>
    <row r="184" spans="1:24" ht="15" customHeight="1">
      <c r="A184" s="139" t="s">
        <v>235</v>
      </c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</row>
    <row r="185" spans="1:24">
      <c r="A185" s="142" t="s">
        <v>236</v>
      </c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</row>
    <row r="186" spans="1:24">
      <c r="A186" s="150">
        <v>156</v>
      </c>
      <c r="B186" s="134" t="s">
        <v>237</v>
      </c>
      <c r="C186" s="135" t="s">
        <v>238</v>
      </c>
      <c r="D186" s="53">
        <v>4510959616.2200003</v>
      </c>
      <c r="E186" s="36">
        <f>(D186/$D$205)</f>
        <v>8.7996422227984594E-2</v>
      </c>
      <c r="F186" s="85">
        <v>2.11</v>
      </c>
      <c r="G186" s="85">
        <v>2.15</v>
      </c>
      <c r="H186" s="52">
        <v>14977</v>
      </c>
      <c r="I186" s="59">
        <v>1.3100000000000001E-2</v>
      </c>
      <c r="J186" s="59">
        <v>0.22189999999999999</v>
      </c>
      <c r="K186" s="53">
        <v>4531316348.0299997</v>
      </c>
      <c r="L186" s="36">
        <f>(K186/$K$205)</f>
        <v>8.8730297268316466E-2</v>
      </c>
      <c r="M186" s="85">
        <v>2.11</v>
      </c>
      <c r="N186" s="85">
        <v>2.15</v>
      </c>
      <c r="O186" s="52">
        <v>14977</v>
      </c>
      <c r="P186" s="59">
        <v>2.3E-3</v>
      </c>
      <c r="Q186" s="59">
        <v>0.22459999999999999</v>
      </c>
      <c r="R186" s="63">
        <f>((K186-D186)/D186)</f>
        <v>4.5127275661708483E-3</v>
      </c>
      <c r="S186" s="63">
        <f>((N186-G186)/G186)</f>
        <v>0</v>
      </c>
      <c r="T186" s="63">
        <f>((O186-H186)/H186)</f>
        <v>0</v>
      </c>
      <c r="U186" s="63">
        <f>P186-I186</f>
        <v>-1.0800000000000001E-2</v>
      </c>
      <c r="V186" s="64">
        <f>Q186-J186</f>
        <v>2.7000000000000079E-3</v>
      </c>
    </row>
    <row r="187" spans="1:24">
      <c r="A187" s="150">
        <v>157</v>
      </c>
      <c r="B187" s="134" t="s">
        <v>239</v>
      </c>
      <c r="C187" s="135" t="s">
        <v>51</v>
      </c>
      <c r="D187" s="53">
        <v>613097651.70000005</v>
      </c>
      <c r="E187" s="36">
        <f>(D187/$D$205)</f>
        <v>1.1959849880276088E-2</v>
      </c>
      <c r="F187" s="85">
        <v>418.09</v>
      </c>
      <c r="G187" s="85">
        <v>423.47</v>
      </c>
      <c r="H187" s="52">
        <v>853</v>
      </c>
      <c r="I187" s="59">
        <v>-1.5E-3</v>
      </c>
      <c r="J187" s="59">
        <v>0.1089</v>
      </c>
      <c r="K187" s="53">
        <v>602497555.5</v>
      </c>
      <c r="L187" s="36">
        <f>(K187/$K$205)</f>
        <v>1.179784925547976E-2</v>
      </c>
      <c r="M187" s="85">
        <v>414.78</v>
      </c>
      <c r="N187" s="85">
        <v>420.15</v>
      </c>
      <c r="O187" s="52">
        <v>853</v>
      </c>
      <c r="P187" s="59">
        <v>-7.7999999999999996E-3</v>
      </c>
      <c r="Q187" s="59">
        <v>0.1002</v>
      </c>
      <c r="R187" s="63">
        <f>((K187-D187)/D187)</f>
        <v>-1.7289409232946907E-2</v>
      </c>
      <c r="S187" s="63">
        <f>((N187-G187)/G187)</f>
        <v>-7.8399886650767463E-3</v>
      </c>
      <c r="T187" s="63">
        <f>((O187-H187)/H187)</f>
        <v>0</v>
      </c>
      <c r="U187" s="63">
        <f>P187-I187</f>
        <v>-6.3E-3</v>
      </c>
      <c r="V187" s="64">
        <f>Q187-J187</f>
        <v>-8.6999999999999994E-3</v>
      </c>
    </row>
    <row r="188" spans="1:24" ht="6" customHeight="1">
      <c r="A188" s="42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</row>
    <row r="189" spans="1:24" ht="15" customHeight="1">
      <c r="A189" s="142" t="s">
        <v>177</v>
      </c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</row>
    <row r="190" spans="1:24">
      <c r="A190" s="150">
        <v>158</v>
      </c>
      <c r="B190" s="134" t="s">
        <v>240</v>
      </c>
      <c r="C190" s="135" t="s">
        <v>241</v>
      </c>
      <c r="D190" s="35">
        <v>361630437.74000001</v>
      </c>
      <c r="E190" s="36">
        <f t="shared" ref="E190:E201" si="78">(D190/$D$205)</f>
        <v>7.0544157778396665E-3</v>
      </c>
      <c r="F190" s="35">
        <v>1054.8800000000001</v>
      </c>
      <c r="G190" s="35">
        <v>1054.8800000000001</v>
      </c>
      <c r="H190" s="38">
        <v>21</v>
      </c>
      <c r="I190" s="56">
        <v>2.3999999999999998E-3</v>
      </c>
      <c r="J190" s="56">
        <v>0.11020000000000001</v>
      </c>
      <c r="K190" s="35">
        <v>362141859.23000002</v>
      </c>
      <c r="L190" s="36">
        <f t="shared" ref="L190:L201" si="79">(K190/$K$205)</f>
        <v>7.0913068862977517E-3</v>
      </c>
      <c r="M190" s="83">
        <v>1057.18</v>
      </c>
      <c r="N190" s="83">
        <v>1057.18</v>
      </c>
      <c r="O190" s="38">
        <v>19</v>
      </c>
      <c r="P190" s="56">
        <v>2.5000000000000001E-3</v>
      </c>
      <c r="Q190" s="56">
        <v>0.11269999999999999</v>
      </c>
      <c r="R190" s="63">
        <f>((K190-D190)/D190)</f>
        <v>1.4142103004274884E-3</v>
      </c>
      <c r="S190" s="63">
        <f>((N190-G190)/G190)</f>
        <v>2.1803427878052048E-3</v>
      </c>
      <c r="T190" s="63">
        <f>((O190-H190)/H190)</f>
        <v>-9.5238095238095233E-2</v>
      </c>
      <c r="U190" s="63">
        <f>P190-I190</f>
        <v>1.0000000000000026E-4</v>
      </c>
      <c r="V190" s="64">
        <f>Q190-J190</f>
        <v>2.4999999999999883E-3</v>
      </c>
      <c r="X190" s="89"/>
    </row>
    <row r="191" spans="1:24">
      <c r="A191" s="150">
        <v>159</v>
      </c>
      <c r="B191" s="134" t="s">
        <v>242</v>
      </c>
      <c r="C191" s="135" t="s">
        <v>69</v>
      </c>
      <c r="D191" s="35">
        <v>129823757.55</v>
      </c>
      <c r="E191" s="36">
        <f t="shared" si="78"/>
        <v>2.5325046456891515E-3</v>
      </c>
      <c r="F191" s="83">
        <v>117.11</v>
      </c>
      <c r="G191" s="83">
        <v>117.11</v>
      </c>
      <c r="H191" s="38">
        <v>75</v>
      </c>
      <c r="I191" s="56">
        <v>2.7000000000000001E-3</v>
      </c>
      <c r="J191" s="56">
        <v>0.14649999999999999</v>
      </c>
      <c r="K191" s="35">
        <v>130246436.25</v>
      </c>
      <c r="L191" s="36">
        <f t="shared" si="79"/>
        <v>2.5504299675801001E-3</v>
      </c>
      <c r="M191" s="83">
        <v>117.41</v>
      </c>
      <c r="N191" s="83">
        <v>117.41</v>
      </c>
      <c r="O191" s="38">
        <v>75</v>
      </c>
      <c r="P191" s="56">
        <v>2.5999999999999999E-3</v>
      </c>
      <c r="Q191" s="56">
        <v>0.14649999999999999</v>
      </c>
      <c r="R191" s="63">
        <f t="shared" ref="R191:R206" si="80">((K191-D191)/D191)</f>
        <v>3.2557885242014625E-3</v>
      </c>
      <c r="S191" s="63">
        <f t="shared" ref="S191:S205" si="81">((N191-G191)/G191)</f>
        <v>2.5616941337204095E-3</v>
      </c>
      <c r="T191" s="63">
        <f t="shared" ref="T191:T205" si="82">((O191-H191)/H191)</f>
        <v>0</v>
      </c>
      <c r="U191" s="63">
        <f t="shared" ref="U191:U205" si="83">P191-I191</f>
        <v>-1.0000000000000026E-4</v>
      </c>
      <c r="V191" s="64">
        <f t="shared" ref="V191:V205" si="84">Q191-J191</f>
        <v>0</v>
      </c>
    </row>
    <row r="192" spans="1:24">
      <c r="A192" s="150">
        <v>160</v>
      </c>
      <c r="B192" s="152" t="s">
        <v>243</v>
      </c>
      <c r="C192" s="135" t="s">
        <v>75</v>
      </c>
      <c r="D192" s="50">
        <v>59021788.140000001</v>
      </c>
      <c r="E192" s="36">
        <f t="shared" si="78"/>
        <v>1.1513528454440492E-3</v>
      </c>
      <c r="F192" s="83">
        <v>105.31</v>
      </c>
      <c r="G192" s="83">
        <v>108.36</v>
      </c>
      <c r="H192" s="38">
        <v>14</v>
      </c>
      <c r="I192" s="56">
        <v>-2.0000000000000001E-4</v>
      </c>
      <c r="J192" s="56">
        <v>0.1082</v>
      </c>
      <c r="K192" s="50">
        <v>58639500.969999999</v>
      </c>
      <c r="L192" s="36">
        <f t="shared" si="79"/>
        <v>1.1482536095710667E-3</v>
      </c>
      <c r="M192" s="83">
        <v>104.64</v>
      </c>
      <c r="N192" s="83">
        <v>107.83</v>
      </c>
      <c r="O192" s="38">
        <v>14</v>
      </c>
      <c r="P192" s="56">
        <v>-6.1999999999999998E-3</v>
      </c>
      <c r="Q192" s="56">
        <v>0.10199999999999999</v>
      </c>
      <c r="R192" s="63">
        <f t="shared" si="80"/>
        <v>-6.4770516456264344E-3</v>
      </c>
      <c r="S192" s="63">
        <f t="shared" si="81"/>
        <v>-4.8911037283130409E-3</v>
      </c>
      <c r="T192" s="63">
        <f t="shared" si="82"/>
        <v>0</v>
      </c>
      <c r="U192" s="63">
        <f t="shared" si="83"/>
        <v>-6.0000000000000001E-3</v>
      </c>
      <c r="V192" s="64">
        <f t="shared" si="84"/>
        <v>-6.2000000000000111E-3</v>
      </c>
    </row>
    <row r="193" spans="1:22">
      <c r="A193" s="150">
        <v>161</v>
      </c>
      <c r="B193" s="134" t="s">
        <v>244</v>
      </c>
      <c r="C193" s="135" t="s">
        <v>78</v>
      </c>
      <c r="D193" s="50">
        <v>124062638.68000001</v>
      </c>
      <c r="E193" s="36">
        <v>0</v>
      </c>
      <c r="F193" s="83">
        <v>1.0184</v>
      </c>
      <c r="G193" s="83">
        <v>1.0184</v>
      </c>
      <c r="H193" s="38">
        <v>23</v>
      </c>
      <c r="I193" s="56">
        <v>1.5740000000000001E-3</v>
      </c>
      <c r="J193" s="56">
        <v>8.1939999999999999E-2</v>
      </c>
      <c r="K193" s="50">
        <v>124539379.05</v>
      </c>
      <c r="L193" s="36">
        <f t="shared" si="79"/>
        <v>2.438676816179969E-3</v>
      </c>
      <c r="M193" s="83">
        <v>1.0203</v>
      </c>
      <c r="N193" s="83">
        <v>1.0203</v>
      </c>
      <c r="O193" s="38">
        <v>23</v>
      </c>
      <c r="P193" s="56">
        <v>1.472E-3</v>
      </c>
      <c r="Q193" s="56">
        <v>8.4385000000000002E-2</v>
      </c>
      <c r="R193" s="63">
        <f t="shared" ref="R193:R194" si="85">((K193-D193)/D193)</f>
        <v>3.842739241018937E-3</v>
      </c>
      <c r="S193" s="63">
        <f t="shared" ref="S193:S194" si="86">((N193-G193)/G193)</f>
        <v>1.8656716417910573E-3</v>
      </c>
      <c r="T193" s="63">
        <f t="shared" ref="T193" si="87">((O193-H193)/H193)</f>
        <v>0</v>
      </c>
      <c r="U193" s="63">
        <f t="shared" ref="U193" si="88">P193-I193</f>
        <v>-1.0200000000000009E-4</v>
      </c>
      <c r="V193" s="64">
        <f t="shared" ref="V193" si="89">Q193-J193</f>
        <v>2.4450000000000027E-3</v>
      </c>
    </row>
    <row r="194" spans="1:22">
      <c r="A194" s="150">
        <v>162</v>
      </c>
      <c r="B194" s="134" t="s">
        <v>245</v>
      </c>
      <c r="C194" s="135" t="s">
        <v>33</v>
      </c>
      <c r="D194" s="35">
        <v>8392239047.5299997</v>
      </c>
      <c r="E194" s="36">
        <f t="shared" si="78"/>
        <v>0.16370951493541658</v>
      </c>
      <c r="F194" s="83">
        <v>149.88999999999999</v>
      </c>
      <c r="G194" s="83">
        <v>149.88999999999999</v>
      </c>
      <c r="H194" s="38">
        <v>689</v>
      </c>
      <c r="I194" s="56">
        <v>2.8E-3</v>
      </c>
      <c r="J194" s="56">
        <v>0.121</v>
      </c>
      <c r="K194" s="35">
        <v>8203045993.9099998</v>
      </c>
      <c r="L194" s="36">
        <f t="shared" si="79"/>
        <v>0.1606285356487514</v>
      </c>
      <c r="M194" s="83">
        <v>139.63</v>
      </c>
      <c r="N194" s="83">
        <v>139.63</v>
      </c>
      <c r="O194" s="38">
        <v>689</v>
      </c>
      <c r="P194" s="56">
        <v>-6.8500000000000005E-2</v>
      </c>
      <c r="Q194" s="56">
        <v>0.15090000000000001</v>
      </c>
      <c r="R194" s="63">
        <f t="shared" si="85"/>
        <v>-2.2543811317634371E-2</v>
      </c>
      <c r="S194" s="63">
        <f t="shared" si="86"/>
        <v>-6.8450196810994679E-2</v>
      </c>
      <c r="T194" s="63">
        <f t="shared" si="82"/>
        <v>0</v>
      </c>
      <c r="U194" s="63">
        <f t="shared" si="83"/>
        <v>-7.1300000000000002E-2</v>
      </c>
      <c r="V194" s="64">
        <f t="shared" si="84"/>
        <v>2.990000000000001E-2</v>
      </c>
    </row>
    <row r="195" spans="1:22">
      <c r="A195" s="150">
        <v>163</v>
      </c>
      <c r="B195" s="134" t="s">
        <v>246</v>
      </c>
      <c r="C195" s="135" t="s">
        <v>67</v>
      </c>
      <c r="D195" s="35">
        <v>454880997.40005898</v>
      </c>
      <c r="E195" s="36">
        <f t="shared" si="78"/>
        <v>8.8734778663889027E-3</v>
      </c>
      <c r="F195" s="41">
        <v>1146.21270710921</v>
      </c>
      <c r="G195" s="41">
        <v>1146.21270710921</v>
      </c>
      <c r="H195" s="38">
        <v>94</v>
      </c>
      <c r="I195" s="56">
        <v>0.159749219519635</v>
      </c>
      <c r="J195" s="56">
        <v>0.14236643240994201</v>
      </c>
      <c r="K195" s="35">
        <v>456161937.43222803</v>
      </c>
      <c r="L195" s="36">
        <f t="shared" si="79"/>
        <v>8.93236781591061E-3</v>
      </c>
      <c r="M195" s="41">
        <v>1149.59377307876</v>
      </c>
      <c r="N195" s="41">
        <v>1149.59377307876</v>
      </c>
      <c r="O195" s="38">
        <v>93</v>
      </c>
      <c r="P195" s="56">
        <v>0.154230927792533</v>
      </c>
      <c r="Q195" s="56">
        <v>0.14305431343951699</v>
      </c>
      <c r="R195" s="63">
        <f t="shared" si="80"/>
        <v>2.8159893235603383E-3</v>
      </c>
      <c r="S195" s="63">
        <f t="shared" si="81"/>
        <v>2.9497718430265942E-3</v>
      </c>
      <c r="T195" s="63">
        <f t="shared" si="82"/>
        <v>-1.0638297872340425E-2</v>
      </c>
      <c r="U195" s="63">
        <f t="shared" si="83"/>
        <v>-5.5182917271019982E-3</v>
      </c>
      <c r="V195" s="64">
        <f t="shared" si="84"/>
        <v>6.8788102957498265E-4</v>
      </c>
    </row>
    <row r="196" spans="1:22">
      <c r="A196" s="150">
        <v>164</v>
      </c>
      <c r="B196" s="134" t="s">
        <v>247</v>
      </c>
      <c r="C196" s="135" t="s">
        <v>238</v>
      </c>
      <c r="D196" s="35">
        <v>24041833330.709999</v>
      </c>
      <c r="E196" s="36">
        <f t="shared" si="78"/>
        <v>0.46899008124501296</v>
      </c>
      <c r="F196" s="41">
        <v>1222.1099999999999</v>
      </c>
      <c r="G196" s="41">
        <v>1222.1099999999999</v>
      </c>
      <c r="H196" s="38">
        <v>7759</v>
      </c>
      <c r="I196" s="56">
        <v>4.3E-3</v>
      </c>
      <c r="J196" s="56">
        <v>4.3E-3</v>
      </c>
      <c r="K196" s="35">
        <v>24033750277.970001</v>
      </c>
      <c r="L196" s="36">
        <f t="shared" si="79"/>
        <v>0.47061861120419907</v>
      </c>
      <c r="M196" s="41">
        <v>1226.1600000000001</v>
      </c>
      <c r="N196" s="41">
        <v>1226.1600000000001</v>
      </c>
      <c r="O196" s="38">
        <v>7765</v>
      </c>
      <c r="P196" s="56">
        <v>3.3E-3</v>
      </c>
      <c r="Q196" s="56">
        <v>0.11890000000000001</v>
      </c>
      <c r="R196" s="63">
        <f t="shared" si="80"/>
        <v>-3.3620783526824144E-4</v>
      </c>
      <c r="S196" s="63">
        <f t="shared" si="81"/>
        <v>3.3139406436410654E-3</v>
      </c>
      <c r="T196" s="63">
        <f t="shared" si="82"/>
        <v>7.7329552777419773E-4</v>
      </c>
      <c r="U196" s="63">
        <f t="shared" si="83"/>
        <v>-1E-3</v>
      </c>
      <c r="V196" s="64">
        <f t="shared" si="84"/>
        <v>0.11460000000000001</v>
      </c>
    </row>
    <row r="197" spans="1:22">
      <c r="A197" s="150">
        <v>165</v>
      </c>
      <c r="B197" s="134" t="s">
        <v>248</v>
      </c>
      <c r="C197" s="135" t="s">
        <v>249</v>
      </c>
      <c r="D197" s="35">
        <v>379439607.54000002</v>
      </c>
      <c r="E197" s="36">
        <f t="shared" si="78"/>
        <v>7.4018237261652764E-3</v>
      </c>
      <c r="F197" s="85">
        <v>123.77</v>
      </c>
      <c r="G197" s="85">
        <v>124.05</v>
      </c>
      <c r="H197" s="52">
        <v>166</v>
      </c>
      <c r="I197" s="56">
        <v>6.9999999999999999E-4</v>
      </c>
      <c r="J197" s="56">
        <v>0.2462</v>
      </c>
      <c r="K197" s="35">
        <v>382001229.06</v>
      </c>
      <c r="L197" s="36">
        <f t="shared" si="79"/>
        <v>7.4801845662556786E-3</v>
      </c>
      <c r="M197" s="85">
        <v>124.6</v>
      </c>
      <c r="N197" s="85">
        <v>124.89</v>
      </c>
      <c r="O197" s="52">
        <v>166</v>
      </c>
      <c r="P197" s="56">
        <v>6.7999999999999996E-3</v>
      </c>
      <c r="Q197" s="56">
        <v>0.25459999999999999</v>
      </c>
      <c r="R197" s="63">
        <f t="shared" si="80"/>
        <v>6.7510651737376628E-3</v>
      </c>
      <c r="S197" s="63">
        <f t="shared" si="81"/>
        <v>6.7714631197098221E-3</v>
      </c>
      <c r="T197" s="63">
        <f t="shared" si="82"/>
        <v>0</v>
      </c>
      <c r="U197" s="63">
        <f t="shared" si="83"/>
        <v>6.0999999999999995E-3</v>
      </c>
      <c r="V197" s="64">
        <f t="shared" si="84"/>
        <v>8.3999999999999908E-3</v>
      </c>
    </row>
    <row r="198" spans="1:22">
      <c r="A198" s="150">
        <v>166</v>
      </c>
      <c r="B198" s="134" t="s">
        <v>250</v>
      </c>
      <c r="C198" s="135" t="s">
        <v>249</v>
      </c>
      <c r="D198" s="35">
        <v>104482767.81999999</v>
      </c>
      <c r="E198" s="36">
        <f t="shared" si="78"/>
        <v>2.0381715942607991E-3</v>
      </c>
      <c r="F198" s="85">
        <v>108.67</v>
      </c>
      <c r="G198" s="85">
        <v>108.67</v>
      </c>
      <c r="H198" s="52">
        <v>72</v>
      </c>
      <c r="I198" s="56">
        <v>4.3E-3</v>
      </c>
      <c r="J198" s="56">
        <v>8.5099999999999995E-2</v>
      </c>
      <c r="K198" s="35">
        <v>104984515.22</v>
      </c>
      <c r="L198" s="36">
        <f t="shared" si="79"/>
        <v>2.0557618423817496E-3</v>
      </c>
      <c r="M198" s="85">
        <v>109.13</v>
      </c>
      <c r="N198" s="85">
        <v>109.13</v>
      </c>
      <c r="O198" s="52">
        <v>73</v>
      </c>
      <c r="P198" s="56">
        <v>4.3E-3</v>
      </c>
      <c r="Q198" s="56">
        <v>8.9700000000000002E-2</v>
      </c>
      <c r="R198" s="63">
        <f t="shared" si="80"/>
        <v>4.8022024154681896E-3</v>
      </c>
      <c r="S198" s="63">
        <f t="shared" si="81"/>
        <v>4.2329989877610543E-3</v>
      </c>
      <c r="T198" s="63">
        <f t="shared" si="82"/>
        <v>1.3888888888888888E-2</v>
      </c>
      <c r="U198" s="63">
        <f t="shared" si="83"/>
        <v>0</v>
      </c>
      <c r="V198" s="64">
        <f t="shared" si="84"/>
        <v>4.6000000000000069E-3</v>
      </c>
    </row>
    <row r="199" spans="1:22" ht="13.5" customHeight="1">
      <c r="A199" s="150">
        <v>167</v>
      </c>
      <c r="B199" s="134" t="s">
        <v>251</v>
      </c>
      <c r="C199" s="135" t="s">
        <v>92</v>
      </c>
      <c r="D199" s="35">
        <v>1064436274.7</v>
      </c>
      <c r="E199" s="36">
        <f t="shared" si="78"/>
        <v>2.0764225759523195E-2</v>
      </c>
      <c r="F199" s="66">
        <v>103.19</v>
      </c>
      <c r="G199" s="66">
        <v>103.19</v>
      </c>
      <c r="H199" s="38">
        <v>579</v>
      </c>
      <c r="I199" s="56">
        <v>2.3E-3</v>
      </c>
      <c r="J199" s="56">
        <v>9.5399999999999999E-2</v>
      </c>
      <c r="K199" s="35">
        <v>1029842036.36</v>
      </c>
      <c r="L199" s="36">
        <f t="shared" si="79"/>
        <v>2.0165925971016799E-2</v>
      </c>
      <c r="M199" s="66">
        <v>103.48</v>
      </c>
      <c r="N199" s="66">
        <v>103.48</v>
      </c>
      <c r="O199" s="38">
        <v>581</v>
      </c>
      <c r="P199" s="56">
        <v>2.8E-3</v>
      </c>
      <c r="Q199" s="56">
        <v>9.8299999999999998E-2</v>
      </c>
      <c r="R199" s="63">
        <f t="shared" si="80"/>
        <v>-3.2500055815694602E-2</v>
      </c>
      <c r="S199" s="63">
        <f t="shared" si="81"/>
        <v>2.8103498401008454E-3</v>
      </c>
      <c r="T199" s="63">
        <f t="shared" si="82"/>
        <v>3.4542314335060447E-3</v>
      </c>
      <c r="U199" s="63">
        <f t="shared" si="83"/>
        <v>5.0000000000000001E-4</v>
      </c>
      <c r="V199" s="64">
        <f t="shared" si="84"/>
        <v>2.8999999999999998E-3</v>
      </c>
    </row>
    <row r="200" spans="1:22" ht="15.75" customHeight="1">
      <c r="A200" s="150">
        <v>168</v>
      </c>
      <c r="B200" s="134" t="s">
        <v>252</v>
      </c>
      <c r="C200" s="135" t="s">
        <v>51</v>
      </c>
      <c r="D200" s="35">
        <v>7014703637.8999996</v>
      </c>
      <c r="E200" s="36">
        <f t="shared" si="78"/>
        <v>0.13683758571132454</v>
      </c>
      <c r="F200" s="66">
        <v>133.21</v>
      </c>
      <c r="G200" s="66">
        <v>133.21</v>
      </c>
      <c r="H200" s="38">
        <v>1244</v>
      </c>
      <c r="I200" s="56">
        <v>1.1000000000000001E-3</v>
      </c>
      <c r="J200" s="56">
        <v>3.8399999999999997E-2</v>
      </c>
      <c r="K200" s="35">
        <v>7028941924.8900003</v>
      </c>
      <c r="L200" s="36">
        <f t="shared" si="79"/>
        <v>0.13763773230010054</v>
      </c>
      <c r="M200" s="66">
        <v>133.25</v>
      </c>
      <c r="N200" s="66">
        <v>133.25</v>
      </c>
      <c r="O200" s="38">
        <v>1249</v>
      </c>
      <c r="P200" s="56">
        <v>2.9999999999999997E-4</v>
      </c>
      <c r="Q200" s="56">
        <v>3.8699999999999998E-2</v>
      </c>
      <c r="R200" s="63">
        <f t="shared" si="80"/>
        <v>2.0297774111328326E-3</v>
      </c>
      <c r="S200" s="63">
        <f t="shared" si="81"/>
        <v>3.00277756925096E-4</v>
      </c>
      <c r="T200" s="63">
        <f t="shared" si="82"/>
        <v>4.0192926045016075E-3</v>
      </c>
      <c r="U200" s="63">
        <f t="shared" si="83"/>
        <v>-8.0000000000000015E-4</v>
      </c>
      <c r="V200" s="64">
        <f t="shared" si="84"/>
        <v>3.0000000000000165E-4</v>
      </c>
    </row>
    <row r="201" spans="1:22">
      <c r="A201" s="150">
        <v>169</v>
      </c>
      <c r="B201" s="134" t="s">
        <v>253</v>
      </c>
      <c r="C201" s="135" t="s">
        <v>54</v>
      </c>
      <c r="D201" s="35">
        <v>3801755177.98</v>
      </c>
      <c r="E201" s="36">
        <f t="shared" si="78"/>
        <v>7.4161793124028527E-2</v>
      </c>
      <c r="F201" s="66">
        <v>1.1906000000000001</v>
      </c>
      <c r="G201" s="66">
        <v>1.1906000000000001</v>
      </c>
      <c r="H201" s="38">
        <v>1123</v>
      </c>
      <c r="I201" s="56">
        <v>9.64E-2</v>
      </c>
      <c r="J201" s="56">
        <v>9.6699999999999994E-2</v>
      </c>
      <c r="K201" s="35">
        <v>3808029870.8600001</v>
      </c>
      <c r="L201" s="36">
        <f t="shared" si="79"/>
        <v>7.456721104783029E-2</v>
      </c>
      <c r="M201" s="66">
        <v>1.1927000000000001</v>
      </c>
      <c r="N201" s="66">
        <v>1.1927000000000001</v>
      </c>
      <c r="O201" s="38">
        <v>1139</v>
      </c>
      <c r="P201" s="56">
        <v>9.6199999999999994E-2</v>
      </c>
      <c r="Q201" s="56">
        <v>9.6500000000000002E-2</v>
      </c>
      <c r="R201" s="63">
        <f t="shared" si="80"/>
        <v>1.6504726333624853E-3</v>
      </c>
      <c r="S201" s="63">
        <f t="shared" si="81"/>
        <v>1.763816563077432E-3</v>
      </c>
      <c r="T201" s="63">
        <f t="shared" si="82"/>
        <v>1.4247551202137132E-2</v>
      </c>
      <c r="U201" s="63">
        <f t="shared" si="83"/>
        <v>-2.0000000000000573E-4</v>
      </c>
      <c r="V201" s="64">
        <f t="shared" si="84"/>
        <v>-1.9999999999999185E-4</v>
      </c>
    </row>
    <row r="202" spans="1:22" ht="6" customHeight="1">
      <c r="A202" s="42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</row>
    <row r="203" spans="1:22">
      <c r="A203" s="142" t="s">
        <v>254</v>
      </c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</row>
    <row r="204" spans="1:22">
      <c r="A204" s="153">
        <v>170</v>
      </c>
      <c r="B204" s="134" t="s">
        <v>255</v>
      </c>
      <c r="C204" s="135" t="s">
        <v>238</v>
      </c>
      <c r="D204" s="35">
        <v>210622171.88</v>
      </c>
      <c r="E204" s="36">
        <f t="shared" ref="E204" si="90">(D204/$D$205)</f>
        <v>4.1086596077440293E-3</v>
      </c>
      <c r="F204" s="41">
        <v>1131.79</v>
      </c>
      <c r="G204" s="41">
        <v>1131.79</v>
      </c>
      <c r="H204" s="38">
        <v>66</v>
      </c>
      <c r="I204" s="56">
        <v>6.9999999999999999E-4</v>
      </c>
      <c r="J204" s="56">
        <v>0.1318</v>
      </c>
      <c r="K204" s="35">
        <v>212284070.08000001</v>
      </c>
      <c r="L204" s="36">
        <f t="shared" ref="L204" si="91">(K204/$K$205)</f>
        <v>4.1568558001287047E-3</v>
      </c>
      <c r="M204" s="41">
        <v>1140.73</v>
      </c>
      <c r="N204" s="41">
        <v>1140.73</v>
      </c>
      <c r="O204" s="38">
        <v>66</v>
      </c>
      <c r="P204" s="56">
        <v>7.9000000000000008E-3</v>
      </c>
      <c r="Q204" s="56">
        <v>0.14069999999999999</v>
      </c>
      <c r="R204" s="63">
        <f t="shared" ref="R204" si="92">((K204-D204)/D204)</f>
        <v>7.8904238103995467E-3</v>
      </c>
      <c r="S204" s="63">
        <f t="shared" ref="S204" si="93">((N204-G204)/G204)</f>
        <v>7.898991862448029E-3</v>
      </c>
      <c r="T204" s="63">
        <f t="shared" ref="T204" si="94">((O204-H204)/H204)</f>
        <v>0</v>
      </c>
      <c r="U204" s="63">
        <f t="shared" ref="U204" si="95">P204-I204</f>
        <v>7.2000000000000007E-3</v>
      </c>
      <c r="V204" s="64">
        <f t="shared" ref="V204" si="96">Q204-J204</f>
        <v>8.8999999999999913E-3</v>
      </c>
    </row>
    <row r="205" spans="1:22">
      <c r="A205" s="42"/>
      <c r="B205" s="43"/>
      <c r="C205" s="77" t="s">
        <v>55</v>
      </c>
      <c r="D205" s="54">
        <f>SUM(D186:D204)</f>
        <v>51262988903.490059</v>
      </c>
      <c r="E205" s="46">
        <f>(D205/$D$206)</f>
        <v>1.4045208538506257E-2</v>
      </c>
      <c r="F205" s="47"/>
      <c r="G205" s="80"/>
      <c r="H205" s="90">
        <f>SUM(H186:H204)</f>
        <v>27755</v>
      </c>
      <c r="I205" s="87"/>
      <c r="J205" s="87"/>
      <c r="K205" s="54">
        <f>SUM(K186:K204)</f>
        <v>51068422934.812233</v>
      </c>
      <c r="L205" s="46">
        <f>(K205/$K$206)</f>
        <v>1.3873168063509123E-2</v>
      </c>
      <c r="M205" s="47"/>
      <c r="N205" s="80"/>
      <c r="O205" s="90">
        <f>SUM(O186:O204)</f>
        <v>27782</v>
      </c>
      <c r="P205" s="87"/>
      <c r="Q205" s="87"/>
      <c r="R205" s="63">
        <f t="shared" si="80"/>
        <v>-3.7954472191257579E-3</v>
      </c>
      <c r="S205" s="63" t="e">
        <f t="shared" si="81"/>
        <v>#DIV/0!</v>
      </c>
      <c r="T205" s="63">
        <f t="shared" si="82"/>
        <v>9.7279769410916952E-4</v>
      </c>
      <c r="U205" s="63">
        <f t="shared" si="83"/>
        <v>0</v>
      </c>
      <c r="V205" s="64">
        <f t="shared" si="84"/>
        <v>0</v>
      </c>
    </row>
    <row r="206" spans="1:22">
      <c r="A206" s="91"/>
      <c r="B206" s="91"/>
      <c r="C206" s="92" t="s">
        <v>256</v>
      </c>
      <c r="D206" s="93">
        <f>SUM(D24,D63,D102,D136,D144,D176,D182,D205)</f>
        <v>3649856017655.2568</v>
      </c>
      <c r="E206" s="94"/>
      <c r="F206" s="94"/>
      <c r="G206" s="95"/>
      <c r="H206" s="93">
        <f>SUM(H24,H63,H102,H136,H144,H176,H182,H205)</f>
        <v>781801</v>
      </c>
      <c r="I206" s="120"/>
      <c r="J206" s="120"/>
      <c r="K206" s="93">
        <f>SUM(K24,K63,K102,K136,K144,K176,K182,K205)</f>
        <v>3681093078453.9795</v>
      </c>
      <c r="L206" s="94"/>
      <c r="M206" s="94"/>
      <c r="N206" s="95"/>
      <c r="O206" s="93">
        <f>SUM(O24,O63,O102,O136,O144,O176,O182,O205)</f>
        <v>783628</v>
      </c>
      <c r="P206" s="121"/>
      <c r="Q206" s="93"/>
      <c r="R206" s="127">
        <f t="shared" si="80"/>
        <v>8.5584364554714652E-3</v>
      </c>
      <c r="S206" s="127"/>
      <c r="T206" s="127"/>
      <c r="U206" s="127"/>
      <c r="V206" s="127"/>
    </row>
    <row r="207" spans="1:22" ht="6.75" customHeight="1">
      <c r="A207" s="42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43"/>
    </row>
    <row r="208" spans="1:22" ht="15.6">
      <c r="A208" s="139" t="s">
        <v>257</v>
      </c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</row>
    <row r="209" spans="1:22">
      <c r="A209" s="150">
        <v>1</v>
      </c>
      <c r="B209" s="134" t="s">
        <v>258</v>
      </c>
      <c r="C209" s="135" t="s">
        <v>259</v>
      </c>
      <c r="D209" s="35">
        <v>103175705234</v>
      </c>
      <c r="E209" s="36">
        <f>(D209/$D$211)</f>
        <v>0.88062702202481524</v>
      </c>
      <c r="F209" s="66">
        <v>107.39</v>
      </c>
      <c r="G209" s="66">
        <v>107.39</v>
      </c>
      <c r="H209" s="38">
        <v>0</v>
      </c>
      <c r="I209" s="56">
        <v>0</v>
      </c>
      <c r="J209" s="56">
        <v>0.13800000000000001</v>
      </c>
      <c r="K209" s="35">
        <v>103175705234</v>
      </c>
      <c r="L209" s="36">
        <f>(K209/$K$211)</f>
        <v>0.88041686156640986</v>
      </c>
      <c r="M209" s="66">
        <v>107.39</v>
      </c>
      <c r="N209" s="66">
        <v>107.39</v>
      </c>
      <c r="O209" s="38">
        <v>0</v>
      </c>
      <c r="P209" s="56">
        <v>0</v>
      </c>
      <c r="Q209" s="56">
        <v>0.13800000000000001</v>
      </c>
      <c r="R209" s="63">
        <f>((K209-D209)/D209)</f>
        <v>0</v>
      </c>
      <c r="S209" s="63">
        <f>((N209-G209)/G209)</f>
        <v>0</v>
      </c>
      <c r="T209" s="63" t="e">
        <f>((O209-H209)/H209)</f>
        <v>#DIV/0!</v>
      </c>
      <c r="U209" s="63">
        <f>P209-I209</f>
        <v>0</v>
      </c>
      <c r="V209" s="64">
        <f>Q209-J209</f>
        <v>0</v>
      </c>
    </row>
    <row r="210" spans="1:22">
      <c r="A210" s="150">
        <v>2</v>
      </c>
      <c r="B210" s="134" t="s">
        <v>260</v>
      </c>
      <c r="C210" s="135" t="s">
        <v>54</v>
      </c>
      <c r="D210" s="35">
        <v>13985933749.969999</v>
      </c>
      <c r="E210" s="36">
        <f>(D210/$D$211)</f>
        <v>0.11937297797518476</v>
      </c>
      <c r="F210" s="96">
        <v>1000000</v>
      </c>
      <c r="G210" s="96">
        <v>1000000</v>
      </c>
      <c r="H210" s="38">
        <v>26</v>
      </c>
      <c r="I210" s="56">
        <v>0.19270000000000001</v>
      </c>
      <c r="J210" s="56">
        <v>0.19270000000000001</v>
      </c>
      <c r="K210" s="35">
        <v>14013900892.389999</v>
      </c>
      <c r="L210" s="36">
        <f>(K210/$K$211)</f>
        <v>0.11958313843359014</v>
      </c>
      <c r="M210" s="96">
        <v>1000000</v>
      </c>
      <c r="N210" s="96">
        <v>1000000</v>
      </c>
      <c r="O210" s="38">
        <v>26</v>
      </c>
      <c r="P210" s="56">
        <v>0.1822</v>
      </c>
      <c r="Q210" s="56">
        <v>0.1822</v>
      </c>
      <c r="R210" s="63">
        <f>((K210-D210)/D210)</f>
        <v>1.9996621548461196E-3</v>
      </c>
      <c r="S210" s="63">
        <f>((N210-G210)/G210)</f>
        <v>0</v>
      </c>
      <c r="T210" s="63">
        <f>((O210-H210)/H210)</f>
        <v>0</v>
      </c>
      <c r="U210" s="63">
        <f>P210-I210</f>
        <v>-1.0500000000000009E-2</v>
      </c>
      <c r="V210" s="64">
        <f>Q210-J210</f>
        <v>-1.0500000000000009E-2</v>
      </c>
    </row>
    <row r="211" spans="1:22">
      <c r="A211" s="91"/>
      <c r="B211" s="91"/>
      <c r="C211" s="92" t="s">
        <v>261</v>
      </c>
      <c r="D211" s="97">
        <f>SUM(D209:D210)</f>
        <v>117161638983.97</v>
      </c>
      <c r="E211" s="98"/>
      <c r="F211" s="99"/>
      <c r="G211" s="99"/>
      <c r="H211" s="97">
        <f>SUM(H209:H210)</f>
        <v>26</v>
      </c>
      <c r="I211" s="122"/>
      <c r="J211" s="122"/>
      <c r="K211" s="97">
        <f>SUM(K209:K210)</f>
        <v>117189606126.39</v>
      </c>
      <c r="L211" s="98"/>
      <c r="M211" s="99"/>
      <c r="N211" s="99"/>
      <c r="O211" s="122"/>
      <c r="P211" s="122"/>
      <c r="Q211" s="97"/>
      <c r="R211" s="127">
        <f>((K211-D211)/D211)</f>
        <v>2.3870562636824004E-4</v>
      </c>
      <c r="S211" s="128"/>
      <c r="T211" s="128"/>
      <c r="U211" s="127"/>
      <c r="V211" s="129"/>
    </row>
    <row r="212" spans="1:22" ht="4.5" customHeight="1">
      <c r="A212" s="42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</row>
    <row r="213" spans="1:22" ht="15.6">
      <c r="A213" s="139" t="s">
        <v>262</v>
      </c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</row>
    <row r="214" spans="1:22">
      <c r="A214" s="150">
        <v>1</v>
      </c>
      <c r="B214" s="134" t="s">
        <v>263</v>
      </c>
      <c r="C214" s="135" t="s">
        <v>85</v>
      </c>
      <c r="D214" s="100">
        <v>951783993.63</v>
      </c>
      <c r="E214" s="101">
        <f t="shared" ref="E214:E225" si="97">(D214/$D$226)</f>
        <v>7.4421178359610429E-2</v>
      </c>
      <c r="F214" s="96">
        <v>218.79236084537999</v>
      </c>
      <c r="G214" s="96">
        <v>224.29</v>
      </c>
      <c r="H214" s="102">
        <v>61</v>
      </c>
      <c r="I214" s="58">
        <v>3.76575581270799E-4</v>
      </c>
      <c r="J214" s="58">
        <v>0.24929999999999999</v>
      </c>
      <c r="K214" s="100">
        <v>981162722.53873599</v>
      </c>
      <c r="L214" s="101">
        <f t="shared" ref="L214:L225" si="98">(K214/$K$226)</f>
        <v>7.8423460449948482E-2</v>
      </c>
      <c r="M214" s="96">
        <v>231.22</v>
      </c>
      <c r="N214" s="96">
        <v>236.82</v>
      </c>
      <c r="O214" s="102">
        <v>61</v>
      </c>
      <c r="P214" s="58">
        <v>5.6801065204478599E-2</v>
      </c>
      <c r="Q214" s="58">
        <v>0.32090000000000002</v>
      </c>
      <c r="R214" s="63">
        <f>((K214-D214)/D214)</f>
        <v>3.0867013004377952E-2</v>
      </c>
      <c r="S214" s="63">
        <f>((N214-G214)/G214)</f>
        <v>5.5865174550804766E-2</v>
      </c>
      <c r="T214" s="63">
        <f>((O214-H214)/H214)</f>
        <v>0</v>
      </c>
      <c r="U214" s="63">
        <f>P214-I214</f>
        <v>5.6424489623207799E-2</v>
      </c>
      <c r="V214" s="64">
        <f>Q214-J214</f>
        <v>7.1600000000000025E-2</v>
      </c>
    </row>
    <row r="215" spans="1:22">
      <c r="A215" s="150">
        <v>2</v>
      </c>
      <c r="B215" s="134" t="s">
        <v>264</v>
      </c>
      <c r="C215" s="135" t="s">
        <v>238</v>
      </c>
      <c r="D215" s="100">
        <v>965316638.54999995</v>
      </c>
      <c r="E215" s="101">
        <f t="shared" si="97"/>
        <v>7.5479312755659222E-2</v>
      </c>
      <c r="F215" s="96">
        <v>27.46</v>
      </c>
      <c r="G215" s="96">
        <v>30.35</v>
      </c>
      <c r="H215" s="102">
        <v>212</v>
      </c>
      <c r="I215" s="58">
        <v>-1.8E-3</v>
      </c>
      <c r="J215" s="58">
        <v>0.28089999999999998</v>
      </c>
      <c r="K215" s="100">
        <v>955794858.75</v>
      </c>
      <c r="L215" s="101">
        <f t="shared" si="98"/>
        <v>7.6395829745239272E-2</v>
      </c>
      <c r="M215" s="96">
        <v>27.19</v>
      </c>
      <c r="N215" s="96">
        <v>30.05</v>
      </c>
      <c r="O215" s="102">
        <v>212</v>
      </c>
      <c r="P215" s="58">
        <v>-9.9000000000000008E-3</v>
      </c>
      <c r="Q215" s="58">
        <v>0.26829999999999998</v>
      </c>
      <c r="R215" s="63">
        <f t="shared" ref="R215:R226" si="99">((K215-D215)/D215)</f>
        <v>-9.863892757823586E-3</v>
      </c>
      <c r="S215" s="63">
        <f t="shared" ref="S215:S226" si="100">((N215-G215)/G215)</f>
        <v>-9.8846787479407155E-3</v>
      </c>
      <c r="T215" s="63">
        <f t="shared" ref="T215:T226" si="101">((O215-H215)/H215)</f>
        <v>0</v>
      </c>
      <c r="U215" s="63">
        <f t="shared" ref="U215:U226" si="102">P215-I215</f>
        <v>-8.1000000000000013E-3</v>
      </c>
      <c r="V215" s="64">
        <f t="shared" ref="V215:V226" si="103">Q215-J215</f>
        <v>-1.26E-2</v>
      </c>
    </row>
    <row r="216" spans="1:22">
      <c r="A216" s="150">
        <v>3</v>
      </c>
      <c r="B216" s="134" t="s">
        <v>265</v>
      </c>
      <c r="C216" s="135" t="s">
        <v>45</v>
      </c>
      <c r="D216" s="100">
        <v>294794655</v>
      </c>
      <c r="E216" s="101">
        <f t="shared" si="97"/>
        <v>2.3050362000249666E-2</v>
      </c>
      <c r="F216" s="96">
        <v>21.99</v>
      </c>
      <c r="G216" s="96">
        <v>22.22</v>
      </c>
      <c r="H216" s="102">
        <v>167</v>
      </c>
      <c r="I216" s="58">
        <v>-2.5600000000000001E-2</v>
      </c>
      <c r="J216" s="58">
        <v>-4.4499999999999998E-2</v>
      </c>
      <c r="K216" s="100">
        <v>318348926.35999995</v>
      </c>
      <c r="L216" s="101">
        <f t="shared" si="98"/>
        <v>2.5445345468362274E-2</v>
      </c>
      <c r="M216" s="96">
        <v>23.752272999999999</v>
      </c>
      <c r="N216" s="96">
        <v>23.985135</v>
      </c>
      <c r="O216" s="102">
        <v>167</v>
      </c>
      <c r="P216" s="58">
        <v>7.9900605253510948E-2</v>
      </c>
      <c r="Q216" s="58">
        <v>3.0343752985231509E-2</v>
      </c>
      <c r="R216" s="63">
        <f t="shared" si="99"/>
        <v>7.9900605253510976E-2</v>
      </c>
      <c r="S216" s="63">
        <f t="shared" si="100"/>
        <v>7.9439018901890229E-2</v>
      </c>
      <c r="T216" s="63">
        <f t="shared" si="101"/>
        <v>0</v>
      </c>
      <c r="U216" s="63">
        <f t="shared" si="102"/>
        <v>0.10550060525351095</v>
      </c>
      <c r="V216" s="64">
        <f t="shared" si="103"/>
        <v>7.4843752985231507E-2</v>
      </c>
    </row>
    <row r="217" spans="1:22">
      <c r="A217" s="150">
        <v>4</v>
      </c>
      <c r="B217" s="134" t="s">
        <v>266</v>
      </c>
      <c r="C217" s="135" t="s">
        <v>45</v>
      </c>
      <c r="D217" s="100">
        <v>739317602.32000005</v>
      </c>
      <c r="E217" s="101">
        <f t="shared" si="97"/>
        <v>5.7808166049118571E-2</v>
      </c>
      <c r="F217" s="96">
        <v>55.48</v>
      </c>
      <c r="G217" s="96">
        <v>55.84</v>
      </c>
      <c r="H217" s="102">
        <v>99</v>
      </c>
      <c r="I217" s="58">
        <v>-1.3899999999999999E-2</v>
      </c>
      <c r="J217" s="58">
        <v>0.5</v>
      </c>
      <c r="K217" s="100">
        <v>771592733.74000001</v>
      </c>
      <c r="L217" s="101">
        <f t="shared" si="98"/>
        <v>6.167271834518516E-2</v>
      </c>
      <c r="M217" s="96">
        <v>57.899211999999999</v>
      </c>
      <c r="N217" s="96">
        <v>58.279659000000002</v>
      </c>
      <c r="O217" s="102">
        <v>99</v>
      </c>
      <c r="P217" s="58">
        <v>4.3655299588052365E-2</v>
      </c>
      <c r="Q217" s="58">
        <v>0.56430756881686928</v>
      </c>
      <c r="R217" s="63">
        <f t="shared" si="99"/>
        <v>4.3655299588052088E-2</v>
      </c>
      <c r="S217" s="63">
        <f t="shared" si="100"/>
        <v>4.3690168338108862E-2</v>
      </c>
      <c r="T217" s="63">
        <f t="shared" si="101"/>
        <v>0</v>
      </c>
      <c r="U217" s="63">
        <f t="shared" si="102"/>
        <v>5.7555299588052361E-2</v>
      </c>
      <c r="V217" s="64">
        <f t="shared" si="103"/>
        <v>6.4307568816869276E-2</v>
      </c>
    </row>
    <row r="218" spans="1:22">
      <c r="A218" s="150">
        <v>5</v>
      </c>
      <c r="B218" s="134" t="s">
        <v>267</v>
      </c>
      <c r="C218" s="135" t="s">
        <v>268</v>
      </c>
      <c r="D218" s="100">
        <v>1393834379.98</v>
      </c>
      <c r="E218" s="101">
        <f t="shared" si="97"/>
        <v>0.10898564978029383</v>
      </c>
      <c r="F218" s="96">
        <v>39000</v>
      </c>
      <c r="G218" s="96">
        <v>45180</v>
      </c>
      <c r="H218" s="102">
        <v>226</v>
      </c>
      <c r="I218" s="58">
        <v>0.04</v>
      </c>
      <c r="J218" s="58">
        <v>1.38</v>
      </c>
      <c r="K218" s="100">
        <v>994672224</v>
      </c>
      <c r="L218" s="101">
        <f t="shared" si="98"/>
        <v>7.9503262840732988E-2</v>
      </c>
      <c r="M218" s="96">
        <v>39200</v>
      </c>
      <c r="N218" s="96">
        <v>45350</v>
      </c>
      <c r="O218" s="102">
        <v>226</v>
      </c>
      <c r="P218" s="58">
        <v>0.01</v>
      </c>
      <c r="Q218" s="58">
        <v>1.4</v>
      </c>
      <c r="R218" s="63">
        <f t="shared" si="99"/>
        <v>-0.28637703425404643</v>
      </c>
      <c r="S218" s="63">
        <f t="shared" si="100"/>
        <v>3.7627268702965914E-3</v>
      </c>
      <c r="T218" s="63">
        <f t="shared" si="101"/>
        <v>0</v>
      </c>
      <c r="U218" s="63">
        <f t="shared" si="102"/>
        <v>-0.03</v>
      </c>
      <c r="V218" s="64">
        <f t="shared" si="103"/>
        <v>2.0000000000000018E-2</v>
      </c>
    </row>
    <row r="219" spans="1:22">
      <c r="A219" s="150">
        <v>6</v>
      </c>
      <c r="B219" s="134" t="s">
        <v>269</v>
      </c>
      <c r="C219" s="135" t="s">
        <v>270</v>
      </c>
      <c r="D219" s="100">
        <v>1106737409.4100001</v>
      </c>
      <c r="E219" s="101">
        <f t="shared" si="97"/>
        <v>8.6537179332912342E-2</v>
      </c>
      <c r="F219" s="96">
        <v>841</v>
      </c>
      <c r="G219" s="96">
        <v>841</v>
      </c>
      <c r="H219" s="102">
        <v>127</v>
      </c>
      <c r="I219" s="58">
        <v>-5.9999999999999995E-4</v>
      </c>
      <c r="J219" s="58">
        <v>0.20180000000000001</v>
      </c>
      <c r="K219" s="100">
        <v>1102873961.76</v>
      </c>
      <c r="L219" s="101">
        <f t="shared" si="98"/>
        <v>8.8151731139529413E-2</v>
      </c>
      <c r="M219" s="96">
        <v>841</v>
      </c>
      <c r="N219" s="96">
        <v>841</v>
      </c>
      <c r="O219" s="102">
        <v>127</v>
      </c>
      <c r="P219" s="58">
        <v>4.36E-2</v>
      </c>
      <c r="Q219" s="58">
        <v>0.25290000000000001</v>
      </c>
      <c r="R219" s="63">
        <f t="shared" si="99"/>
        <v>-3.4908440043241087E-3</v>
      </c>
      <c r="S219" s="63">
        <f t="shared" si="100"/>
        <v>0</v>
      </c>
      <c r="T219" s="63">
        <f t="shared" si="101"/>
        <v>0</v>
      </c>
      <c r="U219" s="63">
        <f t="shared" si="102"/>
        <v>4.4200000000000003E-2</v>
      </c>
      <c r="V219" s="64">
        <f t="shared" si="103"/>
        <v>5.1100000000000007E-2</v>
      </c>
    </row>
    <row r="220" spans="1:22">
      <c r="A220" s="150">
        <v>7</v>
      </c>
      <c r="B220" s="134" t="s">
        <v>271</v>
      </c>
      <c r="C220" s="135" t="s">
        <v>270</v>
      </c>
      <c r="D220" s="100">
        <v>880849958.92999995</v>
      </c>
      <c r="E220" s="101">
        <f t="shared" si="97"/>
        <v>6.8874757655431537E-2</v>
      </c>
      <c r="F220" s="96">
        <v>507.99</v>
      </c>
      <c r="G220" s="96">
        <v>507.99</v>
      </c>
      <c r="H220" s="102">
        <v>586</v>
      </c>
      <c r="I220" s="58">
        <v>1E-4</v>
      </c>
      <c r="J220" s="58">
        <v>0.31900000000000001</v>
      </c>
      <c r="K220" s="100">
        <v>817927684.44000006</v>
      </c>
      <c r="L220" s="101">
        <f t="shared" si="98"/>
        <v>6.5376229587713344E-2</v>
      </c>
      <c r="M220" s="96">
        <v>500</v>
      </c>
      <c r="N220" s="96">
        <v>500</v>
      </c>
      <c r="O220" s="102">
        <v>586</v>
      </c>
      <c r="P220" s="58">
        <v>2.1000000000000001E-2</v>
      </c>
      <c r="Q220" s="58">
        <v>0.34639999999999999</v>
      </c>
      <c r="R220" s="63">
        <f t="shared" si="99"/>
        <v>-7.1433589627947353E-2</v>
      </c>
      <c r="S220" s="63">
        <f t="shared" si="100"/>
        <v>-1.5728656075907024E-2</v>
      </c>
      <c r="T220" s="63">
        <f t="shared" si="101"/>
        <v>0</v>
      </c>
      <c r="U220" s="63">
        <f t="shared" si="102"/>
        <v>2.0900000000000002E-2</v>
      </c>
      <c r="V220" s="64">
        <f t="shared" si="103"/>
        <v>2.739999999999998E-2</v>
      </c>
    </row>
    <row r="221" spans="1:22">
      <c r="A221" s="150">
        <v>8</v>
      </c>
      <c r="B221" s="134" t="s">
        <v>272</v>
      </c>
      <c r="C221" s="135" t="s">
        <v>273</v>
      </c>
      <c r="D221" s="100">
        <v>53790910.049999997</v>
      </c>
      <c r="E221" s="101">
        <f t="shared" si="97"/>
        <v>4.2059783918923762E-3</v>
      </c>
      <c r="F221" s="96">
        <v>15.68</v>
      </c>
      <c r="G221" s="96">
        <v>15.78</v>
      </c>
      <c r="H221" s="102">
        <v>61</v>
      </c>
      <c r="I221" s="58">
        <v>0</v>
      </c>
      <c r="J221" s="58">
        <v>0.43230000000000002</v>
      </c>
      <c r="K221" s="100">
        <v>53396464.149999999</v>
      </c>
      <c r="L221" s="101">
        <f t="shared" si="98"/>
        <v>4.2679317082078543E-3</v>
      </c>
      <c r="M221" s="96">
        <v>15.54</v>
      </c>
      <c r="N221" s="96">
        <v>15.64</v>
      </c>
      <c r="O221" s="102">
        <v>61</v>
      </c>
      <c r="P221" s="58">
        <v>0</v>
      </c>
      <c r="Q221" s="58">
        <v>0.43230000000000002</v>
      </c>
      <c r="R221" s="63">
        <f t="shared" si="99"/>
        <v>-7.3329471398299673E-3</v>
      </c>
      <c r="S221" s="63">
        <f t="shared" si="100"/>
        <v>-8.8719898605829402E-3</v>
      </c>
      <c r="T221" s="63">
        <f t="shared" si="101"/>
        <v>0</v>
      </c>
      <c r="U221" s="63">
        <f t="shared" si="102"/>
        <v>0</v>
      </c>
      <c r="V221" s="64">
        <f t="shared" si="103"/>
        <v>0</v>
      </c>
    </row>
    <row r="222" spans="1:22">
      <c r="A222" s="150">
        <v>9</v>
      </c>
      <c r="B222" s="134" t="s">
        <v>274</v>
      </c>
      <c r="C222" s="135" t="s">
        <v>273</v>
      </c>
      <c r="D222" s="103">
        <v>596913475.04999995</v>
      </c>
      <c r="E222" s="101">
        <f t="shared" si="97"/>
        <v>4.6673409606865141E-2</v>
      </c>
      <c r="F222" s="96">
        <v>9.2100000000000009</v>
      </c>
      <c r="G222" s="96">
        <v>9.31</v>
      </c>
      <c r="H222" s="102">
        <v>106</v>
      </c>
      <c r="I222" s="58">
        <v>0</v>
      </c>
      <c r="J222" s="58">
        <v>5.8900000000000001E-2</v>
      </c>
      <c r="K222" s="103">
        <v>627550529.47000003</v>
      </c>
      <c r="L222" s="101">
        <f t="shared" si="98"/>
        <v>5.0159553555900405E-2</v>
      </c>
      <c r="M222" s="96">
        <v>9.94</v>
      </c>
      <c r="N222" s="96">
        <v>10.039999999999999</v>
      </c>
      <c r="O222" s="102">
        <v>106</v>
      </c>
      <c r="P222" s="58">
        <v>1.6E-2</v>
      </c>
      <c r="Q222" s="58">
        <v>7.5899999999999995E-2</v>
      </c>
      <c r="R222" s="63">
        <f t="shared" si="99"/>
        <v>5.1325787908262234E-2</v>
      </c>
      <c r="S222" s="63">
        <f t="shared" si="100"/>
        <v>7.8410311493018109E-2</v>
      </c>
      <c r="T222" s="63">
        <f t="shared" si="101"/>
        <v>0</v>
      </c>
      <c r="U222" s="63">
        <f t="shared" si="102"/>
        <v>1.6E-2</v>
      </c>
      <c r="V222" s="64">
        <f t="shared" si="103"/>
        <v>1.6999999999999994E-2</v>
      </c>
    </row>
    <row r="223" spans="1:22" ht="15" customHeight="1">
      <c r="A223" s="150">
        <v>10</v>
      </c>
      <c r="B223" s="134" t="s">
        <v>275</v>
      </c>
      <c r="C223" s="135" t="s">
        <v>273</v>
      </c>
      <c r="D223" s="100">
        <v>451926910.60000002</v>
      </c>
      <c r="E223" s="101">
        <f t="shared" si="97"/>
        <v>3.5336729178432585E-2</v>
      </c>
      <c r="F223" s="96">
        <v>127.38</v>
      </c>
      <c r="G223" s="96">
        <v>129.38</v>
      </c>
      <c r="H223" s="102">
        <v>269</v>
      </c>
      <c r="I223" s="58">
        <v>-1.67E-2</v>
      </c>
      <c r="J223" s="58">
        <v>0.19589999999999999</v>
      </c>
      <c r="K223" s="100">
        <v>450076031.48000002</v>
      </c>
      <c r="L223" s="101">
        <f t="shared" si="98"/>
        <v>3.5974175377263225E-2</v>
      </c>
      <c r="M223" s="96">
        <v>126.85</v>
      </c>
      <c r="N223" s="96">
        <v>128.85</v>
      </c>
      <c r="O223" s="102">
        <v>269</v>
      </c>
      <c r="P223" s="58">
        <v>0.83620000000000005</v>
      </c>
      <c r="Q223" s="58">
        <v>1.1959</v>
      </c>
      <c r="R223" s="63">
        <f t="shared" si="99"/>
        <v>-4.0955275656027832E-3</v>
      </c>
      <c r="S223" s="63">
        <f t="shared" si="100"/>
        <v>-4.0964600401916925E-3</v>
      </c>
      <c r="T223" s="63">
        <f t="shared" si="101"/>
        <v>0</v>
      </c>
      <c r="U223" s="63">
        <f t="shared" si="102"/>
        <v>0.8529000000000001</v>
      </c>
      <c r="V223" s="64">
        <f t="shared" si="103"/>
        <v>1</v>
      </c>
    </row>
    <row r="224" spans="1:22">
      <c r="A224" s="150">
        <v>11</v>
      </c>
      <c r="B224" s="134" t="s">
        <v>276</v>
      </c>
      <c r="C224" s="135" t="s">
        <v>273</v>
      </c>
      <c r="D224" s="100">
        <v>5288897377.0500002</v>
      </c>
      <c r="E224" s="101">
        <f t="shared" si="97"/>
        <v>0.41354548685142695</v>
      </c>
      <c r="F224" s="96">
        <v>36.79</v>
      </c>
      <c r="G224" s="96">
        <v>36.99</v>
      </c>
      <c r="H224" s="102">
        <v>283</v>
      </c>
      <c r="I224" s="58">
        <v>0</v>
      </c>
      <c r="J224" s="58">
        <v>0.3352</v>
      </c>
      <c r="K224" s="100">
        <v>5372759992.6099997</v>
      </c>
      <c r="L224" s="101">
        <f t="shared" si="98"/>
        <v>0.42943990951600897</v>
      </c>
      <c r="M224" s="96">
        <v>37.32</v>
      </c>
      <c r="N224" s="96">
        <v>37.520000000000003</v>
      </c>
      <c r="O224" s="102">
        <v>283</v>
      </c>
      <c r="P224" s="58">
        <v>0</v>
      </c>
      <c r="Q224" s="58">
        <v>0.3352</v>
      </c>
      <c r="R224" s="63">
        <f t="shared" si="99"/>
        <v>1.5856351443668152E-2</v>
      </c>
      <c r="S224" s="63">
        <f t="shared" si="100"/>
        <v>1.4328196809948665E-2</v>
      </c>
      <c r="T224" s="63">
        <f t="shared" si="101"/>
        <v>0</v>
      </c>
      <c r="U224" s="63">
        <f t="shared" si="102"/>
        <v>0</v>
      </c>
      <c r="V224" s="64">
        <f t="shared" si="103"/>
        <v>0</v>
      </c>
    </row>
    <row r="225" spans="1:22">
      <c r="A225" s="150">
        <v>12</v>
      </c>
      <c r="B225" s="134" t="s">
        <v>277</v>
      </c>
      <c r="C225" s="135" t="s">
        <v>273</v>
      </c>
      <c r="D225" s="103">
        <v>64991801.042000003</v>
      </c>
      <c r="E225" s="101">
        <f t="shared" si="97"/>
        <v>5.0817900381073854E-3</v>
      </c>
      <c r="F225" s="96">
        <v>35.71</v>
      </c>
      <c r="G225" s="96">
        <v>35.909999999999997</v>
      </c>
      <c r="H225" s="102">
        <v>60</v>
      </c>
      <c r="I225" s="58">
        <v>0</v>
      </c>
      <c r="J225" s="58">
        <v>0.7208</v>
      </c>
      <c r="K225" s="103">
        <v>64930692.289999999</v>
      </c>
      <c r="L225" s="101">
        <f t="shared" si="98"/>
        <v>5.1898522659084775E-3</v>
      </c>
      <c r="M225" s="96">
        <v>35.75</v>
      </c>
      <c r="N225" s="96">
        <v>35.950000000000003</v>
      </c>
      <c r="O225" s="102">
        <v>60</v>
      </c>
      <c r="P225" s="58">
        <v>0</v>
      </c>
      <c r="Q225" s="58">
        <v>0.7208</v>
      </c>
      <c r="R225" s="63">
        <f t="shared" si="99"/>
        <v>-9.4025324764447464E-4</v>
      </c>
      <c r="S225" s="63">
        <f t="shared" si="100"/>
        <v>1.1138958507381303E-3</v>
      </c>
      <c r="T225" s="63">
        <f t="shared" si="101"/>
        <v>0</v>
      </c>
      <c r="U225" s="63">
        <f t="shared" si="102"/>
        <v>0</v>
      </c>
      <c r="V225" s="64">
        <f t="shared" si="103"/>
        <v>0</v>
      </c>
    </row>
    <row r="226" spans="1:22">
      <c r="A226" s="104"/>
      <c r="B226" s="104"/>
      <c r="C226" s="105" t="s">
        <v>278</v>
      </c>
      <c r="D226" s="97">
        <f>SUM(D214:D225)</f>
        <v>12789155111.612</v>
      </c>
      <c r="E226" s="98"/>
      <c r="F226" s="98"/>
      <c r="G226" s="99"/>
      <c r="H226" s="97">
        <f>SUM(H214:H225)</f>
        <v>2257</v>
      </c>
      <c r="I226" s="122"/>
      <c r="J226" s="122"/>
      <c r="K226" s="97">
        <f>SUM(K214:K225)</f>
        <v>12511086821.588737</v>
      </c>
      <c r="L226" s="98"/>
      <c r="M226" s="98"/>
      <c r="N226" s="99"/>
      <c r="O226" s="97">
        <f>SUM(O214:O225)</f>
        <v>2257</v>
      </c>
      <c r="P226" s="122"/>
      <c r="Q226" s="122"/>
      <c r="R226" s="63">
        <f t="shared" si="99"/>
        <v>-2.1742506646962787E-2</v>
      </c>
      <c r="S226" s="63" t="e">
        <f t="shared" si="100"/>
        <v>#DIV/0!</v>
      </c>
      <c r="T226" s="63">
        <f t="shared" si="101"/>
        <v>0</v>
      </c>
      <c r="U226" s="63">
        <f t="shared" si="102"/>
        <v>0</v>
      </c>
      <c r="V226" s="64">
        <f t="shared" si="103"/>
        <v>0</v>
      </c>
    </row>
    <row r="227" spans="1:22">
      <c r="A227" s="106"/>
      <c r="B227" s="106"/>
      <c r="C227" s="107" t="s">
        <v>279</v>
      </c>
      <c r="D227" s="108">
        <f>SUM(D206,D211,D226)</f>
        <v>3779806811750.8389</v>
      </c>
      <c r="E227" s="109"/>
      <c r="F227" s="109"/>
      <c r="G227" s="110"/>
      <c r="H227" s="108">
        <f>SUM(H206,H211,H226)</f>
        <v>784084</v>
      </c>
      <c r="I227" s="123"/>
      <c r="J227" s="123"/>
      <c r="K227" s="108">
        <f>SUM(K206,K211,K226)</f>
        <v>3810793771401.9585</v>
      </c>
      <c r="L227" s="109"/>
      <c r="M227" s="109"/>
      <c r="N227" s="110"/>
      <c r="O227" s="108">
        <f>SUM(O206,O211,O226)</f>
        <v>785885</v>
      </c>
      <c r="P227" s="124"/>
      <c r="Q227" s="108"/>
      <c r="R227" s="130"/>
      <c r="S227" s="131"/>
      <c r="T227" s="131"/>
      <c r="U227" s="132"/>
      <c r="V227" s="132"/>
    </row>
    <row r="228" spans="1:22">
      <c r="A228" s="111" t="s">
        <v>280</v>
      </c>
      <c r="B228" s="112" t="s">
        <v>281</v>
      </c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</row>
    <row r="230" spans="1:22">
      <c r="B230" s="114"/>
      <c r="C230" s="114"/>
      <c r="D230" s="115"/>
      <c r="K230" s="115"/>
    </row>
    <row r="231" spans="1:22" ht="15">
      <c r="B231" s="116"/>
      <c r="C231" s="117"/>
      <c r="D231" s="118"/>
      <c r="F231" s="119"/>
      <c r="G231" s="119"/>
      <c r="I231" s="125"/>
      <c r="J231" s="126"/>
    </row>
    <row r="234" spans="1:22">
      <c r="B234" s="114"/>
    </row>
  </sheetData>
  <sheetProtection algorithmName="SHA-512" hashValue="6cX1CgiPDwmpwNR4xhOwkaj/itQQ47Xy3uBstbuNjHm+KlW9Fy38ZBXAwgMrqsgeY8D+1GmGZl27U/EhxC27Xw==" saltValue="Tovo7J1CJDSquh2hK3wPlA==" spinCount="100000" sheet="1" objects="1" scenarios="1"/>
  <mergeCells count="33">
    <mergeCell ref="A1:V1"/>
    <mergeCell ref="D2:J2"/>
    <mergeCell ref="K2:Q2"/>
    <mergeCell ref="R2:T2"/>
    <mergeCell ref="U2:V2"/>
    <mergeCell ref="B4:V4"/>
    <mergeCell ref="A5:V5"/>
    <mergeCell ref="B25:V25"/>
    <mergeCell ref="A26:V26"/>
    <mergeCell ref="B64:V64"/>
    <mergeCell ref="A65:V65"/>
    <mergeCell ref="B103:V103"/>
    <mergeCell ref="A104:V104"/>
    <mergeCell ref="A105:V105"/>
    <mergeCell ref="B121:V121"/>
    <mergeCell ref="A122:V122"/>
    <mergeCell ref="B137:V137"/>
    <mergeCell ref="A138:V138"/>
    <mergeCell ref="B145:V145"/>
    <mergeCell ref="A146:V146"/>
    <mergeCell ref="B177:V177"/>
    <mergeCell ref="A178:V178"/>
    <mergeCell ref="B183:V183"/>
    <mergeCell ref="A184:V184"/>
    <mergeCell ref="A185:V185"/>
    <mergeCell ref="A208:V208"/>
    <mergeCell ref="B212:V212"/>
    <mergeCell ref="A213:V213"/>
    <mergeCell ref="B188:V188"/>
    <mergeCell ref="A189:V189"/>
    <mergeCell ref="B202:V202"/>
    <mergeCell ref="A203:V203"/>
    <mergeCell ref="B207:U207"/>
  </mergeCells>
  <pageMargins left="0.7" right="0.7" top="0.75" bottom="0.75" header="0.3" footer="0.3"/>
  <pageSetup paperSize="9" orientation="portrait" horizontalDpi="300" verticalDpi="300" r:id="rId1"/>
  <ignoredErrors>
    <ignoredError sqref="E45 L45 E70 E88 L88" formula="1"/>
    <ignoredError sqref="T209:T210 S226 S205 S182 S176 T154 S136 S102 S63 T36 S24 S14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sqref="A1:D22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59"/>
      <c r="B1" s="159"/>
      <c r="C1" s="159"/>
      <c r="D1" s="159"/>
    </row>
    <row r="2" spans="1:5" ht="27.6">
      <c r="A2" s="160" t="s">
        <v>282</v>
      </c>
      <c r="B2" s="161" t="s">
        <v>283</v>
      </c>
      <c r="C2" s="161" t="s">
        <v>295</v>
      </c>
      <c r="D2" s="162"/>
    </row>
    <row r="3" spans="1:5">
      <c r="A3" s="163" t="s">
        <v>20</v>
      </c>
      <c r="B3" s="164">
        <f t="shared" ref="B3:C10" si="0">B13</f>
        <v>28.835332748210007</v>
      </c>
      <c r="C3" s="164">
        <f t="shared" si="0"/>
        <v>29.468827560840001</v>
      </c>
      <c r="D3" s="162"/>
    </row>
    <row r="4" spans="1:5" ht="17.25" customHeight="1">
      <c r="A4" s="160" t="s">
        <v>56</v>
      </c>
      <c r="B4" s="165">
        <f t="shared" si="0"/>
        <v>1470.975929116318</v>
      </c>
      <c r="C4" s="165">
        <f t="shared" si="0"/>
        <v>1494.3543727845476</v>
      </c>
      <c r="D4" s="162"/>
    </row>
    <row r="5" spans="1:5" ht="19.5" customHeight="1">
      <c r="A5" s="160" t="s">
        <v>284</v>
      </c>
      <c r="B5" s="164">
        <f t="shared" si="0"/>
        <v>217.59624471189483</v>
      </c>
      <c r="C5" s="164">
        <f t="shared" si="0"/>
        <v>217.29563815086487</v>
      </c>
      <c r="D5" s="162"/>
    </row>
    <row r="6" spans="1:5">
      <c r="A6" s="160" t="s">
        <v>160</v>
      </c>
      <c r="B6" s="165">
        <f t="shared" si="0"/>
        <v>1725.2497696005873</v>
      </c>
      <c r="C6" s="165">
        <f t="shared" si="0"/>
        <v>1732.2715069270473</v>
      </c>
      <c r="D6" s="162"/>
    </row>
    <row r="7" spans="1:5">
      <c r="A7" s="160" t="s">
        <v>285</v>
      </c>
      <c r="B7" s="164">
        <f t="shared" si="0"/>
        <v>98.768307559734097</v>
      </c>
      <c r="C7" s="164">
        <f t="shared" si="0"/>
        <v>98.833512064041216</v>
      </c>
      <c r="D7" s="162"/>
    </row>
    <row r="8" spans="1:5">
      <c r="A8" s="160" t="s">
        <v>198</v>
      </c>
      <c r="B8" s="166">
        <f t="shared" si="0"/>
        <v>51.772807386092971</v>
      </c>
      <c r="C8" s="166">
        <f t="shared" si="0"/>
        <v>52.31006210217663</v>
      </c>
      <c r="D8" s="162"/>
    </row>
    <row r="9" spans="1:5">
      <c r="A9" s="160" t="s">
        <v>230</v>
      </c>
      <c r="B9" s="164">
        <f t="shared" si="0"/>
        <v>5.39463762893</v>
      </c>
      <c r="C9" s="164">
        <f t="shared" si="0"/>
        <v>5.4907359296499996</v>
      </c>
      <c r="D9" s="162"/>
    </row>
    <row r="10" spans="1:5">
      <c r="A10" s="160" t="s">
        <v>286</v>
      </c>
      <c r="B10" s="164">
        <f t="shared" si="0"/>
        <v>51.262988903490061</v>
      </c>
      <c r="C10" s="164">
        <f t="shared" si="0"/>
        <v>51.068422934812233</v>
      </c>
      <c r="D10" s="162"/>
    </row>
    <row r="11" spans="1:5">
      <c r="A11" s="160"/>
      <c r="B11" s="164"/>
      <c r="C11" s="164"/>
      <c r="D11" s="162"/>
    </row>
    <row r="12" spans="1:5">
      <c r="A12" s="159"/>
      <c r="B12" s="159"/>
      <c r="C12" s="159"/>
      <c r="D12" s="159"/>
    </row>
    <row r="13" spans="1:5">
      <c r="A13" s="167" t="s">
        <v>20</v>
      </c>
      <c r="B13" s="168">
        <f>'Weekly Valuation'!D24/1000000000</f>
        <v>28.835332748210007</v>
      </c>
      <c r="C13" s="169">
        <f>'Weekly Valuation'!K24/1000000000</f>
        <v>29.468827560840001</v>
      </c>
      <c r="D13" s="159"/>
      <c r="E13" s="15"/>
    </row>
    <row r="14" spans="1:5">
      <c r="A14" s="170" t="s">
        <v>56</v>
      </c>
      <c r="B14" s="168">
        <f>'Weekly Valuation'!D63/1000000000</f>
        <v>1470.975929116318</v>
      </c>
      <c r="C14" s="171">
        <f>'Weekly Valuation'!K63/1000000000</f>
        <v>1494.3543727845476</v>
      </c>
      <c r="D14" s="159"/>
      <c r="E14" s="15"/>
    </row>
    <row r="15" spans="1:5">
      <c r="A15" s="170" t="s">
        <v>284</v>
      </c>
      <c r="B15" s="168">
        <f>'Weekly Valuation'!D102/1000000000</f>
        <v>217.59624471189483</v>
      </c>
      <c r="C15" s="169">
        <f>'Weekly Valuation'!K102/1000000000</f>
        <v>217.29563815086487</v>
      </c>
      <c r="D15" s="159"/>
      <c r="E15" s="15"/>
    </row>
    <row r="16" spans="1:5">
      <c r="A16" s="170" t="s">
        <v>160</v>
      </c>
      <c r="B16" s="168">
        <f>'Weekly Valuation'!D136/1000000000</f>
        <v>1725.2497696005873</v>
      </c>
      <c r="C16" s="171">
        <f>'Weekly Valuation'!K136/1000000000</f>
        <v>1732.2715069270473</v>
      </c>
      <c r="D16" s="159"/>
      <c r="E16" s="15"/>
    </row>
    <row r="17" spans="1:5">
      <c r="A17" s="170" t="s">
        <v>285</v>
      </c>
      <c r="B17" s="168">
        <f>'Weekly Valuation'!D144/1000000000</f>
        <v>98.768307559734097</v>
      </c>
      <c r="C17" s="169">
        <f>'Weekly Valuation'!K144/1000000000</f>
        <v>98.833512064041216</v>
      </c>
      <c r="D17" s="159"/>
      <c r="E17" s="15"/>
    </row>
    <row r="18" spans="1:5">
      <c r="A18" s="170" t="s">
        <v>198</v>
      </c>
      <c r="B18" s="168">
        <f>'Weekly Valuation'!D176/1000000000</f>
        <v>51.772807386092971</v>
      </c>
      <c r="C18" s="172">
        <f>'Weekly Valuation'!K176/1000000000</f>
        <v>52.31006210217663</v>
      </c>
      <c r="D18" s="159"/>
      <c r="E18" s="15"/>
    </row>
    <row r="19" spans="1:5">
      <c r="A19" s="170" t="s">
        <v>230</v>
      </c>
      <c r="B19" s="168">
        <f>'Weekly Valuation'!D182/1000000000</f>
        <v>5.39463762893</v>
      </c>
      <c r="C19" s="169">
        <f>'Weekly Valuation'!K182/1000000000</f>
        <v>5.4907359296499996</v>
      </c>
      <c r="D19" s="159"/>
      <c r="E19" s="15"/>
    </row>
    <row r="20" spans="1:5">
      <c r="A20" s="170" t="s">
        <v>286</v>
      </c>
      <c r="B20" s="168">
        <f>'Weekly Valuation'!D205/1000000000</f>
        <v>51.262988903490061</v>
      </c>
      <c r="C20" s="169">
        <f>'Weekly Valuation'!K205/1000000000</f>
        <v>51.068422934812233</v>
      </c>
      <c r="D20" s="159"/>
      <c r="E20" s="15"/>
    </row>
    <row r="21" spans="1:5">
      <c r="A21" s="173"/>
      <c r="B21" s="159"/>
      <c r="C21" s="174"/>
      <c r="D21" s="159"/>
      <c r="E21" s="15"/>
    </row>
    <row r="22" spans="1:5">
      <c r="A22" s="173"/>
      <c r="B22" s="159"/>
      <c r="C22" s="175"/>
      <c r="D22" s="159"/>
      <c r="E22" s="15"/>
    </row>
    <row r="23" spans="1:5">
      <c r="A23" s="155"/>
      <c r="B23" s="156"/>
      <c r="C23" s="157"/>
      <c r="D23" s="158"/>
      <c r="E23" s="15"/>
    </row>
    <row r="24" spans="1:5">
      <c r="A24" s="155"/>
      <c r="B24" s="156"/>
      <c r="C24" s="156"/>
      <c r="D24" s="158"/>
      <c r="E24" s="15"/>
    </row>
    <row r="25" spans="1:5">
      <c r="A25" s="155"/>
      <c r="B25" s="156"/>
      <c r="C25" s="156"/>
      <c r="D25" s="158"/>
      <c r="E25" s="15"/>
    </row>
    <row r="26" spans="1:5">
      <c r="A26" s="155"/>
      <c r="B26" s="156"/>
      <c r="C26" s="156"/>
      <c r="D26" s="158"/>
      <c r="E26" s="15"/>
    </row>
    <row r="27" spans="1:5">
      <c r="A27" s="25"/>
      <c r="B27" s="26"/>
      <c r="C27" s="26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JAzeAz5crJ+YqsgL3PFWK1RSD1g5zhqsOILJrQvY9wG7/jG9YEQWpK3gWX6QNcRhfpdJkMfIGCUj0ee372rPtQ==" saltValue="2hk0fvxFNk8Kdc3t6jIkm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10" sqref="K10"/>
    </sheetView>
  </sheetViews>
  <sheetFormatPr defaultColWidth="9" defaultRowHeight="14.4"/>
  <cols>
    <col min="1" max="1" width="26.6640625" customWidth="1"/>
    <col min="2" max="2" width="17.44140625" customWidth="1"/>
  </cols>
  <sheetData>
    <row r="1" spans="1:6" ht="15.6">
      <c r="A1" s="177" t="s">
        <v>282</v>
      </c>
      <c r="B1" s="178">
        <v>45590</v>
      </c>
      <c r="C1" s="179"/>
      <c r="D1" s="21"/>
    </row>
    <row r="2" spans="1:6">
      <c r="A2" s="173" t="s">
        <v>230</v>
      </c>
      <c r="B2" s="175">
        <f>'Weekly Valuation'!K182</f>
        <v>5490735929.6499996</v>
      </c>
      <c r="C2" s="179"/>
      <c r="D2" s="21"/>
    </row>
    <row r="3" spans="1:6">
      <c r="A3" s="173" t="s">
        <v>20</v>
      </c>
      <c r="B3" s="175">
        <f>'Weekly Valuation'!K24</f>
        <v>29468827560.84</v>
      </c>
      <c r="C3" s="179"/>
      <c r="D3" s="21"/>
    </row>
    <row r="4" spans="1:6">
      <c r="A4" s="173" t="s">
        <v>286</v>
      </c>
      <c r="B4" s="180">
        <f>'Weekly Valuation'!K205</f>
        <v>51068422934.812233</v>
      </c>
      <c r="C4" s="179"/>
      <c r="D4" s="21"/>
    </row>
    <row r="5" spans="1:6">
      <c r="A5" s="173" t="s">
        <v>198</v>
      </c>
      <c r="B5" s="175">
        <f>'Weekly Valuation'!K176</f>
        <v>52310062102.176628</v>
      </c>
      <c r="C5" s="179"/>
      <c r="D5" s="21"/>
    </row>
    <row r="6" spans="1:6">
      <c r="A6" s="173" t="s">
        <v>285</v>
      </c>
      <c r="B6" s="175">
        <f>'Weekly Valuation'!K144</f>
        <v>98833512064.041214</v>
      </c>
      <c r="C6" s="179"/>
      <c r="D6" s="21"/>
    </row>
    <row r="7" spans="1:6">
      <c r="A7" s="173" t="s">
        <v>284</v>
      </c>
      <c r="B7" s="175">
        <f>'Weekly Valuation'!K102</f>
        <v>217295638150.86487</v>
      </c>
      <c r="C7" s="179"/>
      <c r="D7" s="21"/>
    </row>
    <row r="8" spans="1:6">
      <c r="A8" s="173" t="s">
        <v>56</v>
      </c>
      <c r="B8" s="174">
        <f>'Weekly Valuation'!K63</f>
        <v>1494354372784.5476</v>
      </c>
      <c r="C8" s="179"/>
      <c r="D8" s="21"/>
    </row>
    <row r="9" spans="1:6">
      <c r="A9" s="173" t="s">
        <v>160</v>
      </c>
      <c r="B9" s="174">
        <f>'Weekly Valuation'!K136</f>
        <v>1732271506927.0474</v>
      </c>
      <c r="C9" s="179"/>
      <c r="D9" s="21"/>
      <c r="F9" t="s">
        <v>287</v>
      </c>
    </row>
    <row r="10" spans="1:6">
      <c r="A10" s="159"/>
      <c r="B10" s="159"/>
      <c r="C10" s="179"/>
      <c r="D10" s="21"/>
    </row>
    <row r="11" spans="1:6">
      <c r="A11" s="173"/>
      <c r="B11" s="181"/>
      <c r="C11" s="179"/>
      <c r="D11" s="21"/>
    </row>
    <row r="12" spans="1:6">
      <c r="A12" s="154"/>
      <c r="B12" s="158"/>
      <c r="C12" s="158"/>
      <c r="D12" s="21"/>
    </row>
    <row r="13" spans="1:6">
      <c r="A13" s="156"/>
      <c r="B13" s="156"/>
      <c r="C13" s="158"/>
      <c r="D13" s="21"/>
    </row>
    <row r="14" spans="1:6">
      <c r="A14" s="156"/>
      <c r="B14" s="156"/>
      <c r="C14" s="158"/>
      <c r="D14" s="21"/>
    </row>
    <row r="15" spans="1:6" ht="16.5" customHeight="1">
      <c r="A15" s="157"/>
      <c r="B15" s="157"/>
      <c r="C15" s="158"/>
      <c r="D15" s="21"/>
    </row>
    <row r="16" spans="1:6">
      <c r="A16" s="156"/>
      <c r="B16" s="156"/>
      <c r="C16" s="158"/>
      <c r="D16" s="21"/>
    </row>
    <row r="17" spans="1:17">
      <c r="A17" s="156"/>
      <c r="B17" s="156"/>
      <c r="C17" s="158"/>
      <c r="D17" s="21"/>
    </row>
    <row r="18" spans="1:17">
      <c r="A18" s="176"/>
      <c r="B18" s="156"/>
      <c r="C18" s="158"/>
      <c r="D18" s="21"/>
    </row>
    <row r="19" spans="1:17">
      <c r="A19" s="176"/>
      <c r="B19" s="176"/>
      <c r="C19" s="158"/>
      <c r="D19" s="21"/>
    </row>
    <row r="20" spans="1:17">
      <c r="A20" s="176"/>
      <c r="B20" s="176"/>
      <c r="C20" s="158"/>
      <c r="D20" s="21"/>
    </row>
    <row r="21" spans="1:17">
      <c r="A21" s="23"/>
      <c r="B21" s="22"/>
      <c r="C21" s="21"/>
      <c r="D21" s="21"/>
    </row>
    <row r="22" spans="1:17">
      <c r="A22" s="21"/>
      <c r="B22" s="22"/>
      <c r="C22" s="21"/>
      <c r="D22" s="21"/>
    </row>
    <row r="23" spans="1:17">
      <c r="A23" s="21"/>
      <c r="B23" s="21"/>
      <c r="C23" s="21"/>
      <c r="D23" s="21"/>
    </row>
    <row r="24" spans="1:17">
      <c r="A24" s="21"/>
      <c r="B24" s="21"/>
      <c r="C24" s="21"/>
      <c r="D24" s="21"/>
    </row>
    <row r="25" spans="1:17">
      <c r="A25" s="15"/>
      <c r="B25" s="15"/>
      <c r="C25" s="15"/>
    </row>
    <row r="26" spans="1:17">
      <c r="A26" s="15"/>
      <c r="B26" s="15"/>
    </row>
    <row r="32" spans="1:17" ht="16.5" customHeight="1">
      <c r="A32" s="187" t="s">
        <v>297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24"/>
    </row>
    <row r="33" spans="1:17" ht="1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24"/>
    </row>
  </sheetData>
  <sheetProtection algorithmName="SHA-512" hashValue="/RZOX+6DMxPNMInwxhjyviMpxjLt5KdePfcqdDijhNJaZ36UEkJh7/05ZntGkDvWZSVwuwJgOjtAHoOU92blWA==" saltValue="lMD8Daek4eoDmXNCyRTveQ==" spinCount="100000" sheet="1" objects="1" scenarios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5"/>
      <c r="L1" s="15"/>
      <c r="M1" s="15"/>
    </row>
    <row r="2" spans="1:13">
      <c r="A2" s="182" t="s">
        <v>288</v>
      </c>
      <c r="B2" s="183">
        <v>45541</v>
      </c>
      <c r="C2" s="183">
        <v>45548</v>
      </c>
      <c r="D2" s="183">
        <v>45555</v>
      </c>
      <c r="E2" s="183">
        <v>45562</v>
      </c>
      <c r="F2" s="183">
        <v>45569</v>
      </c>
      <c r="G2" s="183">
        <v>45576</v>
      </c>
      <c r="H2" s="183">
        <v>45583</v>
      </c>
      <c r="I2" s="183">
        <v>45590</v>
      </c>
      <c r="J2" s="179"/>
      <c r="K2" s="15"/>
      <c r="L2" s="15"/>
      <c r="M2" s="15"/>
    </row>
    <row r="3" spans="1:13">
      <c r="A3" s="182" t="s">
        <v>289</v>
      </c>
      <c r="B3" s="184">
        <f t="shared" ref="B3:I3" si="0">B4</f>
        <v>3400.7528613225986</v>
      </c>
      <c r="C3" s="184">
        <f t="shared" si="0"/>
        <v>3452.8102334622345</v>
      </c>
      <c r="D3" s="184">
        <f t="shared" si="0"/>
        <v>3459.9856712522856</v>
      </c>
      <c r="E3" s="184">
        <f t="shared" si="0"/>
        <v>3518.3374037557901</v>
      </c>
      <c r="F3" s="184">
        <f t="shared" si="0"/>
        <v>3587.8911717657538</v>
      </c>
      <c r="G3" s="184">
        <f t="shared" si="0"/>
        <v>3608.6485199322269</v>
      </c>
      <c r="H3" s="184">
        <f t="shared" si="0"/>
        <v>3649.8560176552623</v>
      </c>
      <c r="I3" s="184">
        <f t="shared" si="0"/>
        <v>3681.0930784539796</v>
      </c>
      <c r="J3" s="179"/>
      <c r="K3" s="15"/>
      <c r="L3" s="15"/>
      <c r="M3" s="15"/>
    </row>
    <row r="4" spans="1:13">
      <c r="A4" s="179"/>
      <c r="B4" s="185">
        <f>'NAV Trend'!C10/1000000000</f>
        <v>3400.7528613225986</v>
      </c>
      <c r="C4" s="185">
        <f>'NAV Trend'!D10/1000000000</f>
        <v>3452.8102334622345</v>
      </c>
      <c r="D4" s="185">
        <f>'NAV Trend'!E10/1000000000</f>
        <v>3459.9856712522856</v>
      </c>
      <c r="E4" s="185">
        <f>'NAV Trend'!F10/1000000000</f>
        <v>3518.3374037557901</v>
      </c>
      <c r="F4" s="185">
        <f>'NAV Trend'!G10/1000000000</f>
        <v>3587.8911717657538</v>
      </c>
      <c r="G4" s="185">
        <f>'NAV Trend'!H10/1000000000</f>
        <v>3608.6485199322269</v>
      </c>
      <c r="H4" s="186">
        <f>'NAV Trend'!I10/1000000000</f>
        <v>3649.8560176552623</v>
      </c>
      <c r="I4" s="186">
        <f>'NAV Trend'!J10/1000000000</f>
        <v>3681.0930784539796</v>
      </c>
      <c r="J4" s="179"/>
      <c r="K4" s="15"/>
      <c r="L4" s="15"/>
      <c r="M4" s="15"/>
    </row>
    <row r="5" spans="1:1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5"/>
      <c r="L5" s="15"/>
      <c r="M5" s="15"/>
    </row>
    <row r="6" spans="1:13">
      <c r="A6" s="158"/>
      <c r="B6" s="158"/>
      <c r="C6" s="158"/>
      <c r="D6" s="158"/>
      <c r="E6" s="158"/>
      <c r="F6" s="158"/>
      <c r="G6" s="158"/>
      <c r="H6" s="158"/>
      <c r="I6" s="158"/>
      <c r="J6" s="20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</row>
  </sheetData>
  <sheetProtection algorithmName="SHA-512" hashValue="wCEtiYC9uO9XpBBpcyTgWiOsP0p6kqNPCWfbPshjlI9fjCO3wBnPkfg54VyL2tFSqJTik0sqSpJ65UYZvhGzTA==" saltValue="UDUdY5CKDkWEqn7W/YBgf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C7" sqref="C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58"/>
      <c r="L1" s="15"/>
    </row>
    <row r="2" spans="1:12">
      <c r="A2" s="182" t="s">
        <v>288</v>
      </c>
      <c r="B2" s="183">
        <v>45541</v>
      </c>
      <c r="C2" s="183">
        <v>45548</v>
      </c>
      <c r="D2" s="183">
        <v>45555</v>
      </c>
      <c r="E2" s="183">
        <v>45562</v>
      </c>
      <c r="F2" s="183">
        <v>45569</v>
      </c>
      <c r="G2" s="183">
        <v>45576</v>
      </c>
      <c r="H2" s="183">
        <v>45583</v>
      </c>
      <c r="I2" s="183">
        <v>45590</v>
      </c>
      <c r="J2" s="179"/>
      <c r="K2" s="158"/>
      <c r="L2" s="15"/>
    </row>
    <row r="3" spans="1:12">
      <c r="A3" s="182" t="s">
        <v>290</v>
      </c>
      <c r="B3" s="184">
        <f t="shared" ref="B3:I3" si="0">B4</f>
        <v>12.1682734018876</v>
      </c>
      <c r="C3" s="184">
        <f t="shared" si="0"/>
        <v>12.3487801515176</v>
      </c>
      <c r="D3" s="184">
        <f t="shared" si="0"/>
        <v>12.596631014149999</v>
      </c>
      <c r="E3" s="184">
        <f t="shared" si="0"/>
        <v>12.728824087969999</v>
      </c>
      <c r="F3" s="184">
        <f t="shared" si="0"/>
        <v>12.697813827940001</v>
      </c>
      <c r="G3" s="184">
        <f t="shared" si="0"/>
        <v>12.701048297550301</v>
      </c>
      <c r="H3" s="184">
        <f t="shared" si="0"/>
        <v>12.789155111611999</v>
      </c>
      <c r="I3" s="184">
        <f t="shared" si="0"/>
        <v>12.511086821588737</v>
      </c>
      <c r="J3" s="179"/>
      <c r="K3" s="158"/>
      <c r="L3" s="15"/>
    </row>
    <row r="4" spans="1:12">
      <c r="A4" s="179"/>
      <c r="B4" s="185">
        <f>'NAV Trend'!C16/1000000000</f>
        <v>12.1682734018876</v>
      </c>
      <c r="C4" s="185">
        <f>'NAV Trend'!D16/1000000000</f>
        <v>12.3487801515176</v>
      </c>
      <c r="D4" s="185">
        <f>'NAV Trend'!E16/1000000000</f>
        <v>12.596631014149999</v>
      </c>
      <c r="E4" s="185">
        <f>'NAV Trend'!F16/1000000000</f>
        <v>12.728824087969999</v>
      </c>
      <c r="F4" s="185">
        <f>'NAV Trend'!G16/1000000000</f>
        <v>12.697813827940001</v>
      </c>
      <c r="G4" s="185">
        <f>'NAV Trend'!H16/1000000000</f>
        <v>12.701048297550301</v>
      </c>
      <c r="H4" s="185">
        <f>'NAV Trend'!I16/1000000000</f>
        <v>12.789155111611999</v>
      </c>
      <c r="I4" s="186">
        <f>'NAV Trend'!J16/1000000000</f>
        <v>12.511086821588737</v>
      </c>
      <c r="J4" s="179"/>
      <c r="K4" s="158"/>
      <c r="L4" s="15"/>
    </row>
    <row r="5" spans="1:1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58"/>
      <c r="L5" s="15"/>
    </row>
    <row r="6" spans="1:1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58"/>
      <c r="L6" s="15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k5BLcxjkCd4j39M2lAXrWlKQCkheKJcTQr+Dj1SVcD6MdiZ0KD4rWfvWxkuGwc/8eOcT2fBCHIphZBGj2iGydg==" saltValue="UrILauyqNTAwkCNhl4dJ6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C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282</v>
      </c>
      <c r="B1" s="2">
        <v>45534</v>
      </c>
      <c r="C1" s="2">
        <v>45541</v>
      </c>
      <c r="D1" s="2">
        <v>45548</v>
      </c>
      <c r="E1" s="2">
        <v>45555</v>
      </c>
      <c r="F1" s="2">
        <v>45562</v>
      </c>
      <c r="G1" s="2">
        <v>45569</v>
      </c>
      <c r="H1" s="2">
        <v>45576</v>
      </c>
      <c r="I1" s="2">
        <v>45583</v>
      </c>
      <c r="J1" s="2">
        <v>45590</v>
      </c>
    </row>
    <row r="2" spans="1:11">
      <c r="A2" s="3" t="s">
        <v>20</v>
      </c>
      <c r="B2" s="4">
        <v>28027790368.7999</v>
      </c>
      <c r="C2" s="4">
        <v>27785128483.915298</v>
      </c>
      <c r="D2" s="4">
        <v>27732432482.203999</v>
      </c>
      <c r="E2" s="4">
        <v>28146858775.669201</v>
      </c>
      <c r="F2" s="4">
        <v>28730451829.155499</v>
      </c>
      <c r="G2" s="4">
        <v>28625624040.070999</v>
      </c>
      <c r="H2" s="4">
        <v>28910390807.939201</v>
      </c>
      <c r="I2" s="4">
        <v>28835332748.209999</v>
      </c>
      <c r="J2" s="4">
        <v>29468827560.84</v>
      </c>
    </row>
    <row r="3" spans="1:11">
      <c r="A3" s="3" t="s">
        <v>56</v>
      </c>
      <c r="B3" s="4">
        <v>1275703699629.3601</v>
      </c>
      <c r="C3" s="4">
        <v>1307622955124.6599</v>
      </c>
      <c r="D3" s="4">
        <v>1334285121601.73</v>
      </c>
      <c r="E3" s="4">
        <v>1367483009916.49</v>
      </c>
      <c r="F3" s="4">
        <v>1391842705992.02</v>
      </c>
      <c r="G3" s="4">
        <v>1431162477919.05</v>
      </c>
      <c r="H3" s="4">
        <v>1454546860218.4099</v>
      </c>
      <c r="I3" s="4">
        <v>1470975929116.3201</v>
      </c>
      <c r="J3" s="4">
        <v>1494354372784.5476</v>
      </c>
    </row>
    <row r="4" spans="1:11">
      <c r="A4" s="3" t="s">
        <v>284</v>
      </c>
      <c r="B4" s="5">
        <v>218570980192.586</v>
      </c>
      <c r="C4" s="5">
        <v>218520520561.22501</v>
      </c>
      <c r="D4" s="5">
        <v>218027725773.40799</v>
      </c>
      <c r="E4" s="5">
        <v>215542773710.897</v>
      </c>
      <c r="F4" s="5">
        <v>215016078902.25299</v>
      </c>
      <c r="G4" s="5">
        <v>213364990329.59201</v>
      </c>
      <c r="H4" s="5">
        <v>215873237311.21799</v>
      </c>
      <c r="I4" s="5">
        <v>217596244711.89499</v>
      </c>
      <c r="J4" s="5">
        <v>217295638150.86487</v>
      </c>
    </row>
    <row r="5" spans="1:11">
      <c r="A5" s="3" t="s">
        <v>160</v>
      </c>
      <c r="B5" s="4">
        <v>1619684731793.4399</v>
      </c>
      <c r="C5" s="4">
        <v>1642482618309.0801</v>
      </c>
      <c r="D5" s="4">
        <v>1668230249491.24</v>
      </c>
      <c r="E5" s="4">
        <v>1643587494351.8101</v>
      </c>
      <c r="F5" s="4">
        <v>1677183716252.02</v>
      </c>
      <c r="G5" s="4">
        <v>1708200360895.5601</v>
      </c>
      <c r="H5" s="4">
        <v>1701912454705.3701</v>
      </c>
      <c r="I5" s="4">
        <v>1725249769600.5901</v>
      </c>
      <c r="J5" s="4">
        <v>1732271506927.0474</v>
      </c>
    </row>
    <row r="6" spans="1:11">
      <c r="A6" s="3" t="s">
        <v>285</v>
      </c>
      <c r="B6" s="6">
        <v>97021700017.900894</v>
      </c>
      <c r="C6" s="6">
        <v>97137104575.276993</v>
      </c>
      <c r="D6" s="6">
        <v>97204373692.430298</v>
      </c>
      <c r="E6" s="6">
        <v>97288036533.859207</v>
      </c>
      <c r="F6" s="6">
        <v>97416504495.638397</v>
      </c>
      <c r="G6" s="6">
        <v>98643900599.545593</v>
      </c>
      <c r="H6" s="6">
        <v>98713044971.160706</v>
      </c>
      <c r="I6" s="6">
        <v>98768307559.7341</v>
      </c>
      <c r="J6" s="6">
        <v>98833512064.041214</v>
      </c>
    </row>
    <row r="7" spans="1:11">
      <c r="A7" s="3" t="s">
        <v>198</v>
      </c>
      <c r="B7" s="7">
        <v>50541815917.121101</v>
      </c>
      <c r="C7" s="7">
        <v>50358393707.296303</v>
      </c>
      <c r="D7" s="7">
        <v>50669138356.323997</v>
      </c>
      <c r="E7" s="7">
        <v>51108128793.195503</v>
      </c>
      <c r="F7" s="7">
        <v>51162095071.512901</v>
      </c>
      <c r="G7" s="7">
        <v>51490300364.745796</v>
      </c>
      <c r="H7" s="7">
        <v>51768750825.837799</v>
      </c>
      <c r="I7" s="7">
        <v>51772807386.093002</v>
      </c>
      <c r="J7" s="7">
        <v>52310062102.176628</v>
      </c>
    </row>
    <row r="8" spans="1:11">
      <c r="A8" s="3" t="s">
        <v>230</v>
      </c>
      <c r="B8" s="6">
        <v>5284717995.9899998</v>
      </c>
      <c r="C8" s="6">
        <v>5291480610.9799995</v>
      </c>
      <c r="D8" s="6">
        <v>5333158647.2600002</v>
      </c>
      <c r="E8" s="6">
        <v>5366654391.6099997</v>
      </c>
      <c r="F8" s="6">
        <v>5372547709.2600002</v>
      </c>
      <c r="G8" s="6">
        <v>5412099692.1300001</v>
      </c>
      <c r="H8" s="6">
        <v>5446732461.79</v>
      </c>
      <c r="I8" s="6">
        <v>5394637628.9300003</v>
      </c>
      <c r="J8" s="6">
        <v>5490735929.6499996</v>
      </c>
    </row>
    <row r="9" spans="1:11">
      <c r="A9" s="3" t="s">
        <v>286</v>
      </c>
      <c r="B9" s="6">
        <v>51238844342.502098</v>
      </c>
      <c r="C9" s="6">
        <v>51554659950.165199</v>
      </c>
      <c r="D9" s="6">
        <v>51328033417.638199</v>
      </c>
      <c r="E9" s="6">
        <v>51462714778.755096</v>
      </c>
      <c r="F9" s="6">
        <v>51613303503.931396</v>
      </c>
      <c r="G9" s="6">
        <v>50991417925.0597</v>
      </c>
      <c r="H9" s="6">
        <v>51477048630.5009</v>
      </c>
      <c r="I9" s="6">
        <v>51262988903.490097</v>
      </c>
      <c r="J9" s="6">
        <v>51068422934.812233</v>
      </c>
    </row>
    <row r="10" spans="1:11" ht="15.6">
      <c r="A10" s="8" t="s">
        <v>291</v>
      </c>
      <c r="B10" s="9">
        <f t="shared" ref="B10:J10" si="0">SUM(B2:B9)</f>
        <v>3346074280257.6997</v>
      </c>
      <c r="C10" s="9">
        <f t="shared" si="0"/>
        <v>3400752861322.5986</v>
      </c>
      <c r="D10" s="9">
        <f t="shared" si="0"/>
        <v>3452810233462.2344</v>
      </c>
      <c r="E10" s="9">
        <f t="shared" si="0"/>
        <v>3459985671252.2856</v>
      </c>
      <c r="F10" s="9">
        <f t="shared" si="0"/>
        <v>3518337403755.79</v>
      </c>
      <c r="G10" s="9">
        <f t="shared" si="0"/>
        <v>3587891171765.7539</v>
      </c>
      <c r="H10" s="9">
        <f t="shared" si="0"/>
        <v>3608648519932.2271</v>
      </c>
      <c r="I10" s="9">
        <f t="shared" si="0"/>
        <v>3649856017655.2622</v>
      </c>
      <c r="J10" s="9">
        <f t="shared" si="0"/>
        <v>3681093078453.9795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292</v>
      </c>
      <c r="B12" s="133" t="s">
        <v>293</v>
      </c>
      <c r="C12" s="13">
        <f>(B10+C10)/2</f>
        <v>3373413570790.1494</v>
      </c>
      <c r="D12" s="14">
        <f t="shared" ref="D12:J12" si="1">(C10+D10)/2</f>
        <v>3426781547392.4165</v>
      </c>
      <c r="E12" s="14">
        <f t="shared" si="1"/>
        <v>3456397952357.2598</v>
      </c>
      <c r="F12" s="14">
        <f t="shared" si="1"/>
        <v>3489161537504.0381</v>
      </c>
      <c r="G12" s="14">
        <f t="shared" si="1"/>
        <v>3553114287760.772</v>
      </c>
      <c r="H12" s="14">
        <f t="shared" si="1"/>
        <v>3598269845848.9902</v>
      </c>
      <c r="I12" s="14">
        <f t="shared" si="1"/>
        <v>3629252268793.7446</v>
      </c>
      <c r="J12" s="14">
        <f t="shared" si="1"/>
        <v>3665474548054.6211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45534</v>
      </c>
      <c r="C15" s="2">
        <v>45541</v>
      </c>
      <c r="D15" s="2">
        <v>45548</v>
      </c>
      <c r="E15" s="2">
        <v>45555</v>
      </c>
      <c r="F15" s="2">
        <v>45562</v>
      </c>
      <c r="G15" s="2">
        <v>45569</v>
      </c>
      <c r="H15" s="2">
        <v>45576</v>
      </c>
      <c r="I15" s="2">
        <v>45583</v>
      </c>
      <c r="J15" s="2">
        <v>45590</v>
      </c>
      <c r="K15" s="15"/>
    </row>
    <row r="16" spans="1:11">
      <c r="A16" s="16" t="s">
        <v>294</v>
      </c>
      <c r="B16" s="17">
        <v>12190662825.3776</v>
      </c>
      <c r="C16" s="17">
        <v>12168273401.8876</v>
      </c>
      <c r="D16" s="17">
        <v>12348780151.517599</v>
      </c>
      <c r="E16" s="17">
        <v>12596631014.15</v>
      </c>
      <c r="F16" s="17">
        <v>12728824087.969999</v>
      </c>
      <c r="G16" s="17">
        <v>12697813827.940001</v>
      </c>
      <c r="H16" s="17">
        <v>12701048297.550301</v>
      </c>
      <c r="I16" s="17">
        <v>12789155111.612</v>
      </c>
      <c r="J16" s="17">
        <v>12511086821.588737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kwnAyPODp1yVL/qqoZrAmZ2TgB0OprylDvFMV1VmsLI4GJo28QUYTr6rxBttiEPv3+zMF+1v6OQCJdye+u/nWA==" saltValue="j3LsLhCuEea2T5DhmZJgM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2024-11-07T15:46:26Z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0DD34F9BF83E445E8B9367592CC1BA57_13</vt:lpwstr>
  </property>
  <property fmtid="{D5CDD505-2E9C-101B-9397-08002B2CF9AE}" pid="3" name="KSOProductBuildVer">
    <vt:lpwstr>1033-12.2.0.13266</vt:lpwstr>
  </property>
</Properties>
</file>