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M111" i="1"/>
  <c r="K111" i="1"/>
  <c r="N109" i="1"/>
  <c r="M109" i="1"/>
  <c r="K109" i="1"/>
  <c r="N115" i="1" l="1"/>
  <c r="M115" i="1"/>
  <c r="K115" i="1"/>
  <c r="N108" i="1" l="1"/>
  <c r="M108" i="1"/>
  <c r="K108" i="1"/>
  <c r="N129" i="1" l="1"/>
  <c r="M129" i="1"/>
  <c r="N107" i="1"/>
  <c r="M107" i="1"/>
  <c r="K107" i="1"/>
  <c r="N130" i="1"/>
  <c r="M130" i="1"/>
  <c r="K130" i="1"/>
  <c r="N122" i="1"/>
  <c r="M122" i="1"/>
  <c r="K122" i="1"/>
  <c r="N132" i="1"/>
  <c r="M132" i="1"/>
  <c r="K132" i="1"/>
  <c r="N119" i="1"/>
  <c r="M119" i="1"/>
  <c r="K119" i="1"/>
  <c r="N118" i="1"/>
  <c r="M118" i="1"/>
  <c r="K118" i="1"/>
  <c r="N128" i="1" l="1"/>
  <c r="M128" i="1"/>
  <c r="K128" i="1"/>
  <c r="N127" i="1" l="1"/>
  <c r="M127" i="1"/>
  <c r="K127" i="1"/>
  <c r="N110" i="1" l="1"/>
  <c r="M110" i="1"/>
  <c r="K110" i="1"/>
  <c r="N123" i="1" l="1"/>
  <c r="M123" i="1"/>
  <c r="K123" i="1"/>
  <c r="N116" i="1"/>
  <c r="M116" i="1"/>
  <c r="K116" i="1"/>
  <c r="N134" i="1" l="1"/>
  <c r="M134" i="1"/>
  <c r="K134" i="1"/>
  <c r="N117" i="1" l="1"/>
  <c r="M117" i="1"/>
  <c r="K117" i="1"/>
  <c r="M126" i="1"/>
  <c r="N106" i="1" l="1"/>
  <c r="M106" i="1"/>
  <c r="K106" i="1"/>
  <c r="N105" i="1"/>
  <c r="M105" i="1"/>
  <c r="K105" i="1"/>
  <c r="D204" i="1"/>
  <c r="G134" i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V163" i="1" l="1"/>
  <c r="U163" i="1"/>
  <c r="T163" i="1"/>
  <c r="S163" i="1"/>
  <c r="R163" i="1"/>
  <c r="N126" i="1" l="1"/>
  <c r="R97" i="1" l="1"/>
  <c r="S97" i="1"/>
  <c r="T97" i="1"/>
  <c r="U97" i="1"/>
  <c r="V97" i="1"/>
  <c r="V44" i="1" l="1"/>
  <c r="U44" i="1"/>
  <c r="T44" i="1"/>
  <c r="S44" i="1"/>
  <c r="R44" i="1"/>
  <c r="H204" i="1" l="1"/>
  <c r="R12" i="1" l="1"/>
  <c r="O204" i="1" l="1"/>
  <c r="K204" i="1"/>
  <c r="L203" i="1" s="1"/>
  <c r="E203" i="1"/>
  <c r="V203" i="1"/>
  <c r="U203" i="1"/>
  <c r="T203" i="1"/>
  <c r="S203" i="1"/>
  <c r="R203" i="1"/>
  <c r="D23" i="1" l="1"/>
  <c r="R192" i="1" l="1"/>
  <c r="S192" i="1"/>
  <c r="T192" i="1"/>
  <c r="U192" i="1"/>
  <c r="V192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5" i="1" l="1"/>
  <c r="R216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9" i="1" l="1"/>
  <c r="R166" i="1"/>
  <c r="R105" i="1" l="1"/>
  <c r="R161" i="1"/>
  <c r="S161" i="1"/>
  <c r="T161" i="1"/>
  <c r="U161" i="1"/>
  <c r="V161" i="1"/>
  <c r="R83" i="1" l="1"/>
  <c r="V197" i="1"/>
  <c r="U197" i="1"/>
  <c r="T197" i="1"/>
  <c r="S197" i="1"/>
  <c r="R197" i="1"/>
  <c r="V196" i="1"/>
  <c r="U196" i="1"/>
  <c r="T196" i="1"/>
  <c r="S196" i="1"/>
  <c r="R196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9" i="1" l="1"/>
  <c r="V169" i="1"/>
  <c r="R169" i="1"/>
  <c r="S169" i="1"/>
  <c r="T169" i="1"/>
  <c r="R55" i="1"/>
  <c r="V55" i="1"/>
  <c r="U55" i="1"/>
  <c r="T55" i="1"/>
  <c r="S55" i="1"/>
  <c r="V180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1" i="1"/>
  <c r="R149" i="1" l="1"/>
  <c r="R128" i="1" l="1"/>
  <c r="S128" i="1"/>
  <c r="T128" i="1"/>
  <c r="U128" i="1"/>
  <c r="V128" i="1"/>
  <c r="R84" i="1"/>
  <c r="S84" i="1"/>
  <c r="T84" i="1"/>
  <c r="U84" i="1"/>
  <c r="V84" i="1"/>
  <c r="V209" i="1" l="1"/>
  <c r="T167" i="1"/>
  <c r="S167" i="1"/>
  <c r="R131" i="1" l="1"/>
  <c r="V162" i="1" l="1"/>
  <c r="T153" i="1" l="1"/>
  <c r="R147" i="1"/>
  <c r="S147" i="1"/>
  <c r="T147" i="1"/>
  <c r="U147" i="1"/>
  <c r="V147" i="1"/>
  <c r="R170" i="1"/>
  <c r="S170" i="1"/>
  <c r="T170" i="1"/>
  <c r="U170" i="1"/>
  <c r="V170" i="1"/>
  <c r="R127" i="1" l="1"/>
  <c r="S127" i="1"/>
  <c r="S193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4" i="1"/>
  <c r="U194" i="1"/>
  <c r="T194" i="1"/>
  <c r="S194" i="1"/>
  <c r="R194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6" i="1" l="1"/>
  <c r="D181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5" i="1"/>
  <c r="D62" i="1"/>
  <c r="B20" i="2" l="1"/>
  <c r="B10" i="2" s="1"/>
  <c r="E197" i="1"/>
  <c r="E196" i="1"/>
  <c r="B14" i="2"/>
  <c r="B4" i="2" s="1"/>
  <c r="E139" i="1"/>
  <c r="B17" i="2"/>
  <c r="B7" i="2" s="1"/>
  <c r="E190" i="1"/>
  <c r="E191" i="1"/>
  <c r="E193" i="1"/>
  <c r="E194" i="1"/>
  <c r="E195" i="1"/>
  <c r="E198" i="1"/>
  <c r="E199" i="1"/>
  <c r="E200" i="1"/>
  <c r="R179" i="1"/>
  <c r="R89" i="1" l="1"/>
  <c r="S89" i="1"/>
  <c r="T89" i="1"/>
  <c r="V89" i="1"/>
  <c r="U89" i="1"/>
  <c r="B13" i="2" l="1"/>
  <c r="B3" i="2" l="1"/>
  <c r="E10" i="1"/>
  <c r="R124" i="1"/>
  <c r="R20" i="1" l="1"/>
  <c r="R214" i="1" l="1"/>
  <c r="S214" i="1"/>
  <c r="T214" i="1"/>
  <c r="U214" i="1"/>
  <c r="V214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S225" i="1"/>
  <c r="U225" i="1"/>
  <c r="V225" i="1"/>
  <c r="V213" i="1"/>
  <c r="U213" i="1"/>
  <c r="T213" i="1"/>
  <c r="S213" i="1"/>
  <c r="R213" i="1"/>
  <c r="U209" i="1"/>
  <c r="T209" i="1"/>
  <c r="S209" i="1"/>
  <c r="R209" i="1"/>
  <c r="V208" i="1"/>
  <c r="U208" i="1"/>
  <c r="T208" i="1"/>
  <c r="S208" i="1"/>
  <c r="R208" i="1"/>
  <c r="R190" i="1"/>
  <c r="S190" i="1"/>
  <c r="T190" i="1"/>
  <c r="U190" i="1"/>
  <c r="V190" i="1"/>
  <c r="S191" i="1"/>
  <c r="T191" i="1"/>
  <c r="U191" i="1"/>
  <c r="V191" i="1"/>
  <c r="R193" i="1"/>
  <c r="T193" i="1"/>
  <c r="U193" i="1"/>
  <c r="V193" i="1"/>
  <c r="R195" i="1"/>
  <c r="S195" i="1"/>
  <c r="T195" i="1"/>
  <c r="U195" i="1"/>
  <c r="V195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4" i="1"/>
  <c r="U204" i="1"/>
  <c r="V204" i="1"/>
  <c r="V189" i="1"/>
  <c r="U189" i="1"/>
  <c r="T189" i="1"/>
  <c r="S189" i="1"/>
  <c r="R189" i="1"/>
  <c r="V186" i="1"/>
  <c r="U186" i="1"/>
  <c r="T186" i="1"/>
  <c r="R186" i="1"/>
  <c r="V185" i="1"/>
  <c r="U185" i="1"/>
  <c r="T185" i="1"/>
  <c r="S185" i="1"/>
  <c r="R185" i="1"/>
  <c r="S179" i="1"/>
  <c r="T179" i="1"/>
  <c r="U179" i="1"/>
  <c r="V179" i="1"/>
  <c r="R180" i="1"/>
  <c r="S180" i="1"/>
  <c r="T180" i="1"/>
  <c r="U180" i="1"/>
  <c r="S181" i="1"/>
  <c r="U181" i="1"/>
  <c r="V181" i="1"/>
  <c r="V178" i="1"/>
  <c r="U178" i="1"/>
  <c r="T178" i="1"/>
  <c r="S178" i="1"/>
  <c r="R178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4" i="1"/>
  <c r="S164" i="1"/>
  <c r="T164" i="1"/>
  <c r="U164" i="1"/>
  <c r="V164" i="1"/>
  <c r="R165" i="1"/>
  <c r="S165" i="1"/>
  <c r="T165" i="1"/>
  <c r="U165" i="1"/>
  <c r="V165" i="1"/>
  <c r="S166" i="1"/>
  <c r="T166" i="1"/>
  <c r="U166" i="1"/>
  <c r="V166" i="1"/>
  <c r="R167" i="1"/>
  <c r="U167" i="1"/>
  <c r="V167" i="1"/>
  <c r="R168" i="1"/>
  <c r="S168" i="1"/>
  <c r="T168" i="1"/>
  <c r="U168" i="1"/>
  <c r="V168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S175" i="1"/>
  <c r="U175" i="1"/>
  <c r="V175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5" i="1" l="1"/>
  <c r="K225" i="1"/>
  <c r="L217" i="1" s="1"/>
  <c r="H225" i="1"/>
  <c r="K210" i="1"/>
  <c r="H210" i="1"/>
  <c r="D210" i="1"/>
  <c r="L192" i="1"/>
  <c r="H181" i="1"/>
  <c r="O181" i="1"/>
  <c r="K181" i="1"/>
  <c r="O175" i="1"/>
  <c r="K175" i="1"/>
  <c r="L163" i="1" s="1"/>
  <c r="H175" i="1"/>
  <c r="D175" i="1"/>
  <c r="E163" i="1" s="1"/>
  <c r="O143" i="1"/>
  <c r="K143" i="1"/>
  <c r="H143" i="1"/>
  <c r="T143" i="1" s="1"/>
  <c r="H135" i="1"/>
  <c r="K135" i="1"/>
  <c r="L119" i="1" s="1"/>
  <c r="O101" i="1"/>
  <c r="K101" i="1"/>
  <c r="H101" i="1"/>
  <c r="D101" i="1"/>
  <c r="E97" i="1" s="1"/>
  <c r="O62" i="1"/>
  <c r="H62" i="1"/>
  <c r="O23" i="1"/>
  <c r="H23" i="1"/>
  <c r="E161" i="1" l="1"/>
  <c r="E44" i="1"/>
  <c r="L79" i="1"/>
  <c r="L97" i="1"/>
  <c r="L164" i="1"/>
  <c r="L44" i="1"/>
  <c r="L126" i="1"/>
  <c r="L118" i="1"/>
  <c r="B5" i="3"/>
  <c r="L193" i="1"/>
  <c r="L82" i="1"/>
  <c r="L96" i="1"/>
  <c r="L133" i="1"/>
  <c r="B4" i="3"/>
  <c r="L156" i="1"/>
  <c r="L161" i="1"/>
  <c r="L162" i="1"/>
  <c r="L169" i="1"/>
  <c r="L147" i="1"/>
  <c r="L197" i="1"/>
  <c r="L196" i="1"/>
  <c r="E71" i="1"/>
  <c r="B15" i="2"/>
  <c r="B5" i="2" s="1"/>
  <c r="L71" i="1"/>
  <c r="C15" i="2"/>
  <c r="C5" i="2" s="1"/>
  <c r="B18" i="2"/>
  <c r="B8" i="2" s="1"/>
  <c r="E169" i="1"/>
  <c r="E55" i="1"/>
  <c r="L55" i="1"/>
  <c r="L106" i="1"/>
  <c r="L109" i="1"/>
  <c r="E32" i="1"/>
  <c r="L32" i="1"/>
  <c r="L167" i="1"/>
  <c r="L168" i="1"/>
  <c r="L170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90" i="1"/>
  <c r="L191" i="1"/>
  <c r="L194" i="1"/>
  <c r="L195" i="1"/>
  <c r="L198" i="1"/>
  <c r="L199" i="1"/>
  <c r="L200" i="1"/>
  <c r="L127" i="1"/>
  <c r="L128" i="1"/>
  <c r="E81" i="1"/>
  <c r="E84" i="1"/>
  <c r="E168" i="1"/>
  <c r="E170" i="1"/>
  <c r="L91" i="1"/>
  <c r="L100" i="1"/>
  <c r="L81" i="1"/>
  <c r="E147" i="1"/>
  <c r="L111" i="1"/>
  <c r="L124" i="1"/>
  <c r="L189" i="1"/>
  <c r="E87" i="1"/>
  <c r="L87" i="1"/>
  <c r="L58" i="1"/>
  <c r="L37" i="1"/>
  <c r="L223" i="1"/>
  <c r="L224" i="1"/>
  <c r="E51" i="1"/>
  <c r="L50" i="1"/>
  <c r="L54" i="1"/>
  <c r="L51" i="1"/>
  <c r="L56" i="1"/>
  <c r="L105" i="1"/>
  <c r="L122" i="1"/>
  <c r="L171" i="1"/>
  <c r="L92" i="1"/>
  <c r="L68" i="1"/>
  <c r="L110" i="1"/>
  <c r="L26" i="1"/>
  <c r="T204" i="1"/>
  <c r="L98" i="1"/>
  <c r="E89" i="1"/>
  <c r="E98" i="1"/>
  <c r="T225" i="1"/>
  <c r="L89" i="1"/>
  <c r="T62" i="1"/>
  <c r="T181" i="1"/>
  <c r="R181" i="1"/>
  <c r="T101" i="1"/>
  <c r="T175" i="1"/>
  <c r="T23" i="1"/>
  <c r="R143" i="1"/>
  <c r="R225" i="1"/>
  <c r="T135" i="1"/>
  <c r="O205" i="1"/>
  <c r="O226" i="1" s="1"/>
  <c r="R175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4" i="1"/>
  <c r="H205" i="1"/>
  <c r="H226" i="1" s="1"/>
  <c r="J10" i="4"/>
  <c r="I12" i="4"/>
  <c r="H12" i="4"/>
  <c r="G12" i="4"/>
  <c r="F12" i="4"/>
  <c r="E12" i="4"/>
  <c r="C12" i="4"/>
  <c r="E221" i="1"/>
  <c r="L222" i="1"/>
  <c r="L221" i="1"/>
  <c r="L219" i="1"/>
  <c r="L218" i="1"/>
  <c r="L215" i="1"/>
  <c r="L214" i="1"/>
  <c r="L213" i="1"/>
  <c r="L208" i="1"/>
  <c r="E208" i="1"/>
  <c r="L186" i="1"/>
  <c r="L178" i="1"/>
  <c r="E180" i="1"/>
  <c r="E174" i="1"/>
  <c r="E171" i="1"/>
  <c r="L160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5" i="1"/>
  <c r="E19" i="1"/>
  <c r="L65" i="1"/>
  <c r="E69" i="1"/>
  <c r="E138" i="1"/>
  <c r="E146" i="1"/>
  <c r="E148" i="1"/>
  <c r="E149" i="1"/>
  <c r="E154" i="1"/>
  <c r="E155" i="1"/>
  <c r="E156" i="1"/>
  <c r="E157" i="1"/>
  <c r="E164" i="1"/>
  <c r="E167" i="1"/>
  <c r="E173" i="1"/>
  <c r="E12" i="1"/>
  <c r="E14" i="1"/>
  <c r="E17" i="1"/>
  <c r="E21" i="1"/>
  <c r="L30" i="1"/>
  <c r="L39" i="1"/>
  <c r="L46" i="1"/>
  <c r="K205" i="1"/>
  <c r="L140" i="1"/>
  <c r="E150" i="1"/>
  <c r="E151" i="1"/>
  <c r="E152" i="1"/>
  <c r="E153" i="1"/>
  <c r="E158" i="1"/>
  <c r="E159" i="1"/>
  <c r="E160" i="1"/>
  <c r="E162" i="1"/>
  <c r="E165" i="1"/>
  <c r="E166" i="1"/>
  <c r="E172" i="1"/>
  <c r="L185" i="1"/>
  <c r="L115" i="1"/>
  <c r="L114" i="1"/>
  <c r="L35" i="1"/>
  <c r="L47" i="1"/>
  <c r="E141" i="1"/>
  <c r="L173" i="1"/>
  <c r="L180" i="1"/>
  <c r="E216" i="1"/>
  <c r="E220" i="1"/>
  <c r="E224" i="1"/>
  <c r="D12" i="4"/>
  <c r="E107" i="1"/>
  <c r="L41" i="1"/>
  <c r="L31" i="1"/>
  <c r="L43" i="1"/>
  <c r="L149" i="1"/>
  <c r="L153" i="1"/>
  <c r="L157" i="1"/>
  <c r="E179" i="1"/>
  <c r="E189" i="1"/>
  <c r="E209" i="1"/>
  <c r="L216" i="1"/>
  <c r="L220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6" i="1"/>
  <c r="L172" i="1"/>
  <c r="L179" i="1"/>
  <c r="L209" i="1"/>
  <c r="R210" i="1"/>
  <c r="E215" i="1"/>
  <c r="E219" i="1"/>
  <c r="E223" i="1"/>
  <c r="E178" i="1"/>
  <c r="E186" i="1"/>
  <c r="E214" i="1"/>
  <c r="E218" i="1"/>
  <c r="E222" i="1"/>
  <c r="L48" i="1"/>
  <c r="L61" i="1"/>
  <c r="L27" i="1"/>
  <c r="L36" i="1"/>
  <c r="E185" i="1"/>
  <c r="E13" i="1"/>
  <c r="E16" i="1"/>
  <c r="L33" i="1"/>
  <c r="L45" i="1"/>
  <c r="E67" i="1"/>
  <c r="E72" i="1"/>
  <c r="E76" i="1"/>
  <c r="E80" i="1"/>
  <c r="E86" i="1"/>
  <c r="E92" i="1"/>
  <c r="L174" i="1"/>
  <c r="E213" i="1"/>
  <c r="E217" i="1"/>
  <c r="L125" i="1" l="1"/>
  <c r="L107" i="1"/>
  <c r="L112" i="1"/>
  <c r="L130" i="1"/>
  <c r="L113" i="1"/>
  <c r="K226" i="1"/>
  <c r="L23" i="1"/>
  <c r="L175" i="1"/>
  <c r="L62" i="1"/>
  <c r="L143" i="1"/>
  <c r="L101" i="1"/>
  <c r="L135" i="1"/>
  <c r="L204" i="1"/>
  <c r="L181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5" i="1"/>
  <c r="E134" i="1"/>
  <c r="E105" i="1"/>
  <c r="E117" i="1"/>
  <c r="E112" i="1"/>
  <c r="E131" i="1"/>
  <c r="E130" i="1"/>
  <c r="E125" i="1"/>
  <c r="E122" i="1"/>
  <c r="E135" i="1" l="1"/>
  <c r="R205" i="1"/>
  <c r="E62" i="1"/>
  <c r="E175" i="1"/>
  <c r="D226" i="1"/>
  <c r="E101" i="1"/>
  <c r="E23" i="1"/>
  <c r="E204" i="1"/>
  <c r="E143" i="1"/>
  <c r="E181" i="1"/>
</calcChain>
</file>

<file path=xl/sharedStrings.xml><?xml version="1.0" encoding="utf-8"?>
<sst xmlns="http://schemas.openxmlformats.org/spreadsheetml/2006/main" count="469" uniqueCount="296">
  <si>
    <t>% Change (Current from Previous)</t>
  </si>
  <si>
    <t>Difference</t>
  </si>
  <si>
    <t>S/N</t>
  </si>
  <si>
    <t>FUND</t>
  </si>
  <si>
    <t>FUND MANAGER</t>
  </si>
  <si>
    <t>NAV (N)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</si>
  <si>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</si>
  <si>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</si>
  <si>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</si>
  <si>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</si>
  <si>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</si>
  <si>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</si>
  <si>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</si>
  <si>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</si>
  <si>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</si>
  <si>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</si>
  <si>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</si>
  <si>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</si>
  <si>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</si>
  <si>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</si>
  <si>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</si>
  <si>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</si>
  <si>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</si>
  <si>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</si>
  <si>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</si>
  <si>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</si>
  <si>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</si>
  <si>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</si>
  <si>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</si>
  <si>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</si>
  <si>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</si>
  <si>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</si>
  <si>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</si>
  <si>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</si>
  <si>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</si>
  <si>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</si>
  <si>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</si>
  <si>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</si>
  <si>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</si>
  <si>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</si>
  <si>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</si>
  <si>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</si>
  <si>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</si>
  <si>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</si>
  <si>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</si>
  <si>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</si>
  <si>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</si>
  <si>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</si>
  <si>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</si>
  <si>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</si>
  <si>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</si>
  <si>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</si>
  <si>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</si>
  <si>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</si>
  <si>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</si>
  <si>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</si>
  <si>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</si>
  <si>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</si>
  <si>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</si>
  <si>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</si>
  <si>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</si>
  <si>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</si>
  <si>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</si>
  <si>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</si>
  <si>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</si>
  <si>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</si>
  <si>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</si>
  <si>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</si>
  <si>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</si>
  <si>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</si>
  <si>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</si>
  <si>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</si>
  <si>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</si>
  <si>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</si>
  <si>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</si>
  <si>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</si>
  <si>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</si>
  <si>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</si>
  <si>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</si>
  <si>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</si>
  <si>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</si>
  <si>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</si>
  <si>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</si>
  <si>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</si>
  <si>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</si>
  <si>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</si>
  <si>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</si>
  <si>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</si>
  <si>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</si>
  <si>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</si>
  <si>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</si>
  <si>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</si>
  <si>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</si>
  <si>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</si>
  <si>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</si>
  <si>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</si>
  <si>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</si>
  <si>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</si>
  <si>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</si>
  <si>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</si>
  <si>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</si>
  <si>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</si>
  <si>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</si>
  <si>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</si>
  <si>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</si>
  <si>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</si>
  <si>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</si>
  <si>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</si>
  <si>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</si>
  <si>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</si>
  <si>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</si>
  <si>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</si>
  <si>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</si>
  <si>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</si>
  <si>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</si>
  <si>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</si>
  <si>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</si>
  <si>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</si>
  <si>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</si>
  <si>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</si>
  <si>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</si>
  <si>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</si>
  <si>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</si>
  <si>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</si>
  <si>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</si>
  <si>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</si>
  <si>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</si>
  <si>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</si>
  <si>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</si>
  <si>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</si>
  <si>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</si>
  <si>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</si>
  <si>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</si>
  <si>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</si>
  <si>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</si>
  <si>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</si>
  <si>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</si>
  <si>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</si>
  <si>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</si>
  <si>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</si>
  <si>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</si>
  <si>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</si>
  <si>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</si>
  <si>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</si>
  <si>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</si>
  <si>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</si>
  <si>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</si>
  <si>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</si>
  <si>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</si>
  <si>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</si>
  <si>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</si>
  <si>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</si>
  <si>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</si>
  <si>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</si>
  <si>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</si>
  <si>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</si>
  <si>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</si>
  <si>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</si>
  <si>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</si>
  <si>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</si>
  <si>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</si>
  <si>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</si>
  <si>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</si>
  <si>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</si>
  <si>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</si>
  <si>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</si>
  <si>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</si>
  <si>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</si>
  <si>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</si>
  <si>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</si>
  <si>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</si>
  <si>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</si>
  <si>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</si>
  <si>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</si>
  <si>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</si>
  <si>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</si>
  <si>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</si>
  <si>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</si>
  <si>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</si>
  <si>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</si>
  <si>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</si>
  <si>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</si>
  <si>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</si>
  <si>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</si>
  <si>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</si>
  <si>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</si>
  <si>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</si>
  <si>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</si>
  <si>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</si>
  <si>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</si>
  <si>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</si>
  <si>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</si>
  <si>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</si>
  <si>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</si>
  <si>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</si>
  <si>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</si>
  <si>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</si>
  <si>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</si>
  <si>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</si>
  <si>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</si>
  <si>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</si>
  <si>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</si>
  <si>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</si>
  <si>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</si>
  <si>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</si>
  <si>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</si>
  <si>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</si>
  <si>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</si>
  <si>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</si>
  <si>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</si>
  <si>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</si>
  <si>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</si>
  <si>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</si>
  <si>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</si>
  <si>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</si>
  <si>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</si>
  <si>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</si>
  <si>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</si>
  <si>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</si>
  <si>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</si>
  <si>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</si>
  <si>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</si>
  <si>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</si>
  <si>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</si>
  <si>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</si>
  <si>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</si>
  <si>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</si>
  <si>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</si>
  <si>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</si>
  <si>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</si>
  <si>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</si>
  <si>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</si>
  <si>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</si>
  <si>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</si>
  <si>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</si>
  <si>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</si>
  <si>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</si>
  <si>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</si>
  <si>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</si>
  <si>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</si>
  <si>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</si>
  <si>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</si>
  <si>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</si>
  <si>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</si>
  <si>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</si>
  <si>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</si>
  <si>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</si>
  <si>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</si>
  <si>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</si>
  <si>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</si>
  <si>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</si>
  <si>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</si>
  <si>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</si>
  <si>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</si>
  <si>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</si>
  <si>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</si>
  <si>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</si>
  <si>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</si>
  <si>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</si>
  <si>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</si>
  <si>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</si>
  <si>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</si>
  <si>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</si>
  <si>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</si>
  <si>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</si>
  <si>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</si>
  <si>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</si>
  <si>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</si>
  <si>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</si>
  <si>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</si>
  <si>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</si>
  <si>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</si>
  <si>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</si>
  <si>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</si>
  <si>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</si>
  <si>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</si>
  <si>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</si>
  <si>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</si>
  <si>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</si>
  <si>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</si>
  <si>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</si>
  <si>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</si>
  <si>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BALANCED</t>
  </si>
  <si>
    <t>Lotus Waqf (Endowment) Fund</t>
  </si>
  <si>
    <t>GTI  Money Market Fund</t>
  </si>
  <si>
    <t>United Capital Stable Income Fund</t>
  </si>
  <si>
    <t>NAV, Unit Price and Yield as at Week Ended September 6, 2024</t>
  </si>
  <si>
    <t>Hillcrest Balanced Fund</t>
  </si>
  <si>
    <t>Hillcrest Capital Management Limited</t>
  </si>
  <si>
    <t>% to Total</t>
  </si>
  <si>
    <t>Week Ended September 6, 2024</t>
  </si>
  <si>
    <t>WEEKLY VALUATION REPORT OF COLLECTIVE INVESTMENT SCHEMES AS AT WEEK ENDED FRIDAY, SEPTEMBER 13,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</si>
  <si>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13th September, 2024 = N1,609.355</t>
    </r>
  </si>
  <si>
    <t>Week Ended September 13, 2024</t>
  </si>
  <si>
    <t>The chart above shows that the Dollar Fund category (Eurobonds and Fixed Income) has the highest share of the Aggregate Net Asset Value (NAV) at 48.32%, followed by Money Market Fund with 38.64%, Bond/Fixed Income Fund at 6.31%, Real Estate Investment Trust at 2.82%.  Next is Shari'ah Compliant Fund at 1.49%, Balanced Fund at 1.47%, Equity Fund at 0.80% and Ethical Fund at 0.15%.</t>
  </si>
  <si>
    <t>NAV, Unit Price and Yield as at Week Ended September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</si>
</sst>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5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164" fontId="12" fillId="3" borderId="0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53" fillId="3" borderId="5" xfId="0" applyNumberFormat="1" applyFont="1" applyFill="1" applyBorder="1"/>
    <xf numFmtId="164" fontId="53" fillId="3" borderId="5" xfId="1" applyFont="1" applyFill="1" applyBorder="1" applyAlignment="1">
      <alignment horizontal="right" vertical="top" wrapText="1"/>
    </xf>
    <xf numFmtId="4" fontId="53" fillId="3" borderId="5" xfId="0" applyNumberFormat="1" applyFont="1" applyFill="1" applyBorder="1" applyAlignment="1">
      <alignment horizontal="right"/>
    </xf>
    <xf numFmtId="16" fontId="52" fillId="3" borderId="5" xfId="0" applyNumberFormat="1" applyFont="1" applyFill="1" applyBorder="1" applyAlignment="1">
      <alignment horizontal="center" wrapText="1"/>
    </xf>
    <xf numFmtId="0" fontId="52" fillId="0" borderId="5" xfId="0" applyFont="1" applyBorder="1" applyAlignment="1">
      <alignment horizontal="right" wrapText="1"/>
    </xf>
    <xf numFmtId="0" fontId="52" fillId="0" borderId="0" xfId="0" applyFont="1" applyAlignment="1">
      <alignment horizontal="right"/>
    </xf>
    <xf numFmtId="4" fontId="53" fillId="3" borderId="0" xfId="0" applyNumberFormat="1" applyFont="1" applyFill="1"/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3" fillId="3" borderId="0" xfId="0" applyNumberFormat="1" applyFont="1" applyFill="1" applyAlignment="1">
      <alignment horizontal="right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4" fontId="6" fillId="0" borderId="5" xfId="0" applyNumberFormat="1" applyFont="1" applyBorder="1" applyAlignment="1">
      <alignment wrapText="1"/>
    </xf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27.785128483915297</c:v>
                </c:pt>
                <c:pt idx="1">
                  <c:v>1307.6229551246593</c:v>
                </c:pt>
                <c:pt idx="2">
                  <c:v>218.5205205612252</c:v>
                </c:pt>
                <c:pt idx="3">
                  <c:v>1642.4826183090815</c:v>
                </c:pt>
                <c:pt idx="4">
                  <c:v>97.137104575276979</c:v>
                </c:pt>
                <c:pt idx="5" formatCode="_-* #,##0.00_-;\-* #,##0.00_-;_-* &quot;-&quot;??_-;_-@_-">
                  <c:v>50.358393707296287</c:v>
                </c:pt>
                <c:pt idx="6">
                  <c:v>5.2914806109799999</c:v>
                </c:pt>
                <c:pt idx="7">
                  <c:v>51.554659950165174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13,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27.732432482203997</c:v>
                </c:pt>
                <c:pt idx="1">
                  <c:v>1334.2851216017298</c:v>
                </c:pt>
                <c:pt idx="2">
                  <c:v>218.02772577340812</c:v>
                </c:pt>
                <c:pt idx="3">
                  <c:v>1668.2302494912401</c:v>
                </c:pt>
                <c:pt idx="4">
                  <c:v>97.204373692430323</c:v>
                </c:pt>
                <c:pt idx="5" formatCode="_-* #,##0.00_-;\-* #,##0.00_-;_-* &quot;-&quot;??_-;_-@_-">
                  <c:v>50.669138356323991</c:v>
                </c:pt>
                <c:pt idx="6">
                  <c:v>5.3331586472600003</c:v>
                </c:pt>
                <c:pt idx="7">
                  <c:v>51.328033417638181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SEPTEMBER,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5333158647.2600002</c:v>
                </c:pt>
                <c:pt idx="1">
                  <c:v>27732432482.203999</c:v>
                </c:pt>
                <c:pt idx="2" formatCode="_-* #,##0.00_-;\-* #,##0.00_-;_-* &quot;-&quot;??_-;_-@_-">
                  <c:v>50669138356.32399</c:v>
                </c:pt>
                <c:pt idx="3">
                  <c:v>51328033417.638184</c:v>
                </c:pt>
                <c:pt idx="4">
                  <c:v>97204373692.430328</c:v>
                </c:pt>
                <c:pt idx="5">
                  <c:v>218027725773.40811</c:v>
                </c:pt>
                <c:pt idx="6">
                  <c:v>1334285121601.7297</c:v>
                </c:pt>
                <c:pt idx="7">
                  <c:v>1668230249491.24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45499</c:v>
                </c:pt>
                <c:pt idx="1">
                  <c:v>45506</c:v>
                </c:pt>
                <c:pt idx="2">
                  <c:v>45513</c:v>
                </c:pt>
                <c:pt idx="3">
                  <c:v>45520</c:v>
                </c:pt>
                <c:pt idx="4">
                  <c:v>45527</c:v>
                </c:pt>
                <c:pt idx="5">
                  <c:v>45534</c:v>
                </c:pt>
                <c:pt idx="6">
                  <c:v>45541</c:v>
                </c:pt>
                <c:pt idx="7">
                  <c:v>45548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3212.3863205334346</c:v>
                </c:pt>
                <c:pt idx="1">
                  <c:v>3251.4108261292827</c:v>
                </c:pt>
                <c:pt idx="2">
                  <c:v>3244.6913921078954</c:v>
                </c:pt>
                <c:pt idx="3">
                  <c:v>3279.8332952209639</c:v>
                </c:pt>
                <c:pt idx="4">
                  <c:v>3320.1554533474555</c:v>
                </c:pt>
                <c:pt idx="5">
                  <c:v>3346.0742802577015</c:v>
                </c:pt>
                <c:pt idx="6">
                  <c:v>3400.7528613225991</c:v>
                </c:pt>
                <c:pt idx="7">
                  <c:v>3452.8102334622345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45499</c:v>
                </c:pt>
                <c:pt idx="1">
                  <c:v>45506</c:v>
                </c:pt>
                <c:pt idx="2">
                  <c:v>45513</c:v>
                </c:pt>
                <c:pt idx="3">
                  <c:v>45520</c:v>
                </c:pt>
                <c:pt idx="4">
                  <c:v>45527</c:v>
                </c:pt>
                <c:pt idx="5">
                  <c:v>45534</c:v>
                </c:pt>
                <c:pt idx="6">
                  <c:v>45541</c:v>
                </c:pt>
                <c:pt idx="7">
                  <c:v>45548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12.157713481032657</c:v>
                </c:pt>
                <c:pt idx="1">
                  <c:v>12.159294190102655</c:v>
                </c:pt>
                <c:pt idx="2">
                  <c:v>12.203531382445654</c:v>
                </c:pt>
                <c:pt idx="3">
                  <c:v>12.119077784973646</c:v>
                </c:pt>
                <c:pt idx="4">
                  <c:v>12.021932386157646</c:v>
                </c:pt>
                <c:pt idx="5">
                  <c:v>12.190662825377647</c:v>
                </c:pt>
                <c:pt idx="6">
                  <c:v>12.168273401887646</c:v>
                </c:pt>
                <c:pt idx="7">
                  <c:v>12.348780151517646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567690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4" t="s">
        <v>291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5" ht="15" customHeight="1">
      <c r="A2" s="1"/>
      <c r="B2" s="1"/>
      <c r="C2" s="1"/>
      <c r="D2" s="180" t="s">
        <v>286</v>
      </c>
      <c r="E2" s="181"/>
      <c r="F2" s="181"/>
      <c r="G2" s="181"/>
      <c r="H2" s="181"/>
      <c r="I2" s="181"/>
      <c r="J2" s="182"/>
      <c r="K2" s="180" t="s">
        <v>295</v>
      </c>
      <c r="L2" s="181"/>
      <c r="M2" s="181"/>
      <c r="N2" s="181"/>
      <c r="O2" s="181"/>
      <c r="P2" s="181"/>
      <c r="Q2" s="182"/>
      <c r="R2" s="180" t="s">
        <v>0</v>
      </c>
      <c r="S2" s="181"/>
      <c r="T2" s="182"/>
      <c r="U2" s="178" t="s">
        <v>1</v>
      </c>
      <c r="V2" s="178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289</v>
      </c>
      <c r="F3" s="74" t="s">
        <v>6</v>
      </c>
      <c r="G3" s="74" t="s">
        <v>7</v>
      </c>
      <c r="H3" s="74" t="s">
        <v>226</v>
      </c>
      <c r="I3" s="74" t="s">
        <v>8</v>
      </c>
      <c r="J3" s="74" t="s">
        <v>9</v>
      </c>
      <c r="K3" s="75" t="s">
        <v>5</v>
      </c>
      <c r="L3" s="74" t="s">
        <v>289</v>
      </c>
      <c r="M3" s="74" t="s">
        <v>6</v>
      </c>
      <c r="N3" s="74" t="s">
        <v>7</v>
      </c>
      <c r="O3" s="74" t="s">
        <v>226</v>
      </c>
      <c r="P3" s="74" t="s">
        <v>8</v>
      </c>
      <c r="Q3" s="74" t="s">
        <v>9</v>
      </c>
      <c r="R3" s="73" t="s">
        <v>10</v>
      </c>
      <c r="S3" s="74" t="s">
        <v>11</v>
      </c>
      <c r="T3" s="74" t="s">
        <v>232</v>
      </c>
      <c r="U3" s="74" t="s">
        <v>12</v>
      </c>
      <c r="V3" s="74" t="s">
        <v>13</v>
      </c>
    </row>
    <row r="4" spans="1:25" ht="7.5" customHeight="1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5" ht="15" customHeight="1">
      <c r="A5" s="168" t="s">
        <v>14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spans="1:25">
      <c r="A6" s="157">
        <v>1</v>
      </c>
      <c r="B6" s="131" t="s">
        <v>15</v>
      </c>
      <c r="C6" s="132" t="s">
        <v>16</v>
      </c>
      <c r="D6" s="2">
        <v>1042560440.45</v>
      </c>
      <c r="E6" s="3">
        <f t="shared" ref="E6:E22" si="0">(D6/$D$23)</f>
        <v>3.7522246515920711E-2</v>
      </c>
      <c r="F6" s="8">
        <v>333.24790000000002</v>
      </c>
      <c r="G6" s="8">
        <v>333.24790000000002</v>
      </c>
      <c r="H6" s="58">
        <v>1743</v>
      </c>
      <c r="I6" s="5">
        <v>-5.5999999999999999E-3</v>
      </c>
      <c r="J6" s="5">
        <v>0.1113</v>
      </c>
      <c r="K6" s="2">
        <v>1073692216.1799999</v>
      </c>
      <c r="L6" s="3">
        <f>(K6/$K$23)</f>
        <v>3.8716121164957026E-2</v>
      </c>
      <c r="M6" s="8">
        <v>343.91199999999998</v>
      </c>
      <c r="N6" s="8">
        <v>343.91199999999998</v>
      </c>
      <c r="O6" s="58">
        <v>1743</v>
      </c>
      <c r="P6" s="5">
        <v>3.2000000000000001E-2</v>
      </c>
      <c r="Q6" s="5">
        <v>0.1457</v>
      </c>
      <c r="R6" s="76">
        <f>((K6-D6)/D6)</f>
        <v>2.9860883381075249E-2</v>
      </c>
      <c r="S6" s="76">
        <f>((N6-G6)/G6)</f>
        <v>3.2000501728592923E-2</v>
      </c>
      <c r="T6" s="76">
        <f>((O6-H6)/H6)</f>
        <v>0</v>
      </c>
      <c r="U6" s="77">
        <f>P6-I6</f>
        <v>3.7600000000000001E-2</v>
      </c>
      <c r="V6" s="79">
        <f>Q6-J6</f>
        <v>3.44E-2</v>
      </c>
    </row>
    <row r="7" spans="1:25">
      <c r="A7" s="166">
        <v>2</v>
      </c>
      <c r="B7" s="131" t="s">
        <v>17</v>
      </c>
      <c r="C7" s="132" t="s">
        <v>18</v>
      </c>
      <c r="D7" s="4">
        <v>587962535.91999996</v>
      </c>
      <c r="E7" s="3">
        <f t="shared" si="0"/>
        <v>2.1161051540948213E-2</v>
      </c>
      <c r="F7" s="4">
        <v>218.56870000000001</v>
      </c>
      <c r="G7" s="4">
        <v>220.99449999999999</v>
      </c>
      <c r="H7" s="58">
        <v>450</v>
      </c>
      <c r="I7" s="5">
        <v>3.9899999999999999E-4</v>
      </c>
      <c r="J7" s="5">
        <v>0.1298</v>
      </c>
      <c r="K7" s="4">
        <v>598450839.88</v>
      </c>
      <c r="L7" s="3">
        <f t="shared" ref="L7:L22" si="1">(K7/$K$23)</f>
        <v>2.157945720282662E-2</v>
      </c>
      <c r="M7" s="4">
        <v>222.65039999999999</v>
      </c>
      <c r="N7" s="4">
        <v>225.1788</v>
      </c>
      <c r="O7" s="58">
        <v>450</v>
      </c>
      <c r="P7" s="5">
        <v>8.2789999999999999E-3</v>
      </c>
      <c r="Q7" s="5">
        <v>0.15090000000000001</v>
      </c>
      <c r="R7" s="76">
        <f t="shared" ref="R7:R23" si="2">((K7-D7)/D7)</f>
        <v>1.7838388195242274E-2</v>
      </c>
      <c r="S7" s="76">
        <f t="shared" ref="S7:S23" si="3">((N7-G7)/G7)</f>
        <v>1.8933955369930054E-2</v>
      </c>
      <c r="T7" s="76">
        <f t="shared" ref="T7:T23" si="4">((O7-H7)/H7)</f>
        <v>0</v>
      </c>
      <c r="U7" s="77">
        <f t="shared" ref="U7:U23" si="5">P7-I7</f>
        <v>7.8799999999999999E-3</v>
      </c>
      <c r="V7" s="79">
        <f t="shared" ref="V7:V23" si="6">Q7-J7</f>
        <v>2.1100000000000008E-2</v>
      </c>
    </row>
    <row r="8" spans="1:25">
      <c r="A8" s="162">
        <v>3</v>
      </c>
      <c r="B8" s="131" t="s">
        <v>19</v>
      </c>
      <c r="C8" s="132" t="s">
        <v>20</v>
      </c>
      <c r="D8" s="4">
        <v>3650646977.8400002</v>
      </c>
      <c r="E8" s="3">
        <f t="shared" si="0"/>
        <v>0.13138852245917615</v>
      </c>
      <c r="F8" s="4">
        <v>33.032499999999999</v>
      </c>
      <c r="G8" s="4">
        <v>34.028500000000001</v>
      </c>
      <c r="H8" s="60">
        <v>6590</v>
      </c>
      <c r="I8" s="6">
        <v>-0.1203</v>
      </c>
      <c r="J8" s="6">
        <v>0.11899999999999999</v>
      </c>
      <c r="K8" s="4">
        <v>3691169515.6500001</v>
      </c>
      <c r="L8" s="3">
        <f t="shared" si="1"/>
        <v>0.13309937806640787</v>
      </c>
      <c r="M8" s="4">
        <v>33.368099999999998</v>
      </c>
      <c r="N8" s="4">
        <v>34.374200000000002</v>
      </c>
      <c r="O8" s="60">
        <v>6590</v>
      </c>
      <c r="P8" s="6">
        <v>0.13139999999999999</v>
      </c>
      <c r="Q8" s="6">
        <v>0.53120000000000001</v>
      </c>
      <c r="R8" s="76">
        <f t="shared" si="2"/>
        <v>1.1100097614471656E-2</v>
      </c>
      <c r="S8" s="76">
        <f t="shared" si="3"/>
        <v>1.0159131316396572E-2</v>
      </c>
      <c r="T8" s="76">
        <f t="shared" si="4"/>
        <v>0</v>
      </c>
      <c r="U8" s="77">
        <f t="shared" si="5"/>
        <v>0.25169999999999998</v>
      </c>
      <c r="V8" s="79">
        <f t="shared" si="6"/>
        <v>0.41220000000000001</v>
      </c>
      <c r="X8" s="98"/>
      <c r="Y8" s="98"/>
    </row>
    <row r="9" spans="1:25">
      <c r="A9" s="161">
        <v>4</v>
      </c>
      <c r="B9" s="131" t="s">
        <v>21</v>
      </c>
      <c r="C9" s="132" t="s">
        <v>22</v>
      </c>
      <c r="D9" s="4">
        <v>540031344.46000004</v>
      </c>
      <c r="E9" s="3">
        <f t="shared" si="0"/>
        <v>1.9435985144809462E-2</v>
      </c>
      <c r="F9" s="4">
        <v>196.03049999999999</v>
      </c>
      <c r="G9" s="4">
        <v>196.03049999999999</v>
      </c>
      <c r="H9" s="58">
        <v>1778</v>
      </c>
      <c r="I9" s="5">
        <v>-1.7553132982169872E-3</v>
      </c>
      <c r="J9" s="5">
        <v>0.14059884073286533</v>
      </c>
      <c r="K9" s="4">
        <v>541190529.88999999</v>
      </c>
      <c r="L9" s="3">
        <f t="shared" si="1"/>
        <v>1.9514715495558634E-2</v>
      </c>
      <c r="M9" s="4">
        <v>200.14920000000001</v>
      </c>
      <c r="N9" s="4">
        <v>200.14920000000001</v>
      </c>
      <c r="O9" s="58">
        <v>1776</v>
      </c>
      <c r="P9" s="5">
        <v>2.1000000000000001E-2</v>
      </c>
      <c r="Q9" s="5">
        <v>0.1608</v>
      </c>
      <c r="R9" s="76">
        <f t="shared" si="2"/>
        <v>2.1465150900806798E-3</v>
      </c>
      <c r="S9" s="76">
        <f t="shared" si="3"/>
        <v>2.1010506018196241E-2</v>
      </c>
      <c r="T9" s="76">
        <f t="shared" si="4"/>
        <v>-1.1248593925759281E-3</v>
      </c>
      <c r="U9" s="77">
        <f t="shared" si="5"/>
        <v>2.2755313298216989E-2</v>
      </c>
      <c r="V9" s="79">
        <f t="shared" si="6"/>
        <v>2.0201159267134672E-2</v>
      </c>
    </row>
    <row r="10" spans="1:25">
      <c r="A10" s="165">
        <v>5</v>
      </c>
      <c r="B10" s="131" t="s">
        <v>263</v>
      </c>
      <c r="C10" s="132" t="s">
        <v>98</v>
      </c>
      <c r="D10" s="4">
        <v>575379698.98000002</v>
      </c>
      <c r="E10" s="3">
        <f t="shared" si="0"/>
        <v>2.0708189249982595E-2</v>
      </c>
      <c r="F10" s="4">
        <v>0.92049999999999998</v>
      </c>
      <c r="G10" s="4">
        <v>0.92910000000000004</v>
      </c>
      <c r="H10" s="58">
        <v>529</v>
      </c>
      <c r="I10" s="5">
        <v>-4.7000000000000002E-3</v>
      </c>
      <c r="J10" s="5">
        <v>-5.04E-2</v>
      </c>
      <c r="K10" s="4">
        <v>579784498.02999997</v>
      </c>
      <c r="L10" s="3">
        <f t="shared" si="1"/>
        <v>2.0906370128262269E-2</v>
      </c>
      <c r="M10" s="4">
        <v>0.92420000000000002</v>
      </c>
      <c r="N10" s="4">
        <v>0.93110000000000004</v>
      </c>
      <c r="O10" s="58">
        <v>528</v>
      </c>
      <c r="P10" s="5">
        <v>7.7000000000000002E-3</v>
      </c>
      <c r="Q10" s="5">
        <v>-3.8899999999999997E-2</v>
      </c>
      <c r="R10" s="76">
        <f>((K10-D10)/D10)</f>
        <v>7.6554648309777465E-3</v>
      </c>
      <c r="S10" s="76">
        <f>((N10-G10)/G10)</f>
        <v>2.152620815843291E-3</v>
      </c>
      <c r="T10" s="76">
        <f>((O10-H10)/H10)</f>
        <v>-1.890359168241966E-3</v>
      </c>
      <c r="U10" s="77">
        <f>P10-I10</f>
        <v>1.2400000000000001E-2</v>
      </c>
      <c r="V10" s="79">
        <f>Q10-J10</f>
        <v>1.1500000000000003E-2</v>
      </c>
    </row>
    <row r="11" spans="1:25">
      <c r="A11" s="161">
        <v>6</v>
      </c>
      <c r="B11" s="131" t="s">
        <v>23</v>
      </c>
      <c r="C11" s="132" t="s">
        <v>24</v>
      </c>
      <c r="D11" s="7">
        <v>89172229.849999994</v>
      </c>
      <c r="E11" s="3">
        <f t="shared" si="0"/>
        <v>3.2093509987409794E-3</v>
      </c>
      <c r="F11" s="4">
        <v>160.20930000000001</v>
      </c>
      <c r="G11" s="4">
        <v>160.8151</v>
      </c>
      <c r="H11" s="60">
        <v>95</v>
      </c>
      <c r="I11" s="6">
        <v>3.1700000000000001E-4</v>
      </c>
      <c r="J11" s="6">
        <v>0.20849999999999999</v>
      </c>
      <c r="K11" s="7">
        <v>90291314.060000002</v>
      </c>
      <c r="L11" s="3">
        <f t="shared" si="1"/>
        <v>3.2558021773942932E-3</v>
      </c>
      <c r="M11" s="4">
        <v>160.8151</v>
      </c>
      <c r="N11" s="4">
        <v>162.20070000000001</v>
      </c>
      <c r="O11" s="60">
        <v>96</v>
      </c>
      <c r="P11" s="6">
        <v>2.663E-3</v>
      </c>
      <c r="Q11" s="6">
        <v>0.17949999999999999</v>
      </c>
      <c r="R11" s="76">
        <f t="shared" si="2"/>
        <v>1.2549694135522489E-2</v>
      </c>
      <c r="S11" s="76">
        <f t="shared" si="3"/>
        <v>8.616106323349056E-3</v>
      </c>
      <c r="T11" s="76">
        <f t="shared" si="4"/>
        <v>1.0526315789473684E-2</v>
      </c>
      <c r="U11" s="77">
        <f t="shared" si="5"/>
        <v>2.346E-3</v>
      </c>
      <c r="V11" s="79">
        <f t="shared" si="6"/>
        <v>-2.8999999999999998E-2</v>
      </c>
    </row>
    <row r="12" spans="1:25">
      <c r="A12" s="157">
        <v>7</v>
      </c>
      <c r="B12" s="131" t="s">
        <v>25</v>
      </c>
      <c r="C12" s="132" t="s">
        <v>26</v>
      </c>
      <c r="D12" s="4">
        <v>1106031640.25</v>
      </c>
      <c r="E12" s="3">
        <f t="shared" si="0"/>
        <v>3.980660520933986E-2</v>
      </c>
      <c r="F12" s="4">
        <v>313.58999999999997</v>
      </c>
      <c r="G12" s="4">
        <v>317.99</v>
      </c>
      <c r="H12" s="60">
        <v>1619</v>
      </c>
      <c r="I12" s="6">
        <v>-4.0000000000000001E-3</v>
      </c>
      <c r="J12" s="6">
        <v>0.26100000000000001</v>
      </c>
      <c r="K12" s="4">
        <v>1112697119.79</v>
      </c>
      <c r="L12" s="3">
        <f t="shared" si="1"/>
        <v>4.0122593663719244E-2</v>
      </c>
      <c r="M12" s="4">
        <v>317.52</v>
      </c>
      <c r="N12" s="4">
        <v>322.01</v>
      </c>
      <c r="O12" s="60">
        <v>1619</v>
      </c>
      <c r="P12" s="6">
        <v>1.26E-2</v>
      </c>
      <c r="Q12" s="6">
        <v>0.27679999999999999</v>
      </c>
      <c r="R12" s="76">
        <f t="shared" si="2"/>
        <v>6.0264817907861494E-3</v>
      </c>
      <c r="S12" s="76">
        <f t="shared" si="3"/>
        <v>1.2641906978206805E-2</v>
      </c>
      <c r="T12" s="76">
        <f t="shared" si="4"/>
        <v>0</v>
      </c>
      <c r="U12" s="77">
        <f t="shared" si="5"/>
        <v>1.66E-2</v>
      </c>
      <c r="V12" s="79">
        <f t="shared" si="6"/>
        <v>1.5799999999999981E-2</v>
      </c>
    </row>
    <row r="13" spans="1:25">
      <c r="A13" s="165">
        <v>8</v>
      </c>
      <c r="B13" s="131" t="s">
        <v>27</v>
      </c>
      <c r="C13" s="132" t="s">
        <v>28</v>
      </c>
      <c r="D13" s="2">
        <v>355673427.93000001</v>
      </c>
      <c r="E13" s="3">
        <f t="shared" si="0"/>
        <v>1.2800855973579462E-2</v>
      </c>
      <c r="F13" s="4">
        <v>178.77</v>
      </c>
      <c r="G13" s="4">
        <v>184.59</v>
      </c>
      <c r="H13" s="58">
        <v>2465</v>
      </c>
      <c r="I13" s="5">
        <v>3.0000000000000001E-3</v>
      </c>
      <c r="J13" s="5">
        <v>6.54E-2</v>
      </c>
      <c r="K13" s="2">
        <v>364774257.89999998</v>
      </c>
      <c r="L13" s="3">
        <f t="shared" si="1"/>
        <v>1.3153345208144901E-2</v>
      </c>
      <c r="M13" s="4">
        <v>183.35</v>
      </c>
      <c r="N13" s="4">
        <v>189.49</v>
      </c>
      <c r="O13" s="58">
        <v>2465</v>
      </c>
      <c r="P13" s="5">
        <v>2.5600000000000001E-2</v>
      </c>
      <c r="Q13" s="5">
        <v>9.2730000000000007E-2</v>
      </c>
      <c r="R13" s="76">
        <f t="shared" si="2"/>
        <v>2.5587601589936882E-2</v>
      </c>
      <c r="S13" s="76">
        <f t="shared" si="3"/>
        <v>2.6545316647705756E-2</v>
      </c>
      <c r="T13" s="76">
        <f t="shared" si="4"/>
        <v>0</v>
      </c>
      <c r="U13" s="77">
        <f t="shared" si="5"/>
        <v>2.2600000000000002E-2</v>
      </c>
      <c r="V13" s="79">
        <f t="shared" si="6"/>
        <v>2.7330000000000007E-2</v>
      </c>
    </row>
    <row r="14" spans="1:25">
      <c r="A14" s="166">
        <v>9</v>
      </c>
      <c r="B14" s="131" t="s">
        <v>29</v>
      </c>
      <c r="C14" s="132" t="s">
        <v>30</v>
      </c>
      <c r="D14" s="7">
        <v>56126881.805299997</v>
      </c>
      <c r="E14" s="3">
        <f t="shared" si="0"/>
        <v>2.0200331928568057E-3</v>
      </c>
      <c r="F14" s="4">
        <v>200.09750750000001</v>
      </c>
      <c r="G14" s="4">
        <v>205.37814169999999</v>
      </c>
      <c r="H14" s="58">
        <v>15</v>
      </c>
      <c r="I14" s="5">
        <v>-4.7999999999999996E-3</v>
      </c>
      <c r="J14" s="5">
        <v>0.1077</v>
      </c>
      <c r="K14" s="7">
        <v>56782330.403999999</v>
      </c>
      <c r="L14" s="3">
        <f t="shared" si="1"/>
        <v>2.0475063065757909E-3</v>
      </c>
      <c r="M14" s="4">
        <v>202.41969589999999</v>
      </c>
      <c r="N14" s="4">
        <v>207.7889342</v>
      </c>
      <c r="O14" s="58">
        <v>15</v>
      </c>
      <c r="P14" s="5">
        <v>1.17E-2</v>
      </c>
      <c r="Q14" s="5">
        <v>0.1206</v>
      </c>
      <c r="R14" s="76">
        <f t="shared" si="2"/>
        <v>1.1677979920097906E-2</v>
      </c>
      <c r="S14" s="76">
        <f t="shared" si="3"/>
        <v>1.1738311000600576E-2</v>
      </c>
      <c r="T14" s="76">
        <f t="shared" si="4"/>
        <v>0</v>
      </c>
      <c r="U14" s="77">
        <f t="shared" si="5"/>
        <v>1.6500000000000001E-2</v>
      </c>
      <c r="V14" s="79">
        <f t="shared" si="6"/>
        <v>1.2899999999999995E-2</v>
      </c>
    </row>
    <row r="15" spans="1:25" ht="14.25" customHeight="1">
      <c r="A15" s="157">
        <v>10</v>
      </c>
      <c r="B15" s="131" t="s">
        <v>235</v>
      </c>
      <c r="C15" s="132" t="s">
        <v>31</v>
      </c>
      <c r="D15" s="2">
        <v>570132755.88</v>
      </c>
      <c r="E15" s="3">
        <f t="shared" si="0"/>
        <v>2.0519349270241728E-2</v>
      </c>
      <c r="F15" s="4">
        <v>1.940898</v>
      </c>
      <c r="G15" s="4">
        <v>1.961776</v>
      </c>
      <c r="H15" s="58">
        <v>456</v>
      </c>
      <c r="I15" s="5">
        <v>-5.8392446674404574E-4</v>
      </c>
      <c r="J15" s="5">
        <v>0.14527526995928475</v>
      </c>
      <c r="K15" s="2">
        <v>580789275.28999996</v>
      </c>
      <c r="L15" s="3">
        <f t="shared" si="1"/>
        <v>2.0942601254422759E-2</v>
      </c>
      <c r="M15" s="4">
        <v>1.9747509999999999</v>
      </c>
      <c r="N15" s="4">
        <v>1.9966489999999999</v>
      </c>
      <c r="O15" s="58">
        <v>457</v>
      </c>
      <c r="P15" s="5">
        <v>1.7441926366042804E-2</v>
      </c>
      <c r="Q15" s="5">
        <v>0.16525107688676455</v>
      </c>
      <c r="R15" s="76">
        <f t="shared" si="2"/>
        <v>1.8691294790722256E-2</v>
      </c>
      <c r="S15" s="76">
        <f t="shared" si="3"/>
        <v>1.7776239489115952E-2</v>
      </c>
      <c r="T15" s="76">
        <f t="shared" si="4"/>
        <v>2.1929824561403508E-3</v>
      </c>
      <c r="U15" s="77">
        <f t="shared" si="5"/>
        <v>1.8025850832786849E-2</v>
      </c>
      <c r="V15" s="79">
        <f t="shared" si="6"/>
        <v>1.99758069274798E-2</v>
      </c>
    </row>
    <row r="16" spans="1:25">
      <c r="A16" s="161">
        <v>11</v>
      </c>
      <c r="B16" s="131" t="s">
        <v>32</v>
      </c>
      <c r="C16" s="132" t="s">
        <v>33</v>
      </c>
      <c r="D16" s="2">
        <v>1537130939.8199999</v>
      </c>
      <c r="E16" s="3">
        <f t="shared" si="0"/>
        <v>5.5322074206345273E-2</v>
      </c>
      <c r="F16" s="4">
        <v>3.13</v>
      </c>
      <c r="G16" s="4">
        <v>3.19</v>
      </c>
      <c r="H16" s="58">
        <v>3664</v>
      </c>
      <c r="I16" s="5">
        <v>-5.4800000000000001E-2</v>
      </c>
      <c r="J16" s="5">
        <v>0.1295</v>
      </c>
      <c r="K16" s="2">
        <v>1623766703.5</v>
      </c>
      <c r="L16" s="3">
        <f t="shared" si="1"/>
        <v>5.8551182069657141E-2</v>
      </c>
      <c r="M16" s="4">
        <v>3.31</v>
      </c>
      <c r="N16" s="4">
        <v>3.37</v>
      </c>
      <c r="O16" s="58">
        <v>3663</v>
      </c>
      <c r="P16" s="5">
        <v>4.6899999999999997E-2</v>
      </c>
      <c r="Q16" s="5">
        <v>0.19320000000000001</v>
      </c>
      <c r="R16" s="76">
        <f t="shared" si="2"/>
        <v>5.6361993266588743E-2</v>
      </c>
      <c r="S16" s="76">
        <f t="shared" si="3"/>
        <v>5.6426332288401305E-2</v>
      </c>
      <c r="T16" s="76">
        <f t="shared" si="4"/>
        <v>-2.7292576419213972E-4</v>
      </c>
      <c r="U16" s="77">
        <f t="shared" si="5"/>
        <v>0.1017</v>
      </c>
      <c r="V16" s="79">
        <f t="shared" si="6"/>
        <v>6.3700000000000007E-2</v>
      </c>
    </row>
    <row r="17" spans="1:22">
      <c r="A17" s="162">
        <v>12</v>
      </c>
      <c r="B17" s="131" t="s">
        <v>34</v>
      </c>
      <c r="C17" s="132" t="s">
        <v>35</v>
      </c>
      <c r="D17" s="4">
        <v>589489869.38999999</v>
      </c>
      <c r="E17" s="3">
        <f t="shared" si="0"/>
        <v>2.1216020999552093E-2</v>
      </c>
      <c r="F17" s="4">
        <v>20.040032</v>
      </c>
      <c r="G17" s="4">
        <v>20.156212</v>
      </c>
      <c r="H17" s="58">
        <v>328</v>
      </c>
      <c r="I17" s="5">
        <v>5.7579970039338679E-3</v>
      </c>
      <c r="J17" s="5">
        <v>0.14393256616700478</v>
      </c>
      <c r="K17" s="4">
        <v>588420551.70000005</v>
      </c>
      <c r="L17" s="3">
        <f t="shared" si="1"/>
        <v>2.1217776409537519E-2</v>
      </c>
      <c r="M17" s="4">
        <v>20.234627</v>
      </c>
      <c r="N17" s="4">
        <v>20.35868</v>
      </c>
      <c r="O17" s="58">
        <v>328</v>
      </c>
      <c r="P17" s="5">
        <v>5.7579970039338679E-3</v>
      </c>
      <c r="Q17" s="5">
        <v>0.14393256616700478</v>
      </c>
      <c r="R17" s="76">
        <f t="shared" si="2"/>
        <v>-1.8139712750389766E-3</v>
      </c>
      <c r="S17" s="76">
        <f t="shared" si="3"/>
        <v>1.0044942968450602E-2</v>
      </c>
      <c r="T17" s="76">
        <f t="shared" si="4"/>
        <v>0</v>
      </c>
      <c r="U17" s="77">
        <f t="shared" si="5"/>
        <v>0</v>
      </c>
      <c r="V17" s="79">
        <f t="shared" si="6"/>
        <v>0</v>
      </c>
    </row>
    <row r="18" spans="1:22">
      <c r="A18" s="162">
        <v>13</v>
      </c>
      <c r="B18" s="131" t="s">
        <v>36</v>
      </c>
      <c r="C18" s="132" t="s">
        <v>37</v>
      </c>
      <c r="D18" s="4">
        <v>221387026.16</v>
      </c>
      <c r="E18" s="3">
        <f t="shared" si="0"/>
        <v>7.9678244528601002E-3</v>
      </c>
      <c r="F18" s="4">
        <v>2.5379299999999998</v>
      </c>
      <c r="G18" s="4">
        <v>2.5986959999999999</v>
      </c>
      <c r="H18" s="58">
        <v>21</v>
      </c>
      <c r="I18" s="5">
        <v>-2.1399999999999999E-2</v>
      </c>
      <c r="J18" s="5">
        <v>0.1832</v>
      </c>
      <c r="K18" s="4">
        <v>225231451.94999999</v>
      </c>
      <c r="L18" s="3">
        <f t="shared" si="1"/>
        <v>8.1215902028980626E-3</v>
      </c>
      <c r="M18" s="4">
        <v>2.4667300000000001</v>
      </c>
      <c r="N18" s="4">
        <v>2.5284230000000001</v>
      </c>
      <c r="O18" s="58">
        <v>21</v>
      </c>
      <c r="P18" s="5">
        <v>2.3099999999999999E-2</v>
      </c>
      <c r="Q18" s="5">
        <v>0.15060000000000001</v>
      </c>
      <c r="R18" s="76">
        <f t="shared" si="2"/>
        <v>1.7365181043723685E-2</v>
      </c>
      <c r="S18" s="76">
        <f t="shared" si="3"/>
        <v>-2.7041639345271557E-2</v>
      </c>
      <c r="T18" s="76">
        <f t="shared" si="4"/>
        <v>0</v>
      </c>
      <c r="U18" s="77">
        <f t="shared" si="5"/>
        <v>4.4499999999999998E-2</v>
      </c>
      <c r="V18" s="79">
        <f t="shared" si="6"/>
        <v>-3.259999999999999E-2</v>
      </c>
    </row>
    <row r="19" spans="1:22">
      <c r="A19" s="162">
        <v>14</v>
      </c>
      <c r="B19" s="131" t="s">
        <v>38</v>
      </c>
      <c r="C19" s="132" t="s">
        <v>39</v>
      </c>
      <c r="D19" s="2">
        <v>1456743409.24</v>
      </c>
      <c r="E19" s="3">
        <f t="shared" si="0"/>
        <v>5.242888871589358E-2</v>
      </c>
      <c r="F19" s="4">
        <v>25.98</v>
      </c>
      <c r="G19" s="4">
        <v>26.5</v>
      </c>
      <c r="H19" s="58">
        <v>8834</v>
      </c>
      <c r="I19" s="5">
        <v>-2.0000000000000001E-4</v>
      </c>
      <c r="J19" s="5">
        <v>3.2099999999999997E-2</v>
      </c>
      <c r="K19" s="2">
        <v>1476541803.5</v>
      </c>
      <c r="L19" s="3">
        <f t="shared" si="1"/>
        <v>5.3242419482946626E-2</v>
      </c>
      <c r="M19" s="4">
        <v>26.34</v>
      </c>
      <c r="N19" s="4">
        <v>26.87</v>
      </c>
      <c r="O19" s="58">
        <v>8834</v>
      </c>
      <c r="P19" s="5">
        <v>1.43E-2</v>
      </c>
      <c r="Q19" s="5">
        <v>4.6399999999999997E-2</v>
      </c>
      <c r="R19" s="76">
        <f t="shared" si="2"/>
        <v>1.3590858990279588E-2</v>
      </c>
      <c r="S19" s="76">
        <f t="shared" si="3"/>
        <v>1.3962264150943433E-2</v>
      </c>
      <c r="T19" s="76">
        <f t="shared" si="4"/>
        <v>0</v>
      </c>
      <c r="U19" s="77">
        <f t="shared" si="5"/>
        <v>1.4500000000000001E-2</v>
      </c>
      <c r="V19" s="79">
        <f t="shared" si="6"/>
        <v>1.43E-2</v>
      </c>
    </row>
    <row r="20" spans="1:22" ht="12.75" customHeight="1">
      <c r="A20" s="165">
        <v>15</v>
      </c>
      <c r="B20" s="131" t="s">
        <v>40</v>
      </c>
      <c r="C20" s="132" t="s">
        <v>41</v>
      </c>
      <c r="D20" s="4">
        <v>682275501.83000004</v>
      </c>
      <c r="E20" s="3">
        <f t="shared" si="0"/>
        <v>2.4555420077505368E-2</v>
      </c>
      <c r="F20" s="4">
        <v>6709.76</v>
      </c>
      <c r="G20" s="4">
        <v>6799.96</v>
      </c>
      <c r="H20" s="58">
        <v>20</v>
      </c>
      <c r="I20" s="5">
        <v>-2E-3</v>
      </c>
      <c r="J20" s="5">
        <v>0.2482</v>
      </c>
      <c r="K20" s="4">
        <v>631142675.38</v>
      </c>
      <c r="L20" s="3">
        <f t="shared" si="1"/>
        <v>2.2758287639751996E-2</v>
      </c>
      <c r="M20" s="4">
        <v>6762.04</v>
      </c>
      <c r="N20" s="4">
        <v>6861.14</v>
      </c>
      <c r="O20" s="58">
        <v>19</v>
      </c>
      <c r="P20" s="5">
        <v>8.9999999999999993E-3</v>
      </c>
      <c r="Q20" s="5">
        <v>0.25950000000000001</v>
      </c>
      <c r="R20" s="76">
        <f t="shared" si="2"/>
        <v>-7.4944544121621728E-2</v>
      </c>
      <c r="S20" s="76">
        <f t="shared" si="3"/>
        <v>8.9971117477162053E-3</v>
      </c>
      <c r="T20" s="76">
        <f t="shared" si="4"/>
        <v>-0.05</v>
      </c>
      <c r="U20" s="77">
        <f t="shared" si="5"/>
        <v>1.0999999999999999E-2</v>
      </c>
      <c r="V20" s="79">
        <f t="shared" si="6"/>
        <v>1.1300000000000004E-2</v>
      </c>
    </row>
    <row r="21" spans="1:22">
      <c r="A21" s="165">
        <v>16</v>
      </c>
      <c r="B21" s="131" t="s">
        <v>42</v>
      </c>
      <c r="C21" s="132" t="s">
        <v>41</v>
      </c>
      <c r="D21" s="4">
        <v>11519214910.530001</v>
      </c>
      <c r="E21" s="3">
        <f t="shared" si="0"/>
        <v>0.41458202783544545</v>
      </c>
      <c r="F21" s="4">
        <v>22654.34</v>
      </c>
      <c r="G21" s="4">
        <v>22995.64</v>
      </c>
      <c r="H21" s="58">
        <v>17409</v>
      </c>
      <c r="I21" s="5">
        <v>-4.1000000000000003E-3</v>
      </c>
      <c r="J21" s="5">
        <v>0.25230000000000002</v>
      </c>
      <c r="K21" s="4">
        <v>11261725857.66</v>
      </c>
      <c r="L21" s="3">
        <f t="shared" si="1"/>
        <v>0.40608503653210692</v>
      </c>
      <c r="M21" s="4">
        <v>22358.97</v>
      </c>
      <c r="N21" s="4">
        <v>22693.41</v>
      </c>
      <c r="O21" s="58">
        <v>17410</v>
      </c>
      <c r="P21" s="5">
        <v>-1.3100000000000001E-2</v>
      </c>
      <c r="Q21" s="5">
        <v>0.23580000000000001</v>
      </c>
      <c r="R21" s="76">
        <f t="shared" si="2"/>
        <v>-2.2353003643904908E-2</v>
      </c>
      <c r="S21" s="76">
        <f t="shared" si="3"/>
        <v>-1.314292622427554E-2</v>
      </c>
      <c r="T21" s="76">
        <f t="shared" si="4"/>
        <v>5.7441553219599059E-5</v>
      </c>
      <c r="U21" s="77">
        <f t="shared" si="5"/>
        <v>-9.0000000000000011E-3</v>
      </c>
      <c r="V21" s="79">
        <f t="shared" si="6"/>
        <v>-1.6500000000000015E-2</v>
      </c>
    </row>
    <row r="22" spans="1:22">
      <c r="A22" s="162">
        <v>17</v>
      </c>
      <c r="B22" s="132" t="s">
        <v>43</v>
      </c>
      <c r="C22" s="132" t="s">
        <v>44</v>
      </c>
      <c r="D22" s="4">
        <v>3205168893.5799999</v>
      </c>
      <c r="E22" s="3">
        <f t="shared" si="0"/>
        <v>0.11535555415680225</v>
      </c>
      <c r="F22" s="4">
        <v>1.3059000000000001</v>
      </c>
      <c r="G22" s="8">
        <v>1.3185</v>
      </c>
      <c r="H22" s="58">
        <v>4002</v>
      </c>
      <c r="I22" s="5">
        <v>4.0000000000000002E-4</v>
      </c>
      <c r="J22" s="5">
        <v>0.18110000000000001</v>
      </c>
      <c r="K22" s="4">
        <v>3235981541.4400001</v>
      </c>
      <c r="L22" s="3">
        <f t="shared" si="1"/>
        <v>0.11668581699483235</v>
      </c>
      <c r="M22" s="4">
        <v>1.3184</v>
      </c>
      <c r="N22" s="8">
        <v>1.3310999999999999</v>
      </c>
      <c r="O22" s="58">
        <v>3833</v>
      </c>
      <c r="P22" s="5">
        <v>5.0000000000000001E-4</v>
      </c>
      <c r="Q22" s="5">
        <v>0.1903</v>
      </c>
      <c r="R22" s="76">
        <f t="shared" si="2"/>
        <v>9.6134240918531056E-3</v>
      </c>
      <c r="S22" s="76">
        <f t="shared" si="3"/>
        <v>9.556313993174019E-3</v>
      </c>
      <c r="T22" s="76">
        <f t="shared" si="4"/>
        <v>-4.2228885557221388E-2</v>
      </c>
      <c r="U22" s="77">
        <f t="shared" si="5"/>
        <v>9.9999999999999991E-5</v>
      </c>
      <c r="V22" s="79">
        <f t="shared" si="6"/>
        <v>9.199999999999986E-3</v>
      </c>
    </row>
    <row r="23" spans="1:22">
      <c r="A23" s="71"/>
      <c r="B23" s="129"/>
      <c r="C23" s="68" t="s">
        <v>45</v>
      </c>
      <c r="D23" s="56">
        <f>SUM(D6:D22)</f>
        <v>27785128483.915298</v>
      </c>
      <c r="E23" s="96">
        <f>(D23/$D$205)</f>
        <v>8.1702874677900827E-3</v>
      </c>
      <c r="F23" s="30"/>
      <c r="G23" s="31"/>
      <c r="H23" s="63">
        <f>SUM(H6:H22)</f>
        <v>50018</v>
      </c>
      <c r="I23" s="28"/>
      <c r="J23" s="58">
        <v>0</v>
      </c>
      <c r="K23" s="56">
        <f>SUM(K6:K22)</f>
        <v>27732432482.203999</v>
      </c>
      <c r="L23" s="96">
        <f>(K23/$K$205)</f>
        <v>8.0318438046321113E-3</v>
      </c>
      <c r="M23" s="30"/>
      <c r="N23" s="31"/>
      <c r="O23" s="63">
        <f>SUM(O6:O22)</f>
        <v>49847</v>
      </c>
      <c r="P23" s="28"/>
      <c r="Q23" s="63"/>
      <c r="R23" s="76">
        <f t="shared" si="2"/>
        <v>-1.8965541851571931E-3</v>
      </c>
      <c r="S23" s="76" t="e">
        <f t="shared" si="3"/>
        <v>#DIV/0!</v>
      </c>
      <c r="T23" s="76">
        <f t="shared" si="4"/>
        <v>-3.4187692430724939E-3</v>
      </c>
      <c r="U23" s="77">
        <f t="shared" si="5"/>
        <v>0</v>
      </c>
      <c r="V23" s="79">
        <f t="shared" si="6"/>
        <v>0</v>
      </c>
    </row>
    <row r="24" spans="1:22" ht="9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</row>
    <row r="25" spans="1:22" ht="15" customHeight="1">
      <c r="A25" s="168" t="s">
        <v>46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</row>
    <row r="26" spans="1:22">
      <c r="A26" s="157">
        <v>18</v>
      </c>
      <c r="B26" s="131" t="s">
        <v>47</v>
      </c>
      <c r="C26" s="132" t="s">
        <v>16</v>
      </c>
      <c r="D26" s="9">
        <v>1167378761.04</v>
      </c>
      <c r="E26" s="3">
        <f>(D26/$K$62)</f>
        <v>8.7490952431413713E-4</v>
      </c>
      <c r="F26" s="8">
        <v>100</v>
      </c>
      <c r="G26" s="8">
        <v>100</v>
      </c>
      <c r="H26" s="58">
        <v>841</v>
      </c>
      <c r="I26" s="5">
        <v>0.19819999999999999</v>
      </c>
      <c r="J26" s="5">
        <v>0.19819999999999999</v>
      </c>
      <c r="K26" s="9">
        <v>1177831853.6500001</v>
      </c>
      <c r="L26" s="3">
        <f t="shared" ref="L26:L61" si="7">(K26/$K$62)</f>
        <v>8.8274375137757904E-4</v>
      </c>
      <c r="M26" s="8">
        <v>100</v>
      </c>
      <c r="N26" s="8">
        <v>100</v>
      </c>
      <c r="O26" s="58">
        <v>841</v>
      </c>
      <c r="P26" s="5">
        <v>0.1797</v>
      </c>
      <c r="Q26" s="5">
        <v>0.1797</v>
      </c>
      <c r="R26" s="76">
        <f>((K26-D26)/D26)</f>
        <v>8.9543282427784043E-3</v>
      </c>
      <c r="S26" s="76">
        <f>((N26-G26)/G26)</f>
        <v>0</v>
      </c>
      <c r="T26" s="76">
        <f>((O26-H26)/H26)</f>
        <v>0</v>
      </c>
      <c r="U26" s="77">
        <f>P26-I26</f>
        <v>-1.8499999999999989E-2</v>
      </c>
      <c r="V26" s="79">
        <f>Q26-J26</f>
        <v>-1.8499999999999989E-2</v>
      </c>
    </row>
    <row r="27" spans="1:22">
      <c r="A27" s="157">
        <v>19</v>
      </c>
      <c r="B27" s="131" t="s">
        <v>48</v>
      </c>
      <c r="C27" s="132" t="s">
        <v>49</v>
      </c>
      <c r="D27" s="9">
        <v>7811622570.9899998</v>
      </c>
      <c r="E27" s="3">
        <f t="shared" ref="E27:E61" si="8">(D27/$K$62)</f>
        <v>5.8545377180048387E-3</v>
      </c>
      <c r="F27" s="8">
        <v>100</v>
      </c>
      <c r="G27" s="8">
        <v>100</v>
      </c>
      <c r="H27" s="58">
        <v>1642</v>
      </c>
      <c r="I27" s="5">
        <v>0.22206999999999999</v>
      </c>
      <c r="J27" s="5">
        <v>0.22206999999999999</v>
      </c>
      <c r="K27" s="9">
        <v>8213515785.79</v>
      </c>
      <c r="L27" s="3">
        <f t="shared" si="7"/>
        <v>6.155742616638162E-3</v>
      </c>
      <c r="M27" s="8">
        <v>100</v>
      </c>
      <c r="N27" s="8">
        <v>100</v>
      </c>
      <c r="O27" s="58">
        <v>1663</v>
      </c>
      <c r="P27" s="5">
        <v>0.224829</v>
      </c>
      <c r="Q27" s="5">
        <v>0.224829</v>
      </c>
      <c r="R27" s="76">
        <f t="shared" ref="R27:R62" si="9">((K27-D27)/D27)</f>
        <v>5.1448109678584555E-2</v>
      </c>
      <c r="S27" s="76">
        <f t="shared" ref="S27:S62" si="10">((N27-G27)/G27)</f>
        <v>0</v>
      </c>
      <c r="T27" s="76">
        <f t="shared" ref="T27:T62" si="11">((O27-H27)/H27)</f>
        <v>1.2789281364190013E-2</v>
      </c>
      <c r="U27" s="77">
        <f t="shared" ref="U27:U62" si="12">P27-I27</f>
        <v>2.7590000000000114E-3</v>
      </c>
      <c r="V27" s="79">
        <f t="shared" ref="V27:V62" si="13">Q27-J27</f>
        <v>2.7590000000000114E-3</v>
      </c>
    </row>
    <row r="28" spans="1:22">
      <c r="A28" s="166">
        <v>20</v>
      </c>
      <c r="B28" s="131" t="s">
        <v>50</v>
      </c>
      <c r="C28" s="132" t="s">
        <v>18</v>
      </c>
      <c r="D28" s="9">
        <v>567234317.69000006</v>
      </c>
      <c r="E28" s="3">
        <f t="shared" si="8"/>
        <v>4.2512226847667243E-4</v>
      </c>
      <c r="F28" s="8">
        <v>100</v>
      </c>
      <c r="G28" s="8">
        <v>100</v>
      </c>
      <c r="H28" s="58">
        <v>1695</v>
      </c>
      <c r="I28" s="5">
        <v>0.19800000000000001</v>
      </c>
      <c r="J28" s="5">
        <v>0.19800000000000001</v>
      </c>
      <c r="K28" s="9">
        <v>716005994.22000003</v>
      </c>
      <c r="L28" s="3">
        <f t="shared" si="7"/>
        <v>5.3662143317649948E-4</v>
      </c>
      <c r="M28" s="8">
        <v>100</v>
      </c>
      <c r="N28" s="8">
        <v>100</v>
      </c>
      <c r="O28" s="58">
        <v>1703</v>
      </c>
      <c r="P28" s="5">
        <v>0.19120000000000001</v>
      </c>
      <c r="Q28" s="5">
        <v>0.19120000000000001</v>
      </c>
      <c r="R28" s="76">
        <f t="shared" si="9"/>
        <v>0.26227552157961176</v>
      </c>
      <c r="S28" s="76">
        <f t="shared" si="10"/>
        <v>0</v>
      </c>
      <c r="T28" s="76">
        <f t="shared" si="11"/>
        <v>4.71976401179941E-3</v>
      </c>
      <c r="U28" s="77">
        <f t="shared" si="12"/>
        <v>-6.8000000000000005E-3</v>
      </c>
      <c r="V28" s="79">
        <f t="shared" si="13"/>
        <v>-6.8000000000000005E-3</v>
      </c>
    </row>
    <row r="29" spans="1:22">
      <c r="A29" s="162">
        <v>21</v>
      </c>
      <c r="B29" s="131" t="s">
        <v>51</v>
      </c>
      <c r="C29" s="132" t="s">
        <v>20</v>
      </c>
      <c r="D29" s="9">
        <v>101613930293.64</v>
      </c>
      <c r="E29" s="3">
        <f t="shared" si="8"/>
        <v>7.6156084369477586E-2</v>
      </c>
      <c r="F29" s="8">
        <v>1</v>
      </c>
      <c r="G29" s="8">
        <v>1</v>
      </c>
      <c r="H29" s="58">
        <v>60893</v>
      </c>
      <c r="I29" s="5">
        <v>0.20569999999999999</v>
      </c>
      <c r="J29" s="5">
        <v>0.20569999999999999</v>
      </c>
      <c r="K29" s="9">
        <v>103075950378.17999</v>
      </c>
      <c r="L29" s="3">
        <f t="shared" si="7"/>
        <v>7.7251817253604277E-2</v>
      </c>
      <c r="M29" s="8">
        <v>1</v>
      </c>
      <c r="N29" s="8">
        <v>1</v>
      </c>
      <c r="O29" s="58">
        <v>61066</v>
      </c>
      <c r="P29" s="5">
        <v>0.2059</v>
      </c>
      <c r="Q29" s="5">
        <v>0.2059</v>
      </c>
      <c r="R29" s="76">
        <f t="shared" si="9"/>
        <v>1.4387988736535476E-2</v>
      </c>
      <c r="S29" s="76">
        <f t="shared" si="10"/>
        <v>0</v>
      </c>
      <c r="T29" s="76">
        <f t="shared" si="11"/>
        <v>2.841049053257353E-3</v>
      </c>
      <c r="U29" s="77">
        <f t="shared" si="12"/>
        <v>2.0000000000000573E-4</v>
      </c>
      <c r="V29" s="79">
        <f t="shared" si="13"/>
        <v>2.0000000000000573E-4</v>
      </c>
    </row>
    <row r="30" spans="1:22">
      <c r="A30" s="161">
        <v>22</v>
      </c>
      <c r="B30" s="131" t="s">
        <v>52</v>
      </c>
      <c r="C30" s="132" t="s">
        <v>22</v>
      </c>
      <c r="D30" s="9">
        <v>67395372664.660263</v>
      </c>
      <c r="E30" s="3">
        <f t="shared" si="8"/>
        <v>5.0510473041740986E-2</v>
      </c>
      <c r="F30" s="8">
        <v>1</v>
      </c>
      <c r="G30" s="8">
        <v>1</v>
      </c>
      <c r="H30" s="58">
        <v>29167</v>
      </c>
      <c r="I30" s="5">
        <v>0.2064</v>
      </c>
      <c r="J30" s="5">
        <v>0.2064</v>
      </c>
      <c r="K30" s="9">
        <v>69899369956.660004</v>
      </c>
      <c r="L30" s="3">
        <f t="shared" si="7"/>
        <v>5.2387131374701967E-2</v>
      </c>
      <c r="M30" s="8">
        <v>1</v>
      </c>
      <c r="N30" s="8">
        <v>1</v>
      </c>
      <c r="O30" s="58">
        <v>29231</v>
      </c>
      <c r="P30" s="5">
        <v>0.20469999999999999</v>
      </c>
      <c r="Q30" s="5">
        <v>0.20469999999999999</v>
      </c>
      <c r="R30" s="76">
        <f t="shared" si="9"/>
        <v>3.7153845924391596E-2</v>
      </c>
      <c r="S30" s="76">
        <f t="shared" si="10"/>
        <v>0</v>
      </c>
      <c r="T30" s="76">
        <f t="shared" si="11"/>
        <v>2.1942606370212911E-3</v>
      </c>
      <c r="U30" s="77">
        <f t="shared" si="12"/>
        <v>-1.7000000000000071E-3</v>
      </c>
      <c r="V30" s="79">
        <f t="shared" si="13"/>
        <v>-1.7000000000000071E-3</v>
      </c>
    </row>
    <row r="31" spans="1:22" ht="15" customHeight="1">
      <c r="A31" s="162">
        <v>23</v>
      </c>
      <c r="B31" s="131" t="s">
        <v>53</v>
      </c>
      <c r="C31" s="132" t="s">
        <v>39</v>
      </c>
      <c r="D31" s="9">
        <v>9847298917</v>
      </c>
      <c r="E31" s="3">
        <f t="shared" si="8"/>
        <v>7.3802058927097264E-3</v>
      </c>
      <c r="F31" s="8">
        <v>100</v>
      </c>
      <c r="G31" s="8">
        <v>100</v>
      </c>
      <c r="H31" s="58">
        <v>2891</v>
      </c>
      <c r="I31" s="5">
        <v>0.218</v>
      </c>
      <c r="J31" s="5">
        <v>0.218</v>
      </c>
      <c r="K31" s="9">
        <v>9411731467</v>
      </c>
      <c r="L31" s="3">
        <f t="shared" si="7"/>
        <v>7.0537633333584487E-3</v>
      </c>
      <c r="M31" s="8">
        <v>100</v>
      </c>
      <c r="N31" s="8">
        <v>100</v>
      </c>
      <c r="O31" s="58">
        <v>2891</v>
      </c>
      <c r="P31" s="5">
        <v>0.22</v>
      </c>
      <c r="Q31" s="5">
        <v>0.22</v>
      </c>
      <c r="R31" s="76">
        <f t="shared" si="9"/>
        <v>-4.4232175104185478E-2</v>
      </c>
      <c r="S31" s="76">
        <f t="shared" si="10"/>
        <v>0</v>
      </c>
      <c r="T31" s="76">
        <f t="shared" si="11"/>
        <v>0</v>
      </c>
      <c r="U31" s="77">
        <f t="shared" si="12"/>
        <v>2.0000000000000018E-3</v>
      </c>
      <c r="V31" s="79">
        <f t="shared" si="13"/>
        <v>2.0000000000000018E-3</v>
      </c>
    </row>
    <row r="32" spans="1:22" ht="15" customHeight="1">
      <c r="A32" s="166">
        <v>24</v>
      </c>
      <c r="B32" s="131" t="s">
        <v>267</v>
      </c>
      <c r="C32" s="132" t="s">
        <v>266</v>
      </c>
      <c r="D32" s="9">
        <v>286889863.57999998</v>
      </c>
      <c r="E32" s="3">
        <f t="shared" si="8"/>
        <v>2.1501391189583663E-4</v>
      </c>
      <c r="F32" s="8">
        <v>1</v>
      </c>
      <c r="G32" s="8">
        <v>1</v>
      </c>
      <c r="H32" s="58">
        <v>199</v>
      </c>
      <c r="I32" s="5">
        <v>0.20100000000000001</v>
      </c>
      <c r="J32" s="5">
        <v>0.20100000000000001</v>
      </c>
      <c r="K32" s="9">
        <v>300919502.98000002</v>
      </c>
      <c r="L32" s="3">
        <f t="shared" si="7"/>
        <v>2.2552863560283435E-4</v>
      </c>
      <c r="M32" s="8">
        <v>1</v>
      </c>
      <c r="N32" s="8">
        <v>1</v>
      </c>
      <c r="O32" s="58">
        <v>211</v>
      </c>
      <c r="P32" s="5">
        <v>0.189</v>
      </c>
      <c r="Q32" s="5">
        <v>0.189</v>
      </c>
      <c r="R32" s="76">
        <f t="shared" si="9"/>
        <v>4.8902527349446889E-2</v>
      </c>
      <c r="S32" s="76">
        <f t="shared" si="10"/>
        <v>0</v>
      </c>
      <c r="T32" s="76">
        <f t="shared" si="11"/>
        <v>6.030150753768844E-2</v>
      </c>
      <c r="U32" s="77">
        <f t="shared" si="12"/>
        <v>-1.2000000000000011E-2</v>
      </c>
      <c r="V32" s="79">
        <f t="shared" si="13"/>
        <v>-1.2000000000000011E-2</v>
      </c>
    </row>
    <row r="33" spans="1:22">
      <c r="A33" s="166">
        <v>25</v>
      </c>
      <c r="B33" s="131" t="s">
        <v>54</v>
      </c>
      <c r="C33" s="132" t="s">
        <v>55</v>
      </c>
      <c r="D33" s="9">
        <v>27259996759.27</v>
      </c>
      <c r="E33" s="3">
        <f t="shared" si="8"/>
        <v>2.0430413498537702E-2</v>
      </c>
      <c r="F33" s="8">
        <v>100</v>
      </c>
      <c r="G33" s="8">
        <v>100</v>
      </c>
      <c r="H33" s="58">
        <v>2905</v>
      </c>
      <c r="I33" s="5">
        <v>0.228160293993003</v>
      </c>
      <c r="J33" s="5">
        <v>0.228160293993003</v>
      </c>
      <c r="K33" s="9">
        <v>27714568644.770004</v>
      </c>
      <c r="L33" s="3">
        <f t="shared" si="7"/>
        <v>2.0771099217160058E-2</v>
      </c>
      <c r="M33" s="8">
        <v>100</v>
      </c>
      <c r="N33" s="8">
        <v>100</v>
      </c>
      <c r="O33" s="58">
        <v>2941</v>
      </c>
      <c r="P33" s="5">
        <v>0.226408374506536</v>
      </c>
      <c r="Q33" s="5">
        <v>0.226408374506536</v>
      </c>
      <c r="R33" s="76">
        <f t="shared" si="9"/>
        <v>1.6675419645654312E-2</v>
      </c>
      <c r="S33" s="76">
        <f t="shared" si="10"/>
        <v>0</v>
      </c>
      <c r="T33" s="76">
        <f t="shared" si="11"/>
        <v>1.2392426850258176E-2</v>
      </c>
      <c r="U33" s="77">
        <f t="shared" si="12"/>
        <v>-1.7519194864669962E-3</v>
      </c>
      <c r="V33" s="79">
        <f t="shared" si="13"/>
        <v>-1.7519194864669962E-3</v>
      </c>
    </row>
    <row r="34" spans="1:22">
      <c r="A34" s="162">
        <v>26</v>
      </c>
      <c r="B34" s="131" t="s">
        <v>56</v>
      </c>
      <c r="C34" s="132" t="s">
        <v>57</v>
      </c>
      <c r="D34" s="9">
        <v>9453546869.5</v>
      </c>
      <c r="E34" s="3">
        <f t="shared" si="8"/>
        <v>7.0851025140350665E-3</v>
      </c>
      <c r="F34" s="8">
        <v>100</v>
      </c>
      <c r="G34" s="8">
        <v>100</v>
      </c>
      <c r="H34" s="58">
        <v>6221</v>
      </c>
      <c r="I34" s="5">
        <v>0.2175</v>
      </c>
      <c r="J34" s="5">
        <v>0.2175</v>
      </c>
      <c r="K34" s="9">
        <v>9648632372.9799995</v>
      </c>
      <c r="L34" s="3">
        <f t="shared" si="7"/>
        <v>7.2313122710964441E-3</v>
      </c>
      <c r="M34" s="8">
        <v>100</v>
      </c>
      <c r="N34" s="8">
        <v>100</v>
      </c>
      <c r="O34" s="58">
        <v>6251</v>
      </c>
      <c r="P34" s="5">
        <v>0.2238</v>
      </c>
      <c r="Q34" s="5">
        <v>0.2238</v>
      </c>
      <c r="R34" s="76">
        <f t="shared" si="9"/>
        <v>2.063622322637489E-2</v>
      </c>
      <c r="S34" s="76">
        <f t="shared" si="10"/>
        <v>0</v>
      </c>
      <c r="T34" s="76">
        <f t="shared" si="11"/>
        <v>4.8223758238225365E-3</v>
      </c>
      <c r="U34" s="77">
        <f t="shared" si="12"/>
        <v>6.3E-3</v>
      </c>
      <c r="V34" s="79">
        <f t="shared" si="13"/>
        <v>6.3E-3</v>
      </c>
    </row>
    <row r="35" spans="1:22">
      <c r="A35" s="166">
        <v>27</v>
      </c>
      <c r="B35" s="131" t="s">
        <v>58</v>
      </c>
      <c r="C35" s="132" t="s">
        <v>59</v>
      </c>
      <c r="D35" s="9">
        <v>44514190.369999997</v>
      </c>
      <c r="E35" s="3">
        <f t="shared" si="8"/>
        <v>3.3361827730315517E-5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3.3361827730315517E-5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62">
        <v>28</v>
      </c>
      <c r="B36" s="131" t="s">
        <v>60</v>
      </c>
      <c r="C36" s="132" t="s">
        <v>61</v>
      </c>
      <c r="D36" s="9">
        <v>6790982956.1300001</v>
      </c>
      <c r="E36" s="3">
        <f t="shared" si="8"/>
        <v>5.0896040480297271E-3</v>
      </c>
      <c r="F36" s="8">
        <v>1</v>
      </c>
      <c r="G36" s="8">
        <v>1</v>
      </c>
      <c r="H36" s="58">
        <v>2537</v>
      </c>
      <c r="I36" s="5">
        <v>0.22289999999999999</v>
      </c>
      <c r="J36" s="5">
        <v>0.22289999999999999</v>
      </c>
      <c r="K36" s="9">
        <v>6096566616.4799995</v>
      </c>
      <c r="L36" s="3">
        <f t="shared" si="7"/>
        <v>4.5691633053371941E-3</v>
      </c>
      <c r="M36" s="8">
        <v>1</v>
      </c>
      <c r="N36" s="8">
        <v>1</v>
      </c>
      <c r="O36" s="58">
        <v>2600</v>
      </c>
      <c r="P36" s="5">
        <v>0.22020000000000001</v>
      </c>
      <c r="Q36" s="5">
        <v>0.22020000000000001</v>
      </c>
      <c r="R36" s="76">
        <f t="shared" si="9"/>
        <v>-0.10225564460048799</v>
      </c>
      <c r="S36" s="76">
        <f t="shared" si="10"/>
        <v>0</v>
      </c>
      <c r="T36" s="76">
        <f t="shared" si="11"/>
        <v>2.4832479306267245E-2</v>
      </c>
      <c r="U36" s="77">
        <f t="shared" si="12"/>
        <v>-2.6999999999999802E-3</v>
      </c>
      <c r="V36" s="79">
        <f t="shared" si="13"/>
        <v>-2.6999999999999802E-3</v>
      </c>
    </row>
    <row r="37" spans="1:22">
      <c r="A37" s="166">
        <v>29</v>
      </c>
      <c r="B37" s="131" t="s">
        <v>62</v>
      </c>
      <c r="C37" s="132" t="s">
        <v>63</v>
      </c>
      <c r="D37" s="9">
        <v>15810497721.66</v>
      </c>
      <c r="E37" s="3">
        <f t="shared" si="8"/>
        <v>1.1849414690827429E-2</v>
      </c>
      <c r="F37" s="11">
        <v>100</v>
      </c>
      <c r="G37" s="11">
        <v>100</v>
      </c>
      <c r="H37" s="58">
        <v>2825</v>
      </c>
      <c r="I37" s="5">
        <v>0.2</v>
      </c>
      <c r="J37" s="5">
        <v>0.2</v>
      </c>
      <c r="K37" s="9">
        <v>16099754567.709999</v>
      </c>
      <c r="L37" s="3">
        <f t="shared" si="7"/>
        <v>1.2066202573242519E-2</v>
      </c>
      <c r="M37" s="11">
        <v>100</v>
      </c>
      <c r="N37" s="11">
        <v>100</v>
      </c>
      <c r="O37" s="58">
        <v>2944</v>
      </c>
      <c r="P37" s="5">
        <v>0.2064</v>
      </c>
      <c r="Q37" s="5">
        <v>0.2064</v>
      </c>
      <c r="R37" s="76">
        <f t="shared" si="9"/>
        <v>1.8295239728836895E-2</v>
      </c>
      <c r="S37" s="76">
        <f t="shared" si="10"/>
        <v>0</v>
      </c>
      <c r="T37" s="76">
        <f t="shared" si="11"/>
        <v>4.2123893805309731E-2</v>
      </c>
      <c r="U37" s="77">
        <f t="shared" si="12"/>
        <v>6.399999999999989E-3</v>
      </c>
      <c r="V37" s="79">
        <f t="shared" si="13"/>
        <v>6.399999999999989E-3</v>
      </c>
    </row>
    <row r="38" spans="1:22">
      <c r="A38" s="166">
        <v>30</v>
      </c>
      <c r="B38" s="131" t="s">
        <v>64</v>
      </c>
      <c r="C38" s="132" t="s">
        <v>63</v>
      </c>
      <c r="D38" s="9">
        <v>446821649.57999998</v>
      </c>
      <c r="E38" s="3">
        <f t="shared" si="8"/>
        <v>3.3487718805079474E-4</v>
      </c>
      <c r="F38" s="11">
        <v>1000000</v>
      </c>
      <c r="G38" s="11">
        <v>1000000</v>
      </c>
      <c r="H38" s="58">
        <v>3</v>
      </c>
      <c r="I38" s="5">
        <v>0.1958</v>
      </c>
      <c r="J38" s="5">
        <v>0.1958</v>
      </c>
      <c r="K38" s="9">
        <v>441057552.66000003</v>
      </c>
      <c r="L38" s="3">
        <f t="shared" si="7"/>
        <v>3.3055719914686354E-4</v>
      </c>
      <c r="M38" s="11">
        <v>1000000</v>
      </c>
      <c r="N38" s="11">
        <v>1000000</v>
      </c>
      <c r="O38" s="58">
        <v>3</v>
      </c>
      <c r="P38" s="5">
        <v>0.1958</v>
      </c>
      <c r="Q38" s="5">
        <v>0.1958</v>
      </c>
      <c r="R38" s="76">
        <f t="shared" si="9"/>
        <v>-1.2900218522128569E-2</v>
      </c>
      <c r="S38" s="76">
        <f t="shared" si="10"/>
        <v>0</v>
      </c>
      <c r="T38" s="76">
        <f t="shared" si="11"/>
        <v>0</v>
      </c>
      <c r="U38" s="77">
        <f t="shared" si="12"/>
        <v>0</v>
      </c>
      <c r="V38" s="79">
        <f t="shared" si="13"/>
        <v>0</v>
      </c>
    </row>
    <row r="39" spans="1:22">
      <c r="A39" s="159">
        <v>31</v>
      </c>
      <c r="B39" s="131" t="s">
        <v>65</v>
      </c>
      <c r="C39" s="132" t="s">
        <v>66</v>
      </c>
      <c r="D39" s="9">
        <v>3462549670.6999998</v>
      </c>
      <c r="E39" s="3">
        <f t="shared" si="8"/>
        <v>2.5950597924253365E-3</v>
      </c>
      <c r="F39" s="8">
        <v>1</v>
      </c>
      <c r="G39" s="8">
        <v>1</v>
      </c>
      <c r="H39" s="58">
        <v>602</v>
      </c>
      <c r="I39" s="5">
        <v>0.21049999999999999</v>
      </c>
      <c r="J39" s="5">
        <v>0.21049999999999999</v>
      </c>
      <c r="K39" s="9">
        <v>3500376822.3800001</v>
      </c>
      <c r="L39" s="3">
        <f t="shared" si="7"/>
        <v>2.623409918697142E-3</v>
      </c>
      <c r="M39" s="8">
        <v>1</v>
      </c>
      <c r="N39" s="8">
        <v>1</v>
      </c>
      <c r="O39" s="58">
        <v>623</v>
      </c>
      <c r="P39" s="5">
        <v>21.74</v>
      </c>
      <c r="Q39" s="5">
        <v>0.21740000000000001</v>
      </c>
      <c r="R39" s="76">
        <f t="shared" si="9"/>
        <v>1.0924652431730474E-2</v>
      </c>
      <c r="S39" s="76">
        <f t="shared" si="10"/>
        <v>0</v>
      </c>
      <c r="T39" s="76">
        <f t="shared" si="11"/>
        <v>3.4883720930232558E-2</v>
      </c>
      <c r="U39" s="77">
        <f t="shared" si="12"/>
        <v>21.529499999999999</v>
      </c>
      <c r="V39" s="79">
        <f t="shared" si="13"/>
        <v>6.9000000000000172E-3</v>
      </c>
    </row>
    <row r="40" spans="1:22">
      <c r="A40" s="157">
        <v>32</v>
      </c>
      <c r="B40" s="131" t="s">
        <v>67</v>
      </c>
      <c r="C40" s="132" t="s">
        <v>26</v>
      </c>
      <c r="D40" s="9">
        <v>292947486556.96997</v>
      </c>
      <c r="E40" s="3">
        <f t="shared" si="8"/>
        <v>0.21955388830634939</v>
      </c>
      <c r="F40" s="8">
        <v>100</v>
      </c>
      <c r="G40" s="8">
        <v>100</v>
      </c>
      <c r="H40" s="58">
        <v>15722</v>
      </c>
      <c r="I40" s="5">
        <v>0.22359999999999999</v>
      </c>
      <c r="J40" s="5">
        <v>0.22359999999999999</v>
      </c>
      <c r="K40" s="9">
        <v>299639681780.95001</v>
      </c>
      <c r="L40" s="3">
        <f t="shared" si="7"/>
        <v>0.22456945440660422</v>
      </c>
      <c r="M40" s="8">
        <v>100</v>
      </c>
      <c r="N40" s="8">
        <v>100</v>
      </c>
      <c r="O40" s="58">
        <v>15828</v>
      </c>
      <c r="P40" s="5">
        <v>0.23089999999999999</v>
      </c>
      <c r="Q40" s="5">
        <v>0.23089999999999999</v>
      </c>
      <c r="R40" s="76">
        <f t="shared" si="9"/>
        <v>2.2844351056340601E-2</v>
      </c>
      <c r="S40" s="76">
        <f t="shared" si="10"/>
        <v>0</v>
      </c>
      <c r="T40" s="76">
        <f t="shared" si="11"/>
        <v>6.7421447652970361E-3</v>
      </c>
      <c r="U40" s="77">
        <f t="shared" si="12"/>
        <v>7.3000000000000009E-3</v>
      </c>
      <c r="V40" s="79">
        <f t="shared" si="13"/>
        <v>7.3000000000000009E-3</v>
      </c>
    </row>
    <row r="41" spans="1:22">
      <c r="A41" s="165">
        <v>33</v>
      </c>
      <c r="B41" s="131" t="s">
        <v>68</v>
      </c>
      <c r="C41" s="132" t="s">
        <v>69</v>
      </c>
      <c r="D41" s="9">
        <v>594252489.25</v>
      </c>
      <c r="E41" s="3">
        <f t="shared" si="8"/>
        <v>4.4537144245199655E-4</v>
      </c>
      <c r="F41" s="8">
        <v>1</v>
      </c>
      <c r="G41" s="8">
        <v>1</v>
      </c>
      <c r="H41" s="59">
        <v>661</v>
      </c>
      <c r="I41" s="12">
        <v>0.20349999999999999</v>
      </c>
      <c r="J41" s="12">
        <v>0.20349999999999999</v>
      </c>
      <c r="K41" s="9">
        <v>606661643.38</v>
      </c>
      <c r="L41" s="3">
        <f t="shared" si="7"/>
        <v>4.5467166916448779E-4</v>
      </c>
      <c r="M41" s="8">
        <v>1</v>
      </c>
      <c r="N41" s="8">
        <v>1</v>
      </c>
      <c r="O41" s="59">
        <v>687</v>
      </c>
      <c r="P41" s="12">
        <v>0.20880000000000001</v>
      </c>
      <c r="Q41" s="12">
        <v>0.20880000000000001</v>
      </c>
      <c r="R41" s="76">
        <f t="shared" si="9"/>
        <v>2.088195565770614E-2</v>
      </c>
      <c r="S41" s="76">
        <f t="shared" si="10"/>
        <v>0</v>
      </c>
      <c r="T41" s="76">
        <f t="shared" si="11"/>
        <v>3.9334341906202726E-2</v>
      </c>
      <c r="U41" s="77">
        <f t="shared" si="12"/>
        <v>5.3000000000000269E-3</v>
      </c>
      <c r="V41" s="79">
        <f t="shared" si="13"/>
        <v>5.3000000000000269E-3</v>
      </c>
    </row>
    <row r="42" spans="1:22">
      <c r="A42" s="157">
        <v>34</v>
      </c>
      <c r="B42" s="131" t="s">
        <v>70</v>
      </c>
      <c r="C42" s="132" t="s">
        <v>71</v>
      </c>
      <c r="D42" s="9">
        <v>751163558.75</v>
      </c>
      <c r="E42" s="3">
        <f t="shared" si="8"/>
        <v>5.6297079731225136E-4</v>
      </c>
      <c r="F42" s="8">
        <v>10</v>
      </c>
      <c r="G42" s="8">
        <v>10</v>
      </c>
      <c r="H42" s="58">
        <v>375</v>
      </c>
      <c r="I42" s="5">
        <v>0.16639999999999999</v>
      </c>
      <c r="J42" s="5">
        <v>0.16639999999999999</v>
      </c>
      <c r="K42" s="9">
        <v>821810383.36000001</v>
      </c>
      <c r="L42" s="3">
        <f t="shared" si="7"/>
        <v>6.1591811978946873E-4</v>
      </c>
      <c r="M42" s="8">
        <v>10</v>
      </c>
      <c r="N42" s="8">
        <v>10</v>
      </c>
      <c r="O42" s="58">
        <v>378</v>
      </c>
      <c r="P42" s="5">
        <v>0.16439999999999999</v>
      </c>
      <c r="Q42" s="5">
        <v>0.16439999999999999</v>
      </c>
      <c r="R42" s="76">
        <f t="shared" si="9"/>
        <v>9.4049856102660701E-2</v>
      </c>
      <c r="S42" s="76">
        <f t="shared" si="10"/>
        <v>0</v>
      </c>
      <c r="T42" s="76">
        <f t="shared" si="11"/>
        <v>8.0000000000000002E-3</v>
      </c>
      <c r="U42" s="77">
        <f t="shared" si="12"/>
        <v>-2.0000000000000018E-3</v>
      </c>
      <c r="V42" s="79">
        <f t="shared" si="13"/>
        <v>-2.0000000000000018E-3</v>
      </c>
    </row>
    <row r="43" spans="1:22">
      <c r="A43" s="161">
        <v>35</v>
      </c>
      <c r="B43" s="131" t="s">
        <v>72</v>
      </c>
      <c r="C43" s="132" t="s">
        <v>73</v>
      </c>
      <c r="D43" s="9">
        <v>3750397732.8000002</v>
      </c>
      <c r="E43" s="3">
        <f t="shared" si="8"/>
        <v>2.8107918405759266E-3</v>
      </c>
      <c r="F43" s="8">
        <v>100</v>
      </c>
      <c r="G43" s="8">
        <v>100</v>
      </c>
      <c r="H43" s="58">
        <v>682</v>
      </c>
      <c r="I43" s="5">
        <v>0.21729999999999999</v>
      </c>
      <c r="J43" s="5">
        <v>0.21729999999999999</v>
      </c>
      <c r="K43" s="9">
        <v>3750397732.8000002</v>
      </c>
      <c r="L43" s="3">
        <f t="shared" si="7"/>
        <v>2.8107918405759266E-3</v>
      </c>
      <c r="M43" s="8">
        <v>100</v>
      </c>
      <c r="N43" s="8">
        <v>100</v>
      </c>
      <c r="O43" s="58">
        <v>682</v>
      </c>
      <c r="P43" s="5">
        <v>0.2094</v>
      </c>
      <c r="Q43" s="5">
        <v>0.2094</v>
      </c>
      <c r="R43" s="76">
        <f t="shared" si="9"/>
        <v>0</v>
      </c>
      <c r="S43" s="76">
        <f t="shared" si="10"/>
        <v>0</v>
      </c>
      <c r="T43" s="76">
        <f t="shared" si="11"/>
        <v>0</v>
      </c>
      <c r="U43" s="77">
        <f t="shared" si="12"/>
        <v>-7.8999999999999904E-3</v>
      </c>
      <c r="V43" s="79">
        <f t="shared" si="13"/>
        <v>-7.8999999999999904E-3</v>
      </c>
    </row>
    <row r="44" spans="1:22">
      <c r="A44" s="162">
        <v>36</v>
      </c>
      <c r="B44" s="131" t="s">
        <v>284</v>
      </c>
      <c r="C44" s="131" t="s">
        <v>254</v>
      </c>
      <c r="D44" s="4">
        <v>53080681.829999998</v>
      </c>
      <c r="E44" s="3">
        <f t="shared" ref="E44" si="14">(D44/$D$175)</f>
        <v>1.0540582795100012E-3</v>
      </c>
      <c r="F44" s="4">
        <v>1</v>
      </c>
      <c r="G44" s="4">
        <v>1</v>
      </c>
      <c r="H44" s="58">
        <v>18</v>
      </c>
      <c r="I44" s="5">
        <v>0.14130000000000001</v>
      </c>
      <c r="J44" s="5">
        <v>0.14130000000000001</v>
      </c>
      <c r="K44" s="4">
        <v>53358336.240000002</v>
      </c>
      <c r="L44" s="16">
        <f t="shared" ref="L44" si="15">(K44/$K$175)</f>
        <v>1.0530736849078542E-3</v>
      </c>
      <c r="M44" s="4">
        <v>1</v>
      </c>
      <c r="N44" s="4">
        <v>1</v>
      </c>
      <c r="O44" s="58">
        <v>18</v>
      </c>
      <c r="P44" s="5">
        <v>0.14849999999999999</v>
      </c>
      <c r="Q44" s="5">
        <v>0.14849999999999999</v>
      </c>
      <c r="R44" s="77">
        <f t="shared" si="9"/>
        <v>5.2307996134872536E-3</v>
      </c>
      <c r="S44" s="77">
        <f t="shared" si="10"/>
        <v>0</v>
      </c>
      <c r="T44" s="77">
        <f t="shared" si="11"/>
        <v>0</v>
      </c>
      <c r="U44" s="77">
        <f t="shared" si="12"/>
        <v>7.1999999999999842E-3</v>
      </c>
      <c r="V44" s="79">
        <f t="shared" si="13"/>
        <v>7.1999999999999842E-3</v>
      </c>
    </row>
    <row r="45" spans="1:22">
      <c r="A45" s="157">
        <v>37</v>
      </c>
      <c r="B45" s="131" t="s">
        <v>236</v>
      </c>
      <c r="C45" s="132" t="s">
        <v>31</v>
      </c>
      <c r="D45" s="9">
        <v>33987403992.880001</v>
      </c>
      <c r="E45" s="3">
        <f t="shared" si="8"/>
        <v>2.5472369767625191E-2</v>
      </c>
      <c r="F45" s="8">
        <v>100</v>
      </c>
      <c r="G45" s="8">
        <v>100</v>
      </c>
      <c r="H45" s="58">
        <v>12182</v>
      </c>
      <c r="I45" s="5">
        <v>0.19739999999999999</v>
      </c>
      <c r="J45" s="5">
        <v>0.16555890000000001</v>
      </c>
      <c r="K45" s="9">
        <v>34877618947.970001</v>
      </c>
      <c r="L45" s="3">
        <f t="shared" si="7"/>
        <v>2.6139554719834916E-2</v>
      </c>
      <c r="M45" s="8">
        <v>100</v>
      </c>
      <c r="N45" s="8">
        <v>100</v>
      </c>
      <c r="O45" s="58">
        <v>12253</v>
      </c>
      <c r="P45" s="5">
        <v>0.19159999999999999</v>
      </c>
      <c r="Q45" s="5">
        <v>0.19159999999999999</v>
      </c>
      <c r="R45" s="76">
        <f t="shared" si="9"/>
        <v>2.6192496351780521E-2</v>
      </c>
      <c r="S45" s="76">
        <f t="shared" si="10"/>
        <v>0</v>
      </c>
      <c r="T45" s="76">
        <f t="shared" si="11"/>
        <v>5.8282712198325396E-3</v>
      </c>
      <c r="U45" s="77">
        <f t="shared" si="12"/>
        <v>-5.7999999999999996E-3</v>
      </c>
      <c r="V45" s="79">
        <f t="shared" si="13"/>
        <v>2.6041099999999984E-2</v>
      </c>
    </row>
    <row r="46" spans="1:22">
      <c r="A46" s="161">
        <v>38</v>
      </c>
      <c r="B46" s="131" t="s">
        <v>74</v>
      </c>
      <c r="C46" s="132" t="s">
        <v>33</v>
      </c>
      <c r="D46" s="9">
        <v>4959355350.3100004</v>
      </c>
      <c r="E46" s="3">
        <f t="shared" si="8"/>
        <v>3.7168632625960711E-3</v>
      </c>
      <c r="F46" s="8">
        <v>1</v>
      </c>
      <c r="G46" s="8">
        <v>1</v>
      </c>
      <c r="H46" s="58">
        <v>1038</v>
      </c>
      <c r="I46" s="5">
        <v>0.20430000000000001</v>
      </c>
      <c r="J46" s="5">
        <v>0.20430000000000001</v>
      </c>
      <c r="K46" s="9">
        <v>5598968070.6999998</v>
      </c>
      <c r="L46" s="3">
        <f t="shared" si="7"/>
        <v>4.1962306107249199E-3</v>
      </c>
      <c r="M46" s="8">
        <v>1</v>
      </c>
      <c r="N46" s="8">
        <v>1</v>
      </c>
      <c r="O46" s="58">
        <v>1052</v>
      </c>
      <c r="P46" s="5">
        <v>0.192</v>
      </c>
      <c r="Q46" s="5">
        <v>0.192</v>
      </c>
      <c r="R46" s="76">
        <f t="shared" si="9"/>
        <v>0.12897093981176774</v>
      </c>
      <c r="S46" s="76">
        <f t="shared" si="10"/>
        <v>0</v>
      </c>
      <c r="T46" s="76">
        <f t="shared" si="11"/>
        <v>1.348747591522158E-2</v>
      </c>
      <c r="U46" s="77">
        <f t="shared" si="12"/>
        <v>-1.2300000000000005E-2</v>
      </c>
      <c r="V46" s="79">
        <f t="shared" si="13"/>
        <v>-1.2300000000000005E-2</v>
      </c>
    </row>
    <row r="47" spans="1:22">
      <c r="A47" s="162">
        <v>39</v>
      </c>
      <c r="B47" s="131" t="s">
        <v>75</v>
      </c>
      <c r="C47" s="132" t="s">
        <v>35</v>
      </c>
      <c r="D47" s="13">
        <v>9916861596.3899994</v>
      </c>
      <c r="E47" s="3">
        <f t="shared" si="8"/>
        <v>7.4323406862885485E-3</v>
      </c>
      <c r="F47" s="8">
        <v>10</v>
      </c>
      <c r="G47" s="8">
        <v>10</v>
      </c>
      <c r="H47" s="58">
        <v>2541</v>
      </c>
      <c r="I47" s="5">
        <v>0.24010000000000001</v>
      </c>
      <c r="J47" s="5">
        <v>0.24010000000000001</v>
      </c>
      <c r="K47" s="13">
        <v>10666460900.959999</v>
      </c>
      <c r="L47" s="3">
        <f t="shared" si="7"/>
        <v>7.9941391298402158E-3</v>
      </c>
      <c r="M47" s="8">
        <v>10</v>
      </c>
      <c r="N47" s="8">
        <v>10</v>
      </c>
      <c r="O47" s="58">
        <v>2570</v>
      </c>
      <c r="P47" s="5">
        <v>0.2266</v>
      </c>
      <c r="Q47" s="5">
        <v>0.2266</v>
      </c>
      <c r="R47" s="76">
        <f t="shared" si="9"/>
        <v>7.5588360015317116E-2</v>
      </c>
      <c r="S47" s="76">
        <f t="shared" si="10"/>
        <v>0</v>
      </c>
      <c r="T47" s="76">
        <f t="shared" si="11"/>
        <v>1.1412829594647777E-2</v>
      </c>
      <c r="U47" s="77">
        <f t="shared" si="12"/>
        <v>-1.3500000000000012E-2</v>
      </c>
      <c r="V47" s="79">
        <f t="shared" si="13"/>
        <v>-1.3500000000000012E-2</v>
      </c>
    </row>
    <row r="48" spans="1:22">
      <c r="A48" s="157">
        <v>40</v>
      </c>
      <c r="B48" s="131" t="s">
        <v>76</v>
      </c>
      <c r="C48" s="132" t="s">
        <v>77</v>
      </c>
      <c r="D48" s="9">
        <v>7547150192.3599997</v>
      </c>
      <c r="E48" s="3">
        <f t="shared" si="8"/>
        <v>5.6563249264895464E-3</v>
      </c>
      <c r="F48" s="8">
        <v>100</v>
      </c>
      <c r="G48" s="8">
        <v>100</v>
      </c>
      <c r="H48" s="58">
        <v>2729</v>
      </c>
      <c r="I48" s="5">
        <v>0.22620000000000001</v>
      </c>
      <c r="J48" s="5">
        <v>0.22620000000000001</v>
      </c>
      <c r="K48" s="9">
        <v>7866590126.9499998</v>
      </c>
      <c r="L48" s="3">
        <f t="shared" si="7"/>
        <v>5.8957339773875522E-3</v>
      </c>
      <c r="M48" s="8">
        <v>100</v>
      </c>
      <c r="N48" s="8">
        <v>100</v>
      </c>
      <c r="O48" s="58">
        <v>2759</v>
      </c>
      <c r="P48" s="5">
        <v>0.21809999999999999</v>
      </c>
      <c r="Q48" s="5">
        <v>0.21809999999999999</v>
      </c>
      <c r="R48" s="76">
        <f t="shared" si="9"/>
        <v>4.2325901359876218E-2</v>
      </c>
      <c r="S48" s="76">
        <f t="shared" si="10"/>
        <v>0</v>
      </c>
      <c r="T48" s="76">
        <f t="shared" si="11"/>
        <v>1.0993037742762916E-2</v>
      </c>
      <c r="U48" s="77">
        <f t="shared" si="12"/>
        <v>-8.1000000000000238E-3</v>
      </c>
      <c r="V48" s="79">
        <f t="shared" si="13"/>
        <v>-8.1000000000000238E-3</v>
      </c>
    </row>
    <row r="49" spans="1:22">
      <c r="A49" s="162">
        <v>41</v>
      </c>
      <c r="B49" s="131" t="s">
        <v>78</v>
      </c>
      <c r="C49" s="132" t="s">
        <v>79</v>
      </c>
      <c r="D49" s="9">
        <v>175942004.38999999</v>
      </c>
      <c r="E49" s="3">
        <f t="shared" si="8"/>
        <v>1.3186237449668337E-4</v>
      </c>
      <c r="F49" s="8">
        <v>1</v>
      </c>
      <c r="G49" s="8">
        <v>1</v>
      </c>
      <c r="H49" s="58">
        <v>81</v>
      </c>
      <c r="I49" s="5">
        <v>0.1686</v>
      </c>
      <c r="J49" s="5">
        <v>0.1686</v>
      </c>
      <c r="K49" s="9">
        <v>175234351.62</v>
      </c>
      <c r="L49" s="3">
        <f t="shared" si="7"/>
        <v>1.3133201351270531E-4</v>
      </c>
      <c r="M49" s="8">
        <v>1</v>
      </c>
      <c r="N49" s="8">
        <v>1</v>
      </c>
      <c r="O49" s="58">
        <v>82</v>
      </c>
      <c r="P49" s="5">
        <v>0.17810000000000001</v>
      </c>
      <c r="Q49" s="5">
        <v>0.17810000000000001</v>
      </c>
      <c r="R49" s="76">
        <f t="shared" si="9"/>
        <v>-4.0220797327701801E-3</v>
      </c>
      <c r="S49" s="76">
        <f t="shared" si="10"/>
        <v>0</v>
      </c>
      <c r="T49" s="76">
        <f t="shared" si="11"/>
        <v>1.2345679012345678E-2</v>
      </c>
      <c r="U49" s="77">
        <f t="shared" si="12"/>
        <v>9.5000000000000084E-3</v>
      </c>
      <c r="V49" s="79">
        <f t="shared" si="13"/>
        <v>9.5000000000000084E-3</v>
      </c>
    </row>
    <row r="50" spans="1:22">
      <c r="A50" s="162">
        <v>42</v>
      </c>
      <c r="B50" s="131" t="s">
        <v>80</v>
      </c>
      <c r="C50" s="132" t="s">
        <v>37</v>
      </c>
      <c r="D50" s="13">
        <v>666657778.77999997</v>
      </c>
      <c r="E50" s="3">
        <f t="shared" si="8"/>
        <v>4.9963667284224603E-4</v>
      </c>
      <c r="F50" s="8">
        <v>10</v>
      </c>
      <c r="G50" s="8">
        <v>10</v>
      </c>
      <c r="H50" s="58">
        <v>721</v>
      </c>
      <c r="I50" s="5">
        <v>0.15890000000000001</v>
      </c>
      <c r="J50" s="5">
        <v>0.15890000000000001</v>
      </c>
      <c r="K50" s="13">
        <v>590868324.74000001</v>
      </c>
      <c r="L50" s="3">
        <f t="shared" si="7"/>
        <v>4.4283512959411391E-4</v>
      </c>
      <c r="M50" s="8">
        <v>10</v>
      </c>
      <c r="N50" s="8">
        <v>10</v>
      </c>
      <c r="O50" s="58">
        <v>718</v>
      </c>
      <c r="P50" s="5">
        <v>0.15720000000000001</v>
      </c>
      <c r="Q50" s="5">
        <v>0.15720000000000001</v>
      </c>
      <c r="R50" s="76">
        <f t="shared" si="9"/>
        <v>-0.11368569669838176</v>
      </c>
      <c r="S50" s="76">
        <f t="shared" si="10"/>
        <v>0</v>
      </c>
      <c r="T50" s="76">
        <f t="shared" si="11"/>
        <v>-4.160887656033287E-3</v>
      </c>
      <c r="U50" s="77">
        <f t="shared" si="12"/>
        <v>-1.7000000000000071E-3</v>
      </c>
      <c r="V50" s="79">
        <f t="shared" si="13"/>
        <v>-1.7000000000000071E-3</v>
      </c>
    </row>
    <row r="51" spans="1:22">
      <c r="A51" s="162">
        <v>43</v>
      </c>
      <c r="B51" s="131" t="s">
        <v>244</v>
      </c>
      <c r="C51" s="132" t="s">
        <v>245</v>
      </c>
      <c r="D51" s="13">
        <v>662694221.66999996</v>
      </c>
      <c r="E51" s="3">
        <f t="shared" si="8"/>
        <v>4.9666612550882305E-4</v>
      </c>
      <c r="F51" s="8">
        <v>1</v>
      </c>
      <c r="G51" s="8">
        <v>1</v>
      </c>
      <c r="H51" s="58">
        <v>54</v>
      </c>
      <c r="I51" s="5">
        <v>0.218</v>
      </c>
      <c r="J51" s="5">
        <v>0.218</v>
      </c>
      <c r="K51" s="13">
        <v>685528231.97000003</v>
      </c>
      <c r="L51" s="3">
        <f t="shared" si="7"/>
        <v>5.1377941706122325E-4</v>
      </c>
      <c r="M51" s="8">
        <v>1</v>
      </c>
      <c r="N51" s="8">
        <v>1</v>
      </c>
      <c r="O51" s="58">
        <v>55</v>
      </c>
      <c r="P51" s="5">
        <v>0.21809999999999999</v>
      </c>
      <c r="Q51" s="5">
        <v>0.21809999999999999</v>
      </c>
      <c r="R51" s="76">
        <f t="shared" si="9"/>
        <v>3.4456329259153644E-2</v>
      </c>
      <c r="S51" s="76">
        <f t="shared" si="10"/>
        <v>0</v>
      </c>
      <c r="T51" s="76">
        <f t="shared" si="11"/>
        <v>1.8518518518518517E-2</v>
      </c>
      <c r="U51" s="77">
        <f t="shared" si="12"/>
        <v>9.9999999999988987E-5</v>
      </c>
      <c r="V51" s="79">
        <f t="shared" si="13"/>
        <v>9.9999999999988987E-5</v>
      </c>
    </row>
    <row r="52" spans="1:22">
      <c r="A52" s="161">
        <v>44</v>
      </c>
      <c r="B52" s="131" t="s">
        <v>277</v>
      </c>
      <c r="C52" s="132" t="s">
        <v>276</v>
      </c>
      <c r="D52" s="13">
        <v>6820257460.7186909</v>
      </c>
      <c r="E52" s="3">
        <f t="shared" si="8"/>
        <v>5.1115442646406627E-3</v>
      </c>
      <c r="F52" s="8">
        <v>100</v>
      </c>
      <c r="G52" s="8">
        <v>100</v>
      </c>
      <c r="H52" s="58">
        <v>60</v>
      </c>
      <c r="I52" s="5">
        <v>0.24079999999999999</v>
      </c>
      <c r="J52" s="5">
        <v>0.24079999999999999</v>
      </c>
      <c r="K52" s="13">
        <v>2909940360.9200001</v>
      </c>
      <c r="L52" s="3">
        <f t="shared" si="7"/>
        <v>2.1808984555166068E-3</v>
      </c>
      <c r="M52" s="8">
        <v>100</v>
      </c>
      <c r="N52" s="8">
        <v>100</v>
      </c>
      <c r="O52" s="58">
        <v>61</v>
      </c>
      <c r="P52" s="5">
        <v>0.2261</v>
      </c>
      <c r="Q52" s="5">
        <v>0.2261</v>
      </c>
      <c r="R52" s="76">
        <f t="shared" si="9"/>
        <v>-0.57333863454864908</v>
      </c>
      <c r="S52" s="76">
        <f t="shared" si="10"/>
        <v>0</v>
      </c>
      <c r="T52" s="76">
        <f t="shared" si="11"/>
        <v>1.6666666666666666E-2</v>
      </c>
      <c r="U52" s="77">
        <f t="shared" si="12"/>
        <v>-1.4699999999999991E-2</v>
      </c>
      <c r="V52" s="79">
        <f t="shared" si="13"/>
        <v>-1.4699999999999991E-2</v>
      </c>
    </row>
    <row r="53" spans="1:22">
      <c r="A53" s="166">
        <v>45</v>
      </c>
      <c r="B53" s="131" t="s">
        <v>273</v>
      </c>
      <c r="C53" s="132" t="s">
        <v>107</v>
      </c>
      <c r="D53" s="13">
        <v>54287274.600000001</v>
      </c>
      <c r="E53" s="3">
        <f t="shared" si="8"/>
        <v>4.0686412312558326E-5</v>
      </c>
      <c r="F53" s="8">
        <v>1000</v>
      </c>
      <c r="G53" s="8">
        <v>1000</v>
      </c>
      <c r="H53" s="58">
        <v>12</v>
      </c>
      <c r="I53" s="5">
        <v>2.6800000000000001E-2</v>
      </c>
      <c r="J53" s="5">
        <v>2.6800000000000001E-2</v>
      </c>
      <c r="K53" s="13">
        <v>54989078.359999999</v>
      </c>
      <c r="L53" s="3">
        <f t="shared" si="7"/>
        <v>4.1212389668250884E-5</v>
      </c>
      <c r="M53" s="8">
        <v>1000</v>
      </c>
      <c r="N53" s="8">
        <v>1000</v>
      </c>
      <c r="O53" s="58">
        <v>14</v>
      </c>
      <c r="P53" s="5">
        <v>2.4400000000000002E-2</v>
      </c>
      <c r="Q53" s="5">
        <v>2.4400000000000002E-2</v>
      </c>
      <c r="R53" s="76">
        <f t="shared" si="9"/>
        <v>1.292759242697363E-2</v>
      </c>
      <c r="S53" s="76">
        <f t="shared" si="10"/>
        <v>0</v>
      </c>
      <c r="T53" s="76">
        <f t="shared" si="11"/>
        <v>0.16666666666666666</v>
      </c>
      <c r="U53" s="77">
        <f t="shared" si="12"/>
        <v>-2.3999999999999994E-3</v>
      </c>
      <c r="V53" s="79">
        <f t="shared" si="13"/>
        <v>-2.3999999999999994E-3</v>
      </c>
    </row>
    <row r="54" spans="1:22">
      <c r="A54" s="165">
        <v>46</v>
      </c>
      <c r="B54" s="131" t="s">
        <v>81</v>
      </c>
      <c r="C54" s="132" t="s">
        <v>41</v>
      </c>
      <c r="D54" s="9">
        <v>590450456512.63</v>
      </c>
      <c r="E54" s="3">
        <f t="shared" si="8"/>
        <v>0.44252195198266875</v>
      </c>
      <c r="F54" s="8">
        <v>100</v>
      </c>
      <c r="G54" s="8">
        <v>100</v>
      </c>
      <c r="H54" s="58">
        <v>133278</v>
      </c>
      <c r="I54" s="5">
        <v>0.2152</v>
      </c>
      <c r="J54" s="5">
        <v>0.2152</v>
      </c>
      <c r="K54" s="9">
        <v>604268766759.10999</v>
      </c>
      <c r="L54" s="3">
        <f t="shared" si="7"/>
        <v>0.45287829188541151</v>
      </c>
      <c r="M54" s="8">
        <v>100</v>
      </c>
      <c r="N54" s="8">
        <v>100</v>
      </c>
      <c r="O54" s="58">
        <v>134219</v>
      </c>
      <c r="P54" s="5">
        <v>0.2109</v>
      </c>
      <c r="Q54" s="5">
        <v>0.2109</v>
      </c>
      <c r="R54" s="76">
        <f t="shared" si="9"/>
        <v>2.3402996973014283E-2</v>
      </c>
      <c r="S54" s="76">
        <f t="shared" si="10"/>
        <v>0</v>
      </c>
      <c r="T54" s="76">
        <f t="shared" si="11"/>
        <v>7.0604300784825706E-3</v>
      </c>
      <c r="U54" s="77">
        <f t="shared" si="12"/>
        <v>-4.2999999999999983E-3</v>
      </c>
      <c r="V54" s="79">
        <f t="shared" si="13"/>
        <v>-4.2999999999999983E-3</v>
      </c>
    </row>
    <row r="55" spans="1:22">
      <c r="A55" s="166">
        <v>47</v>
      </c>
      <c r="B55" s="131" t="s">
        <v>271</v>
      </c>
      <c r="C55" s="131" t="s">
        <v>270</v>
      </c>
      <c r="D55" s="9">
        <v>1173259918.1400001</v>
      </c>
      <c r="E55" s="3">
        <f t="shared" si="8"/>
        <v>8.7931724572598959E-4</v>
      </c>
      <c r="F55" s="8">
        <v>100</v>
      </c>
      <c r="G55" s="8">
        <v>100</v>
      </c>
      <c r="H55" s="58">
        <v>193</v>
      </c>
      <c r="I55" s="5">
        <v>0.21560000000000001</v>
      </c>
      <c r="J55" s="5">
        <v>0.21560000000000001</v>
      </c>
      <c r="K55" s="9">
        <v>1247131509.6300001</v>
      </c>
      <c r="L55" s="3">
        <f t="shared" si="7"/>
        <v>9.3468141811616173E-4</v>
      </c>
      <c r="M55" s="8">
        <v>100</v>
      </c>
      <c r="N55" s="8">
        <v>100</v>
      </c>
      <c r="O55" s="58">
        <v>200</v>
      </c>
      <c r="P55" s="5">
        <v>0.2167</v>
      </c>
      <c r="Q55" s="5">
        <v>0.2167</v>
      </c>
      <c r="R55" s="76">
        <f t="shared" si="9"/>
        <v>6.2962682307523637E-2</v>
      </c>
      <c r="S55" s="76">
        <f t="shared" si="10"/>
        <v>0</v>
      </c>
      <c r="T55" s="76">
        <f t="shared" si="11"/>
        <v>3.6269430051813469E-2</v>
      </c>
      <c r="U55" s="77">
        <f t="shared" si="12"/>
        <v>1.0999999999999899E-3</v>
      </c>
      <c r="V55" s="79">
        <f t="shared" si="13"/>
        <v>1.0999999999999899E-3</v>
      </c>
    </row>
    <row r="56" spans="1:22">
      <c r="A56" s="157">
        <v>48</v>
      </c>
      <c r="B56" s="131" t="s">
        <v>82</v>
      </c>
      <c r="C56" s="132" t="s">
        <v>83</v>
      </c>
      <c r="D56" s="9">
        <v>3634368673.0300002</v>
      </c>
      <c r="E56" s="3">
        <f t="shared" si="8"/>
        <v>2.7238321211789855E-3</v>
      </c>
      <c r="F56" s="8">
        <v>1</v>
      </c>
      <c r="G56" s="8">
        <v>1</v>
      </c>
      <c r="H56" s="58">
        <v>380</v>
      </c>
      <c r="I56" s="5">
        <v>0.19580559860000002</v>
      </c>
      <c r="J56" s="5">
        <v>0.19580559860000002</v>
      </c>
      <c r="K56" s="9">
        <v>3651566942.3200002</v>
      </c>
      <c r="L56" s="3">
        <f t="shared" si="7"/>
        <v>2.7367216220896711E-3</v>
      </c>
      <c r="M56" s="8">
        <v>1</v>
      </c>
      <c r="N56" s="8">
        <v>1</v>
      </c>
      <c r="O56" s="58">
        <v>381</v>
      </c>
      <c r="P56" s="5">
        <v>0.20130010349999999</v>
      </c>
      <c r="Q56" s="5">
        <v>0.20130010349999999</v>
      </c>
      <c r="R56" s="76">
        <f t="shared" si="9"/>
        <v>4.7321201664611637E-3</v>
      </c>
      <c r="S56" s="76">
        <f t="shared" si="10"/>
        <v>0</v>
      </c>
      <c r="T56" s="76">
        <f t="shared" si="11"/>
        <v>2.631578947368421E-3</v>
      </c>
      <c r="U56" s="77">
        <f t="shared" si="12"/>
        <v>5.4945048999999746E-3</v>
      </c>
      <c r="V56" s="79">
        <f t="shared" si="13"/>
        <v>5.4945048999999746E-3</v>
      </c>
    </row>
    <row r="57" spans="1:22">
      <c r="A57" s="162">
        <v>49</v>
      </c>
      <c r="B57" s="131" t="s">
        <v>84</v>
      </c>
      <c r="C57" s="132" t="s">
        <v>44</v>
      </c>
      <c r="D57" s="9">
        <v>53828895790.540001</v>
      </c>
      <c r="E57" s="3">
        <f t="shared" si="8"/>
        <v>4.0342873437666474E-2</v>
      </c>
      <c r="F57" s="8">
        <v>1</v>
      </c>
      <c r="G57" s="8">
        <v>1</v>
      </c>
      <c r="H57" s="58">
        <v>30984</v>
      </c>
      <c r="I57" s="5">
        <v>0.2089</v>
      </c>
      <c r="J57" s="5">
        <v>0.2089</v>
      </c>
      <c r="K57" s="9">
        <v>55124409846.980003</v>
      </c>
      <c r="L57" s="3">
        <f t="shared" si="7"/>
        <v>4.1313815881276139E-2</v>
      </c>
      <c r="M57" s="8">
        <v>1</v>
      </c>
      <c r="N57" s="8">
        <v>1</v>
      </c>
      <c r="O57" s="58">
        <v>24161</v>
      </c>
      <c r="P57" s="5">
        <v>0.21410000000000001</v>
      </c>
      <c r="Q57" s="5">
        <v>0.21410000000000001</v>
      </c>
      <c r="R57" s="76">
        <f t="shared" si="9"/>
        <v>2.4067260481826169E-2</v>
      </c>
      <c r="S57" s="76">
        <f t="shared" si="10"/>
        <v>0</v>
      </c>
      <c r="T57" s="76">
        <f t="shared" si="11"/>
        <v>-0.22021043119029177</v>
      </c>
      <c r="U57" s="77">
        <f t="shared" si="12"/>
        <v>5.2000000000000102E-3</v>
      </c>
      <c r="V57" s="79">
        <f t="shared" si="13"/>
        <v>5.2000000000000102E-3</v>
      </c>
    </row>
    <row r="58" spans="1:22">
      <c r="A58" s="162">
        <v>50</v>
      </c>
      <c r="B58" s="131" t="s">
        <v>85</v>
      </c>
      <c r="C58" s="132" t="s">
        <v>86</v>
      </c>
      <c r="D58" s="9">
        <v>1241492503.1900001</v>
      </c>
      <c r="E58" s="3">
        <f t="shared" si="8"/>
        <v>9.3045518014894921E-4</v>
      </c>
      <c r="F58" s="8">
        <v>1</v>
      </c>
      <c r="G58" s="8">
        <v>1</v>
      </c>
      <c r="H58" s="58">
        <v>107</v>
      </c>
      <c r="I58" s="5">
        <v>0.2162</v>
      </c>
      <c r="J58" s="5">
        <v>0.2162</v>
      </c>
      <c r="K58" s="9">
        <v>1263309600.74</v>
      </c>
      <c r="L58" s="3">
        <f t="shared" si="7"/>
        <v>9.4680633118615024E-4</v>
      </c>
      <c r="M58" s="8">
        <v>1</v>
      </c>
      <c r="N58" s="8">
        <v>1</v>
      </c>
      <c r="O58" s="58">
        <v>110</v>
      </c>
      <c r="P58" s="5">
        <v>0.2203</v>
      </c>
      <c r="Q58" s="5">
        <v>0.2203</v>
      </c>
      <c r="R58" s="76">
        <f t="shared" si="9"/>
        <v>1.7573281750748539E-2</v>
      </c>
      <c r="S58" s="76">
        <f t="shared" si="10"/>
        <v>0</v>
      </c>
      <c r="T58" s="76">
        <f t="shared" si="11"/>
        <v>2.8037383177570093E-2</v>
      </c>
      <c r="U58" s="77">
        <f t="shared" si="12"/>
        <v>4.0999999999999925E-3</v>
      </c>
      <c r="V58" s="79">
        <f t="shared" si="13"/>
        <v>4.0999999999999925E-3</v>
      </c>
    </row>
    <row r="59" spans="1:22">
      <c r="A59" s="157">
        <v>51</v>
      </c>
      <c r="B59" s="131" t="s">
        <v>87</v>
      </c>
      <c r="C59" s="132" t="s">
        <v>88</v>
      </c>
      <c r="D59" s="9">
        <v>2044861998.0999999</v>
      </c>
      <c r="E59" s="3">
        <f t="shared" si="8"/>
        <v>1.5325524994577358E-3</v>
      </c>
      <c r="F59" s="8">
        <v>1</v>
      </c>
      <c r="G59" s="8">
        <v>1</v>
      </c>
      <c r="H59" s="58">
        <v>313</v>
      </c>
      <c r="I59" s="5">
        <v>0.187</v>
      </c>
      <c r="J59" s="5">
        <v>0.187</v>
      </c>
      <c r="K59" s="9">
        <v>2033986358.3</v>
      </c>
      <c r="L59" s="3">
        <f t="shared" si="7"/>
        <v>1.5244015880641168E-3</v>
      </c>
      <c r="M59" s="8">
        <v>1</v>
      </c>
      <c r="N59" s="8">
        <v>1</v>
      </c>
      <c r="O59" s="58">
        <v>313</v>
      </c>
      <c r="P59" s="5">
        <v>0.20580000000000001</v>
      </c>
      <c r="Q59" s="5">
        <v>0.20580000000000001</v>
      </c>
      <c r="R59" s="76">
        <f t="shared" si="9"/>
        <v>-5.3185201789192329E-3</v>
      </c>
      <c r="S59" s="76">
        <f t="shared" si="10"/>
        <v>0</v>
      </c>
      <c r="T59" s="76">
        <f t="shared" si="11"/>
        <v>0</v>
      </c>
      <c r="U59" s="77">
        <f t="shared" si="12"/>
        <v>1.8800000000000011E-2</v>
      </c>
      <c r="V59" s="79">
        <f t="shared" si="13"/>
        <v>1.8800000000000011E-2</v>
      </c>
    </row>
    <row r="60" spans="1:22">
      <c r="A60" s="160">
        <v>52</v>
      </c>
      <c r="B60" s="131" t="s">
        <v>257</v>
      </c>
      <c r="C60" s="132" t="s">
        <v>258</v>
      </c>
      <c r="D60" s="9">
        <v>1785052812.6199999</v>
      </c>
      <c r="E60" s="3">
        <f t="shared" si="8"/>
        <v>1.3378346080012871E-3</v>
      </c>
      <c r="F60" s="8">
        <v>1</v>
      </c>
      <c r="G60" s="8">
        <v>1</v>
      </c>
      <c r="H60" s="58">
        <v>1193</v>
      </c>
      <c r="I60" s="5">
        <v>0.22509999999999999</v>
      </c>
      <c r="J60" s="5">
        <v>0.22509999999999999</v>
      </c>
      <c r="K60" s="9">
        <v>1926688593.6300001</v>
      </c>
      <c r="L60" s="3">
        <f t="shared" si="7"/>
        <v>1.4439856687580577E-3</v>
      </c>
      <c r="M60" s="8">
        <v>1</v>
      </c>
      <c r="N60" s="8">
        <v>1</v>
      </c>
      <c r="O60" s="58">
        <v>1220</v>
      </c>
      <c r="P60" s="5">
        <v>0.2286</v>
      </c>
      <c r="Q60" s="5">
        <v>0.2286</v>
      </c>
      <c r="R60" s="76">
        <f t="shared" si="9"/>
        <v>7.9345428890764985E-2</v>
      </c>
      <c r="S60" s="76">
        <f t="shared" si="10"/>
        <v>0</v>
      </c>
      <c r="T60" s="76">
        <f t="shared" si="11"/>
        <v>2.2632020117351215E-2</v>
      </c>
      <c r="U60" s="77">
        <f t="shared" si="12"/>
        <v>3.5000000000000031E-3</v>
      </c>
      <c r="V60" s="79">
        <f t="shared" si="13"/>
        <v>3.5000000000000031E-3</v>
      </c>
    </row>
    <row r="61" spans="1:22">
      <c r="A61" s="158">
        <v>53</v>
      </c>
      <c r="B61" s="131" t="s">
        <v>89</v>
      </c>
      <c r="C61" s="132" t="s">
        <v>90</v>
      </c>
      <c r="D61" s="9">
        <v>38618938818.900002</v>
      </c>
      <c r="E61" s="3">
        <f t="shared" si="8"/>
        <v>2.8943543020655337E-2</v>
      </c>
      <c r="F61" s="8">
        <v>1</v>
      </c>
      <c r="G61" s="8">
        <v>1</v>
      </c>
      <c r="H61" s="58">
        <v>3889</v>
      </c>
      <c r="I61" s="5">
        <v>0.21340000000000001</v>
      </c>
      <c r="J61" s="5">
        <v>0.21340000000000001</v>
      </c>
      <c r="K61" s="9">
        <v>40130358014.269997</v>
      </c>
      <c r="L61" s="3">
        <f t="shared" si="7"/>
        <v>3.0076298809429799E-2</v>
      </c>
      <c r="M61" s="8">
        <v>1</v>
      </c>
      <c r="N61" s="8">
        <v>1</v>
      </c>
      <c r="O61" s="58">
        <v>3905</v>
      </c>
      <c r="P61" s="5">
        <v>0.2157</v>
      </c>
      <c r="Q61" s="5">
        <v>0.2157</v>
      </c>
      <c r="R61" s="76">
        <f t="shared" si="9"/>
        <v>3.9136735539463105E-2</v>
      </c>
      <c r="S61" s="76">
        <f t="shared" si="10"/>
        <v>0</v>
      </c>
      <c r="T61" s="76">
        <f t="shared" si="11"/>
        <v>4.1141681666238107E-3</v>
      </c>
      <c r="U61" s="77">
        <f t="shared" si="12"/>
        <v>2.2999999999999965E-3</v>
      </c>
      <c r="V61" s="79">
        <f t="shared" si="13"/>
        <v>2.2999999999999965E-3</v>
      </c>
    </row>
    <row r="62" spans="1:22">
      <c r="A62" s="71"/>
      <c r="B62" s="129"/>
      <c r="C62" s="68" t="s">
        <v>45</v>
      </c>
      <c r="D62" s="57">
        <f>SUM(D26:D61)</f>
        <v>1307622955124.6592</v>
      </c>
      <c r="E62" s="96">
        <f>(D62/$D$205)</f>
        <v>0.38450984486303036</v>
      </c>
      <c r="F62" s="30"/>
      <c r="G62" s="11"/>
      <c r="H62" s="63">
        <f>SUM(H26:H61)</f>
        <v>319634</v>
      </c>
      <c r="I62" s="32"/>
      <c r="J62" s="32"/>
      <c r="K62" s="57">
        <f>SUM(K26:K61)</f>
        <v>1334285121601.7297</v>
      </c>
      <c r="L62" s="96">
        <f>(K62/$K$205)</f>
        <v>0.38643453632949959</v>
      </c>
      <c r="M62" s="30"/>
      <c r="N62" s="11"/>
      <c r="O62" s="63">
        <f>SUM(O26:O61)</f>
        <v>314634</v>
      </c>
      <c r="P62" s="32"/>
      <c r="Q62" s="32"/>
      <c r="R62" s="76">
        <f t="shared" si="9"/>
        <v>2.0389796900230146E-2</v>
      </c>
      <c r="S62" s="76" t="e">
        <f t="shared" si="10"/>
        <v>#DIV/0!</v>
      </c>
      <c r="T62" s="76">
        <f t="shared" si="11"/>
        <v>-1.5642891557218569E-2</v>
      </c>
      <c r="U62" s="77">
        <f t="shared" si="12"/>
        <v>0</v>
      </c>
      <c r="V62" s="79">
        <f t="shared" si="13"/>
        <v>0</v>
      </c>
    </row>
    <row r="63" spans="1:22" ht="9" customHeigh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</row>
    <row r="64" spans="1:22" ht="15" customHeight="1">
      <c r="A64" s="168" t="s">
        <v>91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</row>
    <row r="65" spans="1:22">
      <c r="A65" s="166">
        <v>54</v>
      </c>
      <c r="B65" s="131" t="s">
        <v>92</v>
      </c>
      <c r="C65" s="132" t="s">
        <v>18</v>
      </c>
      <c r="D65" s="2">
        <v>480532704.85000002</v>
      </c>
      <c r="E65" s="3">
        <f>(D65/$D$101)</f>
        <v>2.1990278240956512E-3</v>
      </c>
      <c r="F65" s="14">
        <v>1.292</v>
      </c>
      <c r="G65" s="14">
        <v>1.292</v>
      </c>
      <c r="H65" s="58">
        <v>459</v>
      </c>
      <c r="I65" s="5">
        <v>4.6500000000000003E-4</v>
      </c>
      <c r="J65" s="5">
        <v>9.2999999999999992E-3</v>
      </c>
      <c r="K65" s="2">
        <v>476553430.92000002</v>
      </c>
      <c r="L65" s="3">
        <f t="shared" ref="L65:L86" si="16">(K65/$K$101)</f>
        <v>2.1857469238351483E-3</v>
      </c>
      <c r="M65" s="14">
        <v>1.2819</v>
      </c>
      <c r="N65" s="14">
        <v>1.2819</v>
      </c>
      <c r="O65" s="58">
        <v>459</v>
      </c>
      <c r="P65" s="5">
        <v>4.6799999999999999E-4</v>
      </c>
      <c r="Q65" s="5">
        <v>1.4E-3</v>
      </c>
      <c r="R65" s="76">
        <f>((K65-D65)/D65)</f>
        <v>-8.2809637925521668E-3</v>
      </c>
      <c r="S65" s="76">
        <f>((N65-G65)/G65)</f>
        <v>-7.8173374613003076E-3</v>
      </c>
      <c r="T65" s="76">
        <f>((O65-H65)/H65)</f>
        <v>0</v>
      </c>
      <c r="U65" s="77">
        <f>P65-I65</f>
        <v>2.9999999999999645E-6</v>
      </c>
      <c r="V65" s="79">
        <f>Q65-J65</f>
        <v>-7.899999999999999E-3</v>
      </c>
    </row>
    <row r="66" spans="1:22">
      <c r="A66" s="162">
        <v>55</v>
      </c>
      <c r="B66" s="131" t="s">
        <v>93</v>
      </c>
      <c r="C66" s="132" t="s">
        <v>20</v>
      </c>
      <c r="D66" s="2">
        <v>1412076108.9100001</v>
      </c>
      <c r="E66" s="3">
        <f>(D66/$D$101)</f>
        <v>6.4619840062771763E-3</v>
      </c>
      <c r="F66" s="14">
        <v>1.1834</v>
      </c>
      <c r="G66" s="14">
        <v>1.1834</v>
      </c>
      <c r="H66" s="58">
        <v>727</v>
      </c>
      <c r="I66" s="5">
        <v>0.1462</v>
      </c>
      <c r="J66" s="5">
        <v>2.93E-2</v>
      </c>
      <c r="K66" s="2">
        <v>1415049796.48</v>
      </c>
      <c r="L66" s="3">
        <f t="shared" si="16"/>
        <v>6.4902286691309761E-3</v>
      </c>
      <c r="M66" s="14">
        <v>1.1862999999999999</v>
      </c>
      <c r="N66" s="14">
        <v>1.1862999999999999</v>
      </c>
      <c r="O66" s="58">
        <v>727</v>
      </c>
      <c r="P66" s="5">
        <v>3.2000000000000001E-2</v>
      </c>
      <c r="Q66" s="5">
        <v>0.12809999999999999</v>
      </c>
      <c r="R66" s="76">
        <f t="shared" ref="R66:R101" si="17">((K66-D66)/D66)</f>
        <v>2.1058975158891125E-3</v>
      </c>
      <c r="S66" s="76">
        <f t="shared" ref="S66:S101" si="18">((N66-G66)/G66)</f>
        <v>2.4505661652863804E-3</v>
      </c>
      <c r="T66" s="76">
        <f t="shared" ref="T66:T101" si="19">((O66-H66)/H66)</f>
        <v>0</v>
      </c>
      <c r="U66" s="77">
        <f t="shared" ref="U66:U101" si="20">P66-I66</f>
        <v>-0.1142</v>
      </c>
      <c r="V66" s="79">
        <f t="shared" ref="V66:V101" si="21">Q66-J66</f>
        <v>9.8799999999999999E-2</v>
      </c>
    </row>
    <row r="67" spans="1:22">
      <c r="A67" s="162">
        <v>56</v>
      </c>
      <c r="B67" s="131" t="s">
        <v>94</v>
      </c>
      <c r="C67" s="132" t="s">
        <v>20</v>
      </c>
      <c r="D67" s="2">
        <v>850503281.88</v>
      </c>
      <c r="E67" s="3">
        <f>(D67/$D$101)</f>
        <v>3.8920980038655252E-3</v>
      </c>
      <c r="F67" s="14">
        <v>1.0778000000000001</v>
      </c>
      <c r="G67" s="14">
        <v>1.0778000000000001</v>
      </c>
      <c r="H67" s="58">
        <v>182</v>
      </c>
      <c r="I67" s="5">
        <v>0.1069</v>
      </c>
      <c r="J67" s="5">
        <v>1.04E-2</v>
      </c>
      <c r="K67" s="2">
        <v>853031169.08000004</v>
      </c>
      <c r="L67" s="3">
        <f t="shared" si="16"/>
        <v>3.9124894141515671E-3</v>
      </c>
      <c r="M67" s="14">
        <v>1.0801000000000001</v>
      </c>
      <c r="N67" s="14">
        <v>1.0801000000000001</v>
      </c>
      <c r="O67" s="58">
        <v>183</v>
      </c>
      <c r="P67" s="5">
        <v>1.32E-2</v>
      </c>
      <c r="Q67" s="5">
        <v>0.1116</v>
      </c>
      <c r="R67" s="76">
        <f t="shared" si="17"/>
        <v>2.9722250976060485E-3</v>
      </c>
      <c r="S67" s="76">
        <f t="shared" si="18"/>
        <v>2.1339766190387535E-3</v>
      </c>
      <c r="T67" s="76">
        <f t="shared" si="19"/>
        <v>5.4945054945054949E-3</v>
      </c>
      <c r="U67" s="77">
        <f t="shared" si="20"/>
        <v>-9.3699999999999992E-2</v>
      </c>
      <c r="V67" s="79">
        <f t="shared" si="21"/>
        <v>0.10120000000000001</v>
      </c>
    </row>
    <row r="68" spans="1:22">
      <c r="A68" s="162">
        <v>57</v>
      </c>
      <c r="B68" s="131" t="s">
        <v>95</v>
      </c>
      <c r="C68" s="132" t="s">
        <v>96</v>
      </c>
      <c r="D68" s="2">
        <v>269639597.38999999</v>
      </c>
      <c r="E68" s="3">
        <f>(D68/$D$101)</f>
        <v>1.2339326151039999E-3</v>
      </c>
      <c r="F68" s="7">
        <v>1083.02</v>
      </c>
      <c r="G68" s="7">
        <v>1083.02</v>
      </c>
      <c r="H68" s="58">
        <v>112</v>
      </c>
      <c r="I68" s="5">
        <v>3.6419999999999998E-3</v>
      </c>
      <c r="J68" s="5">
        <v>4.8066999999999999E-2</v>
      </c>
      <c r="K68" s="2">
        <v>269103103.20999998</v>
      </c>
      <c r="L68" s="3">
        <f t="shared" si="16"/>
        <v>1.2342609283081433E-3</v>
      </c>
      <c r="M68" s="7">
        <v>1080.8699999999999</v>
      </c>
      <c r="N68" s="7">
        <v>1080.8699999999999</v>
      </c>
      <c r="O68" s="58">
        <v>112</v>
      </c>
      <c r="P68" s="5">
        <v>-2.4099999999999998E-3</v>
      </c>
      <c r="Q68" s="5">
        <v>4.573E-2</v>
      </c>
      <c r="R68" s="76">
        <f t="shared" si="17"/>
        <v>-1.9896713435009154E-3</v>
      </c>
      <c r="S68" s="76">
        <f t="shared" si="18"/>
        <v>-1.9851895625197049E-3</v>
      </c>
      <c r="T68" s="76">
        <f t="shared" si="19"/>
        <v>0</v>
      </c>
      <c r="U68" s="77">
        <f t="shared" si="20"/>
        <v>-6.0520000000000001E-3</v>
      </c>
      <c r="V68" s="79">
        <f t="shared" si="21"/>
        <v>-2.3369999999999988E-3</v>
      </c>
    </row>
    <row r="69" spans="1:22" ht="15" customHeight="1">
      <c r="A69" s="165">
        <v>58</v>
      </c>
      <c r="B69" s="131" t="s">
        <v>97</v>
      </c>
      <c r="C69" s="132" t="s">
        <v>98</v>
      </c>
      <c r="D69" s="2">
        <v>1587254205.8699999</v>
      </c>
      <c r="E69" s="3">
        <f>(D69/$K$101)</f>
        <v>7.2800567003097659E-3</v>
      </c>
      <c r="F69" s="7">
        <v>1.0519000000000001</v>
      </c>
      <c r="G69" s="7">
        <v>1.0519000000000001</v>
      </c>
      <c r="H69" s="58">
        <v>878</v>
      </c>
      <c r="I69" s="5">
        <v>3.0000000000000001E-3</v>
      </c>
      <c r="J69" s="5">
        <v>7.5600000000000001E-2</v>
      </c>
      <c r="K69" s="2">
        <v>1549200562.1900001</v>
      </c>
      <c r="L69" s="3">
        <f t="shared" si="16"/>
        <v>7.1055208996678408E-3</v>
      </c>
      <c r="M69" s="7">
        <v>1.0549999999999999</v>
      </c>
      <c r="N69" s="7">
        <v>1.0549999999999999</v>
      </c>
      <c r="O69" s="58">
        <v>881</v>
      </c>
      <c r="P69" s="5">
        <v>2.8999999999999998E-3</v>
      </c>
      <c r="Q69" s="5">
        <v>7.8600000000000003E-2</v>
      </c>
      <c r="R69" s="76">
        <f t="shared" si="17"/>
        <v>-2.3974511164796066E-2</v>
      </c>
      <c r="S69" s="76">
        <f t="shared" si="18"/>
        <v>2.9470481984978426E-3</v>
      </c>
      <c r="T69" s="76">
        <f t="shared" si="19"/>
        <v>3.4168564920273349E-3</v>
      </c>
      <c r="U69" s="77">
        <f t="shared" si="20"/>
        <v>-1.0000000000000026E-4</v>
      </c>
      <c r="V69" s="79">
        <v>7.87</v>
      </c>
    </row>
    <row r="70" spans="1:22">
      <c r="A70" s="165">
        <v>59</v>
      </c>
      <c r="B70" s="131" t="s">
        <v>99</v>
      </c>
      <c r="C70" s="132" t="s">
        <v>100</v>
      </c>
      <c r="D70" s="2">
        <v>425096648.1085062</v>
      </c>
      <c r="E70" s="3">
        <f t="shared" ref="E70:E86" si="22">(D70/$D$101)</f>
        <v>1.9453397192022632E-3</v>
      </c>
      <c r="F70" s="7">
        <v>2.4220000000000002</v>
      </c>
      <c r="G70" s="7">
        <v>2.4220000000000002</v>
      </c>
      <c r="H70" s="58">
        <v>1392</v>
      </c>
      <c r="I70" s="5">
        <v>0.1298</v>
      </c>
      <c r="J70" s="5">
        <v>0.121</v>
      </c>
      <c r="K70" s="2">
        <v>424648169.92890382</v>
      </c>
      <c r="L70" s="3">
        <f t="shared" si="16"/>
        <v>1.9476796743283569E-3</v>
      </c>
      <c r="M70" s="7">
        <v>2.4279999999999999</v>
      </c>
      <c r="N70" s="7">
        <v>2.4279999999999999</v>
      </c>
      <c r="O70" s="58">
        <v>1392</v>
      </c>
      <c r="P70" s="5">
        <v>0.1295</v>
      </c>
      <c r="Q70" s="5">
        <v>0.1215</v>
      </c>
      <c r="R70" s="76">
        <f t="shared" si="17"/>
        <v>-1.0550028601681899E-3</v>
      </c>
      <c r="S70" s="76">
        <f t="shared" si="18"/>
        <v>2.4772914946324456E-3</v>
      </c>
      <c r="T70" s="76">
        <f t="shared" si="19"/>
        <v>0</v>
      </c>
      <c r="U70" s="77">
        <f t="shared" si="20"/>
        <v>-2.9999999999999472E-4</v>
      </c>
      <c r="V70" s="79">
        <f t="shared" si="21"/>
        <v>5.0000000000000044E-4</v>
      </c>
    </row>
    <row r="71" spans="1:22">
      <c r="A71" s="166">
        <v>60</v>
      </c>
      <c r="B71" s="131" t="s">
        <v>268</v>
      </c>
      <c r="C71" s="132" t="s">
        <v>266</v>
      </c>
      <c r="D71" s="2">
        <v>136986038.74000001</v>
      </c>
      <c r="E71" s="3">
        <f t="shared" si="22"/>
        <v>6.2687951862909453E-4</v>
      </c>
      <c r="F71" s="7">
        <v>10.99</v>
      </c>
      <c r="G71" s="7">
        <v>10.99</v>
      </c>
      <c r="H71" s="58">
        <v>29</v>
      </c>
      <c r="I71" s="5">
        <v>9.4000000000000004E-3</v>
      </c>
      <c r="J71" s="5">
        <v>6.8199999999999997E-2</v>
      </c>
      <c r="K71" s="2">
        <v>136713131.63999999</v>
      </c>
      <c r="L71" s="3">
        <f t="shared" si="16"/>
        <v>6.2704470798398925E-4</v>
      </c>
      <c r="M71" s="7">
        <v>10.97</v>
      </c>
      <c r="N71" s="7">
        <v>11.01</v>
      </c>
      <c r="O71" s="58">
        <v>29</v>
      </c>
      <c r="P71" s="5">
        <v>-7.1999999999999995E-2</v>
      </c>
      <c r="Q71" s="5">
        <v>6.8000000000000005E-2</v>
      </c>
      <c r="R71" s="76">
        <f>((K71-D71)/D71)</f>
        <v>-1.9922256494912046E-3</v>
      </c>
      <c r="S71" s="76">
        <f>((N71-G71)/G71)</f>
        <v>1.8198362147406346E-3</v>
      </c>
      <c r="T71" s="76">
        <f>((O71-H71)/H71)</f>
        <v>0</v>
      </c>
      <c r="U71" s="77">
        <f>P71-I71</f>
        <v>-8.14E-2</v>
      </c>
      <c r="V71" s="79">
        <f>Q71-J71</f>
        <v>-1.9999999999999185E-4</v>
      </c>
    </row>
    <row r="72" spans="1:22">
      <c r="A72" s="166">
        <v>61</v>
      </c>
      <c r="B72" s="131" t="s">
        <v>101</v>
      </c>
      <c r="C72" s="132" t="s">
        <v>55</v>
      </c>
      <c r="D72" s="2">
        <v>2398156211.2491498</v>
      </c>
      <c r="E72" s="3">
        <f t="shared" si="22"/>
        <v>1.0974512622841905E-2</v>
      </c>
      <c r="F72" s="2">
        <v>4265.7952457210504</v>
      </c>
      <c r="G72" s="2">
        <v>4265.7952457210504</v>
      </c>
      <c r="H72" s="58">
        <v>1040</v>
      </c>
      <c r="I72" s="5">
        <v>0.10929353735311706</v>
      </c>
      <c r="J72" s="5">
        <v>9.779493059381747E-2</v>
      </c>
      <c r="K72" s="2">
        <v>2300596401.0444899</v>
      </c>
      <c r="L72" s="3">
        <f t="shared" si="16"/>
        <v>1.0551852489785882E-2</v>
      </c>
      <c r="M72" s="2">
        <v>4273.7711851144304</v>
      </c>
      <c r="N72" s="2">
        <v>4273.7711851144304</v>
      </c>
      <c r="O72" s="58">
        <v>1038</v>
      </c>
      <c r="P72" s="5">
        <v>9.7760831043345389E-2</v>
      </c>
      <c r="Q72" s="5">
        <v>9.7971872779858346E-2</v>
      </c>
      <c r="R72" s="76">
        <f t="shared" si="17"/>
        <v>-4.0681174039885859E-2</v>
      </c>
      <c r="S72" s="76">
        <f t="shared" si="18"/>
        <v>1.8697426702279172E-3</v>
      </c>
      <c r="T72" s="76">
        <f t="shared" si="19"/>
        <v>-1.9230769230769232E-3</v>
      </c>
      <c r="U72" s="77">
        <f t="shared" si="20"/>
        <v>-1.153270630977167E-2</v>
      </c>
      <c r="V72" s="79">
        <f t="shared" si="21"/>
        <v>1.7694218604087653E-4</v>
      </c>
    </row>
    <row r="73" spans="1:22">
      <c r="A73" s="162">
        <v>62</v>
      </c>
      <c r="B73" s="131" t="s">
        <v>102</v>
      </c>
      <c r="C73" s="132" t="s">
        <v>57</v>
      </c>
      <c r="D73" s="2">
        <v>363447324.13</v>
      </c>
      <c r="E73" s="3">
        <f t="shared" si="22"/>
        <v>1.6632182789815804E-3</v>
      </c>
      <c r="F73" s="14">
        <v>110.68</v>
      </c>
      <c r="G73" s="14">
        <v>110.68</v>
      </c>
      <c r="H73" s="58">
        <v>130</v>
      </c>
      <c r="I73" s="5">
        <v>2.2000000000000001E-3</v>
      </c>
      <c r="J73" s="5">
        <v>0.1206</v>
      </c>
      <c r="K73" s="2">
        <v>350031402.17000002</v>
      </c>
      <c r="L73" s="3">
        <f t="shared" si="16"/>
        <v>1.6054444494540145E-3</v>
      </c>
      <c r="M73" s="14">
        <v>110.92</v>
      </c>
      <c r="N73" s="14">
        <v>110.92</v>
      </c>
      <c r="O73" s="58">
        <v>130</v>
      </c>
      <c r="P73" s="5">
        <v>2.2000000000000001E-3</v>
      </c>
      <c r="Q73" s="5">
        <v>0.1159</v>
      </c>
      <c r="R73" s="76">
        <f t="shared" si="17"/>
        <v>-3.6912974919031984E-2</v>
      </c>
      <c r="S73" s="76">
        <f t="shared" si="18"/>
        <v>2.1684134441633074E-3</v>
      </c>
      <c r="T73" s="76">
        <f t="shared" si="19"/>
        <v>0</v>
      </c>
      <c r="U73" s="77">
        <f t="shared" si="20"/>
        <v>0</v>
      </c>
      <c r="V73" s="79">
        <f t="shared" si="21"/>
        <v>-4.6999999999999958E-3</v>
      </c>
    </row>
    <row r="74" spans="1:22" ht="13.5" customHeight="1">
      <c r="A74" s="162">
        <v>63</v>
      </c>
      <c r="B74" s="131" t="s">
        <v>103</v>
      </c>
      <c r="C74" s="132" t="s">
        <v>104</v>
      </c>
      <c r="D74" s="2">
        <v>333519907.81999999</v>
      </c>
      <c r="E74" s="3">
        <f t="shared" si="22"/>
        <v>1.5262635608016238E-3</v>
      </c>
      <c r="F74" s="14">
        <v>1.3445</v>
      </c>
      <c r="G74" s="14">
        <v>1.3445</v>
      </c>
      <c r="H74" s="58">
        <v>349</v>
      </c>
      <c r="I74" s="5">
        <v>7.1915499288337514E-3</v>
      </c>
      <c r="J74" s="5">
        <v>2.6001425217237695E-2</v>
      </c>
      <c r="K74" s="2">
        <v>331800209.86000001</v>
      </c>
      <c r="L74" s="3">
        <f t="shared" si="16"/>
        <v>1.5218257617603799E-3</v>
      </c>
      <c r="M74" s="14">
        <v>1.3391999999999999</v>
      </c>
      <c r="N74" s="14">
        <v>1.3391999999999999</v>
      </c>
      <c r="O74" s="58">
        <v>348</v>
      </c>
      <c r="P74" s="5">
        <v>-3.9419858683525932E-3</v>
      </c>
      <c r="Q74" s="5">
        <v>2.2131399660464957E-2</v>
      </c>
      <c r="R74" s="76">
        <f t="shared" si="17"/>
        <v>-5.1562078295131217E-3</v>
      </c>
      <c r="S74" s="76">
        <f t="shared" si="18"/>
        <v>-3.9419858683526088E-3</v>
      </c>
      <c r="T74" s="76">
        <f t="shared" si="19"/>
        <v>-2.8653295128939827E-3</v>
      </c>
      <c r="U74" s="77">
        <f t="shared" si="20"/>
        <v>-1.1133535797186345E-2</v>
      </c>
      <c r="V74" s="79">
        <f t="shared" si="21"/>
        <v>-3.8700255567727382E-3</v>
      </c>
    </row>
    <row r="75" spans="1:22">
      <c r="A75" s="161">
        <v>64</v>
      </c>
      <c r="B75" s="131" t="s">
        <v>105</v>
      </c>
      <c r="C75" s="132" t="s">
        <v>24</v>
      </c>
      <c r="D75" s="2">
        <v>119171123.61</v>
      </c>
      <c r="E75" s="3">
        <f t="shared" si="22"/>
        <v>5.4535438275514524E-4</v>
      </c>
      <c r="F75" s="14">
        <v>122.0986</v>
      </c>
      <c r="G75" s="14">
        <v>122.0986</v>
      </c>
      <c r="H75" s="58">
        <v>159</v>
      </c>
      <c r="I75" s="5">
        <v>4.3399999999999998E-4</v>
      </c>
      <c r="J75" s="5">
        <v>0.14019999999999999</v>
      </c>
      <c r="K75" s="2">
        <v>117396765.98</v>
      </c>
      <c r="L75" s="3">
        <f t="shared" si="16"/>
        <v>5.3844879390251552E-4</v>
      </c>
      <c r="M75" s="14">
        <v>124.5812</v>
      </c>
      <c r="N75" s="14">
        <v>124.5812</v>
      </c>
      <c r="O75" s="58">
        <v>162</v>
      </c>
      <c r="P75" s="5">
        <v>4.3800000000000002E-4</v>
      </c>
      <c r="Q75" s="5">
        <v>0.1202</v>
      </c>
      <c r="R75" s="76">
        <f t="shared" si="17"/>
        <v>-1.4889157509387648E-2</v>
      </c>
      <c r="S75" s="76">
        <f t="shared" si="18"/>
        <v>2.033274746802986E-2</v>
      </c>
      <c r="T75" s="76">
        <f t="shared" si="19"/>
        <v>1.8867924528301886E-2</v>
      </c>
      <c r="U75" s="77">
        <f t="shared" si="20"/>
        <v>4.000000000000043E-6</v>
      </c>
      <c r="V75" s="79">
        <f t="shared" si="21"/>
        <v>-1.999999999999999E-2</v>
      </c>
    </row>
    <row r="76" spans="1:22">
      <c r="A76" s="166">
        <v>65</v>
      </c>
      <c r="B76" s="131" t="s">
        <v>106</v>
      </c>
      <c r="C76" s="132" t="s">
        <v>107</v>
      </c>
      <c r="D76" s="2">
        <v>1547881185.3500001</v>
      </c>
      <c r="E76" s="3">
        <f t="shared" si="22"/>
        <v>7.0834591706746093E-3</v>
      </c>
      <c r="F76" s="7">
        <v>1000</v>
      </c>
      <c r="G76" s="7">
        <v>1000</v>
      </c>
      <c r="H76" s="58">
        <v>343</v>
      </c>
      <c r="I76" s="5">
        <v>1.01E-2</v>
      </c>
      <c r="J76" s="5">
        <v>0.18379999999999999</v>
      </c>
      <c r="K76" s="2">
        <v>1538691082.8700004</v>
      </c>
      <c r="L76" s="3">
        <f t="shared" si="16"/>
        <v>7.0573184094445468E-3</v>
      </c>
      <c r="M76" s="7">
        <v>1000</v>
      </c>
      <c r="N76" s="7">
        <v>1000</v>
      </c>
      <c r="O76" s="58">
        <v>346</v>
      </c>
      <c r="P76" s="5">
        <v>5.9999999999999995E-4</v>
      </c>
      <c r="Q76" s="5">
        <v>0.18410000000000001</v>
      </c>
      <c r="R76" s="76">
        <f t="shared" si="17"/>
        <v>-5.9372144108862943E-3</v>
      </c>
      <c r="S76" s="76">
        <f t="shared" si="18"/>
        <v>0</v>
      </c>
      <c r="T76" s="76">
        <f t="shared" si="19"/>
        <v>8.7463556851311956E-3</v>
      </c>
      <c r="U76" s="77">
        <f t="shared" si="20"/>
        <v>-9.4999999999999998E-3</v>
      </c>
      <c r="V76" s="79">
        <f t="shared" si="21"/>
        <v>3.0000000000002247E-4</v>
      </c>
    </row>
    <row r="77" spans="1:22">
      <c r="A77" s="166">
        <v>66</v>
      </c>
      <c r="B77" s="131" t="s">
        <v>108</v>
      </c>
      <c r="C77" s="132" t="s">
        <v>63</v>
      </c>
      <c r="D77" s="2">
        <v>224346783.75999999</v>
      </c>
      <c r="E77" s="3">
        <f t="shared" si="22"/>
        <v>1.026662316123956E-3</v>
      </c>
      <c r="F77" s="7">
        <v>1049.0899999999999</v>
      </c>
      <c r="G77" s="7">
        <v>1054.9100000000001</v>
      </c>
      <c r="H77" s="58">
        <v>76</v>
      </c>
      <c r="I77" s="5">
        <v>-5.8999999999999999E-3</v>
      </c>
      <c r="J77" s="5">
        <v>4.8500000000000001E-2</v>
      </c>
      <c r="K77" s="2">
        <v>223677568.00999999</v>
      </c>
      <c r="L77" s="3">
        <f t="shared" si="16"/>
        <v>1.025913411776187E-3</v>
      </c>
      <c r="M77" s="7">
        <v>1051.53</v>
      </c>
      <c r="N77" s="7">
        <v>1057.97</v>
      </c>
      <c r="O77" s="58">
        <v>75</v>
      </c>
      <c r="P77" s="5">
        <v>2.5999999999999999E-3</v>
      </c>
      <c r="Q77" s="5">
        <v>5.11E-2</v>
      </c>
      <c r="R77" s="76">
        <f t="shared" si="17"/>
        <v>-2.9829522794314208E-3</v>
      </c>
      <c r="S77" s="76">
        <f t="shared" si="18"/>
        <v>2.9007213885544219E-3</v>
      </c>
      <c r="T77" s="76">
        <f t="shared" si="19"/>
        <v>-1.3157894736842105E-2</v>
      </c>
      <c r="U77" s="77">
        <f t="shared" si="20"/>
        <v>8.5000000000000006E-3</v>
      </c>
      <c r="V77" s="79">
        <f t="shared" si="21"/>
        <v>2.5999999999999981E-3</v>
      </c>
    </row>
    <row r="78" spans="1:22">
      <c r="A78" s="159">
        <v>67</v>
      </c>
      <c r="B78" s="131" t="s">
        <v>109</v>
      </c>
      <c r="C78" s="132" t="s">
        <v>66</v>
      </c>
      <c r="D78" s="2">
        <v>957882797.07000005</v>
      </c>
      <c r="E78" s="3">
        <f t="shared" si="22"/>
        <v>4.3834912831521465E-3</v>
      </c>
      <c r="F78" s="15">
        <v>1.1923999999999999</v>
      </c>
      <c r="G78" s="15">
        <v>1.1923999999999999</v>
      </c>
      <c r="H78" s="58">
        <v>43</v>
      </c>
      <c r="I78" s="5">
        <v>2.2690000000000002E-3</v>
      </c>
      <c r="J78" s="5">
        <v>0.11695999999999999</v>
      </c>
      <c r="K78" s="2">
        <v>959820398.47000003</v>
      </c>
      <c r="L78" s="3">
        <f t="shared" si="16"/>
        <v>4.4022859710398593E-3</v>
      </c>
      <c r="M78" s="15">
        <v>1.1950000000000001</v>
      </c>
      <c r="N78" s="15">
        <v>1.1950000000000001</v>
      </c>
      <c r="O78" s="58">
        <v>42</v>
      </c>
      <c r="P78" s="5">
        <v>1.4250000000000001E-3</v>
      </c>
      <c r="Q78" s="5">
        <v>0.11700000000000001</v>
      </c>
      <c r="R78" s="76">
        <f t="shared" si="17"/>
        <v>2.0227959056439556E-3</v>
      </c>
      <c r="S78" s="76">
        <f t="shared" si="18"/>
        <v>2.1804763502181802E-3</v>
      </c>
      <c r="T78" s="76">
        <f t="shared" si="19"/>
        <v>-2.3255813953488372E-2</v>
      </c>
      <c r="U78" s="77">
        <f t="shared" si="20"/>
        <v>-8.4400000000000013E-4</v>
      </c>
      <c r="V78" s="79">
        <f t="shared" si="21"/>
        <v>4.0000000000012248E-5</v>
      </c>
    </row>
    <row r="79" spans="1:22">
      <c r="A79" s="157">
        <v>68</v>
      </c>
      <c r="B79" s="131" t="s">
        <v>110</v>
      </c>
      <c r="C79" s="132" t="s">
        <v>26</v>
      </c>
      <c r="D79" s="2">
        <v>30910421596.619999</v>
      </c>
      <c r="E79" s="3">
        <f t="shared" si="22"/>
        <v>0.14145317573485966</v>
      </c>
      <c r="F79" s="15">
        <v>1665.14</v>
      </c>
      <c r="G79" s="15">
        <v>1665.14</v>
      </c>
      <c r="H79" s="58">
        <v>2310</v>
      </c>
      <c r="I79" s="5">
        <v>1E-3</v>
      </c>
      <c r="J79" s="5">
        <v>7.6100000000000001E-2</v>
      </c>
      <c r="K79" s="2">
        <v>30769441079.77</v>
      </c>
      <c r="L79" s="3">
        <f t="shared" si="16"/>
        <v>0.1411262763514218</v>
      </c>
      <c r="M79" s="15">
        <v>1666.99</v>
      </c>
      <c r="N79" s="15">
        <v>1666.99</v>
      </c>
      <c r="O79" s="58">
        <v>2298</v>
      </c>
      <c r="P79" s="5">
        <v>1.1000000000000001E-3</v>
      </c>
      <c r="Q79" s="5">
        <v>7.7299999999999994E-2</v>
      </c>
      <c r="R79" s="76">
        <f t="shared" si="17"/>
        <v>-4.5609380127450104E-3</v>
      </c>
      <c r="S79" s="76">
        <f t="shared" si="18"/>
        <v>1.111017692206006E-3</v>
      </c>
      <c r="T79" s="76">
        <f t="shared" si="19"/>
        <v>-5.1948051948051948E-3</v>
      </c>
      <c r="U79" s="77">
        <f t="shared" si="20"/>
        <v>1.0000000000000005E-4</v>
      </c>
      <c r="V79" s="79">
        <f t="shared" si="21"/>
        <v>1.1999999999999927E-3</v>
      </c>
    </row>
    <row r="80" spans="1:22">
      <c r="A80" s="157">
        <v>69</v>
      </c>
      <c r="B80" s="131" t="s">
        <v>111</v>
      </c>
      <c r="C80" s="132" t="s">
        <v>71</v>
      </c>
      <c r="D80" s="2">
        <v>22970475.210000001</v>
      </c>
      <c r="E80" s="3">
        <f t="shared" si="22"/>
        <v>1.0511816076130992E-4</v>
      </c>
      <c r="F80" s="14">
        <v>0.70050000000000001</v>
      </c>
      <c r="G80" s="14">
        <v>0.70050000000000001</v>
      </c>
      <c r="H80" s="58">
        <v>746</v>
      </c>
      <c r="I80" s="5">
        <v>2E-3</v>
      </c>
      <c r="J80" s="5">
        <v>-8.3599999999999994E-2</v>
      </c>
      <c r="K80" s="2">
        <v>23017879.93</v>
      </c>
      <c r="L80" s="3">
        <f t="shared" si="16"/>
        <v>1.0557317812837265E-4</v>
      </c>
      <c r="M80" s="14">
        <v>0.70199999999999996</v>
      </c>
      <c r="N80" s="14">
        <v>0.70199999999999996</v>
      </c>
      <c r="O80" s="58">
        <v>746</v>
      </c>
      <c r="P80" s="5">
        <v>2.0999999999999999E-3</v>
      </c>
      <c r="Q80" s="5">
        <v>-8.1600000000000006E-2</v>
      </c>
      <c r="R80" s="76">
        <f t="shared" si="17"/>
        <v>2.0637239572371393E-3</v>
      </c>
      <c r="S80" s="76">
        <f t="shared" si="18"/>
        <v>2.1413276231262608E-3</v>
      </c>
      <c r="T80" s="76">
        <f t="shared" si="19"/>
        <v>0</v>
      </c>
      <c r="U80" s="77">
        <f t="shared" si="20"/>
        <v>9.9999999999999829E-5</v>
      </c>
      <c r="V80" s="79">
        <f t="shared" si="21"/>
        <v>1.9999999999999879E-3</v>
      </c>
    </row>
    <row r="81" spans="1:22">
      <c r="A81" s="157">
        <v>70</v>
      </c>
      <c r="B81" s="131" t="s">
        <v>248</v>
      </c>
      <c r="C81" s="132" t="s">
        <v>31</v>
      </c>
      <c r="D81" s="2">
        <v>10295146808.98</v>
      </c>
      <c r="E81" s="3">
        <f t="shared" si="22"/>
        <v>4.7112952058410915E-2</v>
      </c>
      <c r="F81" s="14">
        <v>1</v>
      </c>
      <c r="G81" s="14">
        <v>1</v>
      </c>
      <c r="H81" s="58">
        <v>5240</v>
      </c>
      <c r="I81" s="5">
        <v>0.06</v>
      </c>
      <c r="J81" s="5">
        <v>0.06</v>
      </c>
      <c r="K81" s="2">
        <v>10435281057.190001</v>
      </c>
      <c r="L81" s="3">
        <f t="shared" si="16"/>
        <v>4.7862174501765803E-2</v>
      </c>
      <c r="M81" s="14">
        <v>1</v>
      </c>
      <c r="N81" s="14">
        <v>1</v>
      </c>
      <c r="O81" s="58">
        <v>5240</v>
      </c>
      <c r="P81" s="5">
        <v>0.06</v>
      </c>
      <c r="Q81" s="5">
        <v>0.06</v>
      </c>
      <c r="R81" s="76">
        <f>((K81-D81)/D81)</f>
        <v>1.3611680417006595E-2</v>
      </c>
      <c r="S81" s="76">
        <f>((N81-G81)/G81)</f>
        <v>0</v>
      </c>
      <c r="T81" s="76">
        <f>((O81-H81)/H81)</f>
        <v>0</v>
      </c>
      <c r="U81" s="77">
        <f>P81-I81</f>
        <v>0</v>
      </c>
      <c r="V81" s="79">
        <f>Q81-J81</f>
        <v>0</v>
      </c>
    </row>
    <row r="82" spans="1:22">
      <c r="A82" s="162">
        <v>71</v>
      </c>
      <c r="B82" s="131" t="s">
        <v>112</v>
      </c>
      <c r="C82" s="132" t="s">
        <v>113</v>
      </c>
      <c r="D82" s="2">
        <v>1187506921.98</v>
      </c>
      <c r="E82" s="3">
        <f t="shared" si="22"/>
        <v>5.4343039222592539E-3</v>
      </c>
      <c r="F82" s="2">
        <v>228.61562900000001</v>
      </c>
      <c r="G82" s="2">
        <v>230.01683299999999</v>
      </c>
      <c r="H82" s="58">
        <v>488</v>
      </c>
      <c r="I82" s="5">
        <v>1.6999999999999999E-3</v>
      </c>
      <c r="J82" s="5">
        <v>0.1711</v>
      </c>
      <c r="K82" s="2">
        <v>1190033107.29</v>
      </c>
      <c r="L82" s="3">
        <f t="shared" si="16"/>
        <v>5.4581732807999737E-3</v>
      </c>
      <c r="M82" s="2">
        <v>229.11674600000001</v>
      </c>
      <c r="N82" s="2">
        <v>230.58998500000001</v>
      </c>
      <c r="O82" s="58">
        <v>488</v>
      </c>
      <c r="P82" s="5">
        <v>2.7000000000000001E-3</v>
      </c>
      <c r="Q82" s="5">
        <v>0.15609999999999999</v>
      </c>
      <c r="R82" s="76">
        <f t="shared" si="17"/>
        <v>2.1273015451462678E-3</v>
      </c>
      <c r="S82" s="76">
        <f t="shared" si="18"/>
        <v>2.4917828513881923E-3</v>
      </c>
      <c r="T82" s="76">
        <f t="shared" si="19"/>
        <v>0</v>
      </c>
      <c r="U82" s="77">
        <f t="shared" si="20"/>
        <v>1.0000000000000002E-3</v>
      </c>
      <c r="V82" s="79">
        <f t="shared" si="21"/>
        <v>-1.5000000000000013E-2</v>
      </c>
    </row>
    <row r="83" spans="1:22">
      <c r="A83" s="161">
        <v>72</v>
      </c>
      <c r="B83" s="131" t="s">
        <v>114</v>
      </c>
      <c r="C83" s="132" t="s">
        <v>33</v>
      </c>
      <c r="D83" s="2">
        <v>1055091447.73</v>
      </c>
      <c r="E83" s="3">
        <f t="shared" si="22"/>
        <v>4.828340354581866E-3</v>
      </c>
      <c r="F83" s="14">
        <v>3.51</v>
      </c>
      <c r="G83" s="14">
        <v>3.51</v>
      </c>
      <c r="H83" s="59">
        <v>771</v>
      </c>
      <c r="I83" s="12">
        <v>1.5E-3</v>
      </c>
      <c r="J83" s="12">
        <v>-2.8000000000000001E-2</v>
      </c>
      <c r="K83" s="2">
        <v>1056809190.88</v>
      </c>
      <c r="L83" s="3">
        <f t="shared" si="16"/>
        <v>4.8471321118962679E-3</v>
      </c>
      <c r="M83" s="14">
        <v>3.52</v>
      </c>
      <c r="N83" s="14">
        <v>3.52</v>
      </c>
      <c r="O83" s="59">
        <v>771</v>
      </c>
      <c r="P83" s="12">
        <v>1.6999999999999999E-3</v>
      </c>
      <c r="Q83" s="12">
        <v>-2.4799999999999999E-2</v>
      </c>
      <c r="R83" s="76">
        <f t="shared" si="17"/>
        <v>1.6280514392336823E-3</v>
      </c>
      <c r="S83" s="76">
        <f t="shared" si="18"/>
        <v>2.8490028490029151E-3</v>
      </c>
      <c r="T83" s="76">
        <f t="shared" si="19"/>
        <v>0</v>
      </c>
      <c r="U83" s="77">
        <f t="shared" si="20"/>
        <v>1.9999999999999987E-4</v>
      </c>
      <c r="V83" s="79">
        <f t="shared" si="21"/>
        <v>3.2000000000000015E-3</v>
      </c>
    </row>
    <row r="84" spans="1:22">
      <c r="A84" s="162">
        <v>73</v>
      </c>
      <c r="B84" s="131" t="s">
        <v>255</v>
      </c>
      <c r="C84" s="132" t="s">
        <v>35</v>
      </c>
      <c r="D84" s="2">
        <v>525973116.77999997</v>
      </c>
      <c r="E84" s="3">
        <f t="shared" si="22"/>
        <v>2.4069735667348116E-3</v>
      </c>
      <c r="F84" s="14">
        <v>106.71566</v>
      </c>
      <c r="G84" s="14">
        <v>106.72</v>
      </c>
      <c r="H84" s="59">
        <v>61</v>
      </c>
      <c r="I84" s="12">
        <v>0.16420000000000001</v>
      </c>
      <c r="J84" s="12">
        <v>0.1633</v>
      </c>
      <c r="K84" s="2">
        <v>525973116.77999997</v>
      </c>
      <c r="L84" s="3">
        <f t="shared" si="16"/>
        <v>2.4124139024714378E-3</v>
      </c>
      <c r="M84" s="14">
        <v>106.98643</v>
      </c>
      <c r="N84" s="14">
        <v>106.98643</v>
      </c>
      <c r="O84" s="59">
        <v>60</v>
      </c>
      <c r="P84" s="12">
        <v>0.16420000000000001</v>
      </c>
      <c r="Q84" s="12">
        <v>0.17169999999999999</v>
      </c>
      <c r="R84" s="76">
        <f>((K84-D84)/D84)</f>
        <v>0</v>
      </c>
      <c r="S84" s="76">
        <f>((N84-G84)/G84)</f>
        <v>2.4965329835082433E-3</v>
      </c>
      <c r="T84" s="76">
        <f>((O84-H84)/H84)</f>
        <v>-1.6393442622950821E-2</v>
      </c>
      <c r="U84" s="77">
        <f>P84-I84</f>
        <v>0</v>
      </c>
      <c r="V84" s="79">
        <f>Q84-J84</f>
        <v>8.3999999999999908E-3</v>
      </c>
    </row>
    <row r="85" spans="1:22">
      <c r="A85" s="162">
        <v>74</v>
      </c>
      <c r="B85" s="132" t="s">
        <v>115</v>
      </c>
      <c r="C85" s="164" t="s">
        <v>39</v>
      </c>
      <c r="D85" s="2">
        <v>1816005311.5599999</v>
      </c>
      <c r="E85" s="3">
        <f t="shared" si="22"/>
        <v>8.3104566422227185E-3</v>
      </c>
      <c r="F85" s="14">
        <v>99.14</v>
      </c>
      <c r="G85" s="14">
        <v>99.14</v>
      </c>
      <c r="H85" s="58">
        <v>139</v>
      </c>
      <c r="I85" s="5">
        <v>2.0999999999999999E-3</v>
      </c>
      <c r="J85" s="5">
        <v>7.4099999999999999E-2</v>
      </c>
      <c r="K85" s="2">
        <v>1821119029.3499999</v>
      </c>
      <c r="L85" s="3">
        <f t="shared" si="16"/>
        <v>8.3526946992175336E-3</v>
      </c>
      <c r="M85" s="14">
        <v>99.36</v>
      </c>
      <c r="N85" s="14">
        <v>99.36</v>
      </c>
      <c r="O85" s="58">
        <v>139</v>
      </c>
      <c r="P85" s="5">
        <v>2.2000000000000001E-3</v>
      </c>
      <c r="Q85" s="5">
        <v>7.6200000000000004E-2</v>
      </c>
      <c r="R85" s="76">
        <f t="shared" si="17"/>
        <v>2.8159156569906359E-3</v>
      </c>
      <c r="S85" s="76">
        <f t="shared" si="18"/>
        <v>2.2190841234617596E-3</v>
      </c>
      <c r="T85" s="76">
        <f t="shared" si="19"/>
        <v>0</v>
      </c>
      <c r="U85" s="77">
        <f t="shared" si="20"/>
        <v>1.0000000000000026E-4</v>
      </c>
      <c r="V85" s="79">
        <f t="shared" si="21"/>
        <v>2.1000000000000046E-3</v>
      </c>
    </row>
    <row r="86" spans="1:22">
      <c r="A86" s="157">
        <v>75</v>
      </c>
      <c r="B86" s="131" t="s">
        <v>116</v>
      </c>
      <c r="C86" s="132" t="s">
        <v>16</v>
      </c>
      <c r="D86" s="2">
        <v>1294287457.5799999</v>
      </c>
      <c r="E86" s="3">
        <f t="shared" si="22"/>
        <v>5.9229561336202555E-3</v>
      </c>
      <c r="F86" s="14">
        <v>340.19549999999998</v>
      </c>
      <c r="G86" s="14">
        <v>340.19549999999998</v>
      </c>
      <c r="H86" s="58">
        <v>105</v>
      </c>
      <c r="I86" s="5">
        <v>2.3999999999999998E-3</v>
      </c>
      <c r="J86" s="5">
        <v>7.5200000000000003E-2</v>
      </c>
      <c r="K86" s="2">
        <v>1297146100.8399999</v>
      </c>
      <c r="L86" s="3">
        <f t="shared" si="16"/>
        <v>5.9494548055236702E-3</v>
      </c>
      <c r="M86" s="14">
        <v>341.02629999999999</v>
      </c>
      <c r="N86" s="14">
        <v>341.02629999999999</v>
      </c>
      <c r="O86" s="58">
        <v>105</v>
      </c>
      <c r="P86" s="5">
        <v>2.3999999999999998E-3</v>
      </c>
      <c r="Q86" s="5">
        <v>7.7600000000000002E-2</v>
      </c>
      <c r="R86" s="76">
        <f t="shared" si="17"/>
        <v>2.2086617955372543E-3</v>
      </c>
      <c r="S86" s="76">
        <f t="shared" si="18"/>
        <v>2.4421251897806134E-3</v>
      </c>
      <c r="T86" s="76">
        <f t="shared" si="19"/>
        <v>0</v>
      </c>
      <c r="U86" s="77">
        <f t="shared" si="20"/>
        <v>0</v>
      </c>
      <c r="V86" s="79">
        <f t="shared" si="21"/>
        <v>2.3999999999999994E-3</v>
      </c>
    </row>
    <row r="87" spans="1:22">
      <c r="A87" s="157">
        <v>76</v>
      </c>
      <c r="B87" s="131" t="s">
        <v>249</v>
      </c>
      <c r="C87" s="132" t="s">
        <v>77</v>
      </c>
      <c r="D87" s="9">
        <v>1483995657.76</v>
      </c>
      <c r="E87" s="3">
        <f>(D87/$K$62)</f>
        <v>1.1122028071320707E-3</v>
      </c>
      <c r="F87" s="14">
        <v>103.62</v>
      </c>
      <c r="G87" s="14">
        <v>103.62</v>
      </c>
      <c r="H87" s="58">
        <v>376</v>
      </c>
      <c r="I87" s="5">
        <v>4.0000000000000001E-3</v>
      </c>
      <c r="J87" s="5">
        <v>9.2600000000000002E-2</v>
      </c>
      <c r="K87" s="9">
        <v>1480697395.27</v>
      </c>
      <c r="L87" s="3">
        <f>(K87/$K$62)</f>
        <v>1.1097308748316934E-3</v>
      </c>
      <c r="M87" s="14">
        <v>103.9</v>
      </c>
      <c r="N87" s="14">
        <v>103.9</v>
      </c>
      <c r="O87" s="58">
        <v>376</v>
      </c>
      <c r="P87" s="5">
        <v>2.7000000000000001E-3</v>
      </c>
      <c r="Q87" s="5">
        <v>9.5399999999999999E-2</v>
      </c>
      <c r="R87" s="76">
        <f t="shared" si="17"/>
        <v>-2.2225553509897284E-3</v>
      </c>
      <c r="S87" s="76">
        <f t="shared" si="18"/>
        <v>2.7021810461301016E-3</v>
      </c>
      <c r="T87" s="76">
        <f t="shared" si="19"/>
        <v>0</v>
      </c>
      <c r="U87" s="77">
        <f t="shared" si="20"/>
        <v>-1.2999999999999999E-3</v>
      </c>
      <c r="V87" s="79">
        <f t="shared" si="21"/>
        <v>2.7999999999999969E-3</v>
      </c>
    </row>
    <row r="88" spans="1:22">
      <c r="A88" s="162">
        <v>77</v>
      </c>
      <c r="B88" s="131" t="s">
        <v>117</v>
      </c>
      <c r="C88" s="132" t="s">
        <v>37</v>
      </c>
      <c r="D88" s="2">
        <v>57563928.950000003</v>
      </c>
      <c r="E88" s="3">
        <f t="shared" ref="E88:E100" si="23">(D88/$D$101)</f>
        <v>2.6342573595449452E-4</v>
      </c>
      <c r="F88" s="2">
        <v>12.576314999999999</v>
      </c>
      <c r="G88" s="2">
        <v>12.805994999999999</v>
      </c>
      <c r="H88" s="58">
        <v>56</v>
      </c>
      <c r="I88" s="5">
        <v>-8.6999999999999994E-3</v>
      </c>
      <c r="J88" s="5">
        <v>7.1599999999999997E-2</v>
      </c>
      <c r="K88" s="2">
        <v>60699226.289999999</v>
      </c>
      <c r="L88" s="3">
        <f t="shared" ref="L88:L100" si="24">(K88/$K$101)</f>
        <v>2.7840141007150394E-4</v>
      </c>
      <c r="M88" s="2">
        <v>12.616769</v>
      </c>
      <c r="N88" s="2">
        <v>12.842771000000001</v>
      </c>
      <c r="O88" s="58">
        <v>56</v>
      </c>
      <c r="P88" s="5">
        <v>1.9E-3</v>
      </c>
      <c r="Q88" s="5">
        <v>7.4399999999999994E-2</v>
      </c>
      <c r="R88" s="76">
        <f t="shared" si="17"/>
        <v>5.4466354142075908E-2</v>
      </c>
      <c r="S88" s="76">
        <f t="shared" si="18"/>
        <v>2.8717799749259213E-3</v>
      </c>
      <c r="T88" s="76">
        <f t="shared" si="19"/>
        <v>0</v>
      </c>
      <c r="U88" s="77">
        <f t="shared" si="20"/>
        <v>1.06E-2</v>
      </c>
      <c r="V88" s="79">
        <f t="shared" si="21"/>
        <v>2.7999999999999969E-3</v>
      </c>
    </row>
    <row r="89" spans="1:22">
      <c r="A89" s="162">
        <v>78</v>
      </c>
      <c r="B89" s="131" t="s">
        <v>233</v>
      </c>
      <c r="C89" s="132" t="s">
        <v>234</v>
      </c>
      <c r="D89" s="2">
        <v>305425176.56999999</v>
      </c>
      <c r="E89" s="3">
        <f t="shared" si="23"/>
        <v>1.3976956296167427E-3</v>
      </c>
      <c r="F89" s="2">
        <v>124.49</v>
      </c>
      <c r="G89" s="2">
        <v>124.49</v>
      </c>
      <c r="H89" s="58">
        <v>89</v>
      </c>
      <c r="I89" s="5">
        <v>0.1575</v>
      </c>
      <c r="J89" s="5">
        <v>0.1696</v>
      </c>
      <c r="K89" s="2">
        <v>306282184.68000001</v>
      </c>
      <c r="L89" s="3">
        <f t="shared" si="24"/>
        <v>1.4047854858529002E-3</v>
      </c>
      <c r="M89" s="2">
        <v>124.84</v>
      </c>
      <c r="N89" s="2">
        <v>124.84</v>
      </c>
      <c r="O89" s="58">
        <v>88</v>
      </c>
      <c r="P89" s="5">
        <v>0.1517</v>
      </c>
      <c r="Q89" s="5">
        <v>0.16919999999999999</v>
      </c>
      <c r="R89" s="76">
        <f>((K89-D89)/D89)</f>
        <v>2.8059510994621552E-3</v>
      </c>
      <c r="S89" s="76">
        <f>((N89-G89)/G89)</f>
        <v>2.8114708008676083E-3</v>
      </c>
      <c r="T89" s="76">
        <f>((O89-H89)/H89)</f>
        <v>-1.1235955056179775E-2</v>
      </c>
      <c r="U89" s="77">
        <f t="shared" si="20"/>
        <v>-5.7999999999999996E-3</v>
      </c>
      <c r="V89" s="79">
        <f t="shared" si="21"/>
        <v>-4.0000000000001146E-4</v>
      </c>
    </row>
    <row r="90" spans="1:22">
      <c r="A90" s="162">
        <v>79</v>
      </c>
      <c r="B90" s="131" t="s">
        <v>118</v>
      </c>
      <c r="C90" s="132" t="s">
        <v>119</v>
      </c>
      <c r="D90" s="2">
        <v>7631083600.1875582</v>
      </c>
      <c r="E90" s="3">
        <f t="shared" si="23"/>
        <v>3.4921588053097634E-2</v>
      </c>
      <c r="F90" s="2">
        <v>1.0925121613681641</v>
      </c>
      <c r="G90" s="2">
        <v>1.0925121613681641</v>
      </c>
      <c r="H90" s="58">
        <v>4548</v>
      </c>
      <c r="I90" s="5">
        <v>0.1704</v>
      </c>
      <c r="J90" s="5">
        <v>0.1704</v>
      </c>
      <c r="K90" s="2">
        <v>7584072043.5147429</v>
      </c>
      <c r="L90" s="3">
        <f t="shared" si="24"/>
        <v>3.4784897272178671E-2</v>
      </c>
      <c r="M90" s="2">
        <v>1.0950351194039591</v>
      </c>
      <c r="N90" s="2">
        <v>1.0950351194039591</v>
      </c>
      <c r="O90" s="58">
        <v>4563</v>
      </c>
      <c r="P90" s="5">
        <v>0.1701</v>
      </c>
      <c r="Q90" s="5">
        <v>0.1701</v>
      </c>
      <c r="R90" s="76">
        <f t="shared" si="17"/>
        <v>-6.1605348775971821E-3</v>
      </c>
      <c r="S90" s="76">
        <f t="shared" si="18"/>
        <v>2.3093180332523964E-3</v>
      </c>
      <c r="T90" s="76">
        <f t="shared" si="19"/>
        <v>3.2981530343007917E-3</v>
      </c>
      <c r="U90" s="77">
        <f t="shared" si="20"/>
        <v>-2.9999999999999472E-4</v>
      </c>
      <c r="V90" s="79">
        <f t="shared" si="21"/>
        <v>-2.9999999999999472E-4</v>
      </c>
    </row>
    <row r="91" spans="1:22" ht="14.25" customHeight="1">
      <c r="A91" s="165">
        <v>80</v>
      </c>
      <c r="B91" s="131" t="s">
        <v>120</v>
      </c>
      <c r="C91" s="132" t="s">
        <v>41</v>
      </c>
      <c r="D91" s="2">
        <v>13274084364.75</v>
      </c>
      <c r="E91" s="3">
        <f t="shared" si="23"/>
        <v>6.0745253263438298E-2</v>
      </c>
      <c r="F91" s="2">
        <v>5164.6499999999996</v>
      </c>
      <c r="G91" s="2">
        <v>5164.6499999999996</v>
      </c>
      <c r="H91" s="58">
        <v>328</v>
      </c>
      <c r="I91" s="5">
        <v>0</v>
      </c>
      <c r="J91" s="5">
        <v>3.0499999999999999E-2</v>
      </c>
      <c r="K91" s="2">
        <v>12395471866.49</v>
      </c>
      <c r="L91" s="3">
        <f t="shared" si="24"/>
        <v>5.6852732020753943E-2</v>
      </c>
      <c r="M91" s="2">
        <v>5164.6899999999996</v>
      </c>
      <c r="N91" s="2">
        <v>5164.6899999999996</v>
      </c>
      <c r="O91" s="58">
        <v>321</v>
      </c>
      <c r="P91" s="5">
        <v>0</v>
      </c>
      <c r="Q91" s="5">
        <v>3.0499999999999999E-2</v>
      </c>
      <c r="R91" s="76">
        <f t="shared" si="17"/>
        <v>-6.6190064347730074E-2</v>
      </c>
      <c r="S91" s="76">
        <f t="shared" si="18"/>
        <v>7.7449585160589055E-6</v>
      </c>
      <c r="T91" s="76">
        <f t="shared" si="19"/>
        <v>-2.1341463414634148E-2</v>
      </c>
      <c r="U91" s="77">
        <f t="shared" si="20"/>
        <v>0</v>
      </c>
      <c r="V91" s="79">
        <f t="shared" si="21"/>
        <v>0</v>
      </c>
    </row>
    <row r="92" spans="1:22" ht="11.25" customHeight="1">
      <c r="A92" s="165">
        <v>81</v>
      </c>
      <c r="B92" s="131" t="s">
        <v>121</v>
      </c>
      <c r="C92" s="132" t="s">
        <v>41</v>
      </c>
      <c r="D92" s="2">
        <v>25148414658.759998</v>
      </c>
      <c r="E92" s="3">
        <f t="shared" si="23"/>
        <v>0.11508491099221001</v>
      </c>
      <c r="F92" s="14">
        <v>258.41000000000003</v>
      </c>
      <c r="G92" s="14">
        <v>258.41000000000003</v>
      </c>
      <c r="H92" s="58">
        <v>6466</v>
      </c>
      <c r="I92" s="5">
        <v>0</v>
      </c>
      <c r="J92" s="5">
        <v>1.0200000000000001E-2</v>
      </c>
      <c r="K92" s="2">
        <v>25144623182.759998</v>
      </c>
      <c r="L92" s="3">
        <f t="shared" si="24"/>
        <v>0.11532764052628933</v>
      </c>
      <c r="M92" s="14">
        <v>258.41000000000003</v>
      </c>
      <c r="N92" s="14">
        <v>258.41000000000003</v>
      </c>
      <c r="O92" s="58">
        <v>6462</v>
      </c>
      <c r="P92" s="5">
        <v>0</v>
      </c>
      <c r="Q92" s="5">
        <v>1.0200000000000001E-2</v>
      </c>
      <c r="R92" s="76">
        <f t="shared" si="17"/>
        <v>-1.5076401639811944E-4</v>
      </c>
      <c r="S92" s="76">
        <f t="shared" si="18"/>
        <v>0</v>
      </c>
      <c r="T92" s="76">
        <f t="shared" si="19"/>
        <v>-6.1862047633776682E-4</v>
      </c>
      <c r="U92" s="77">
        <f t="shared" si="20"/>
        <v>0</v>
      </c>
      <c r="V92" s="79">
        <f t="shared" si="21"/>
        <v>0</v>
      </c>
    </row>
    <row r="93" spans="1:22" ht="12.75" customHeight="1">
      <c r="A93" s="165">
        <v>82</v>
      </c>
      <c r="B93" s="131" t="s">
        <v>122</v>
      </c>
      <c r="C93" s="132" t="s">
        <v>41</v>
      </c>
      <c r="D93" s="2">
        <v>361035753.24000001</v>
      </c>
      <c r="E93" s="3">
        <f t="shared" si="23"/>
        <v>1.6521823777133316E-3</v>
      </c>
      <c r="F93" s="2">
        <v>6258.26</v>
      </c>
      <c r="G93" s="7">
        <v>6291.25</v>
      </c>
      <c r="H93" s="58">
        <v>15</v>
      </c>
      <c r="I93" s="5">
        <v>1.6999999999999999E-3</v>
      </c>
      <c r="J93" s="5">
        <v>0.185</v>
      </c>
      <c r="K93" s="2">
        <v>361010832.86000001</v>
      </c>
      <c r="L93" s="3">
        <f t="shared" si="24"/>
        <v>1.6558024057692158E-3</v>
      </c>
      <c r="M93" s="2">
        <v>6258.9</v>
      </c>
      <c r="N93" s="7">
        <v>6290.08</v>
      </c>
      <c r="O93" s="58">
        <v>15</v>
      </c>
      <c r="P93" s="5">
        <v>-2.0000000000000001E-4</v>
      </c>
      <c r="Q93" s="5">
        <v>0.18479999999999999</v>
      </c>
      <c r="R93" s="76">
        <f t="shared" si="17"/>
        <v>-6.9024687378895985E-5</v>
      </c>
      <c r="S93" s="76">
        <f t="shared" si="18"/>
        <v>-1.8597258096563843E-4</v>
      </c>
      <c r="T93" s="76">
        <f t="shared" si="19"/>
        <v>0</v>
      </c>
      <c r="U93" s="77">
        <f t="shared" si="20"/>
        <v>-1.9E-3</v>
      </c>
      <c r="V93" s="79">
        <f t="shared" si="21"/>
        <v>-2.0000000000000573E-4</v>
      </c>
    </row>
    <row r="94" spans="1:22" ht="12.75" customHeight="1">
      <c r="A94" s="165">
        <v>83</v>
      </c>
      <c r="B94" s="131" t="s">
        <v>123</v>
      </c>
      <c r="C94" s="132" t="s">
        <v>41</v>
      </c>
      <c r="D94" s="2">
        <v>10455754923.549999</v>
      </c>
      <c r="E94" s="3">
        <f t="shared" si="23"/>
        <v>4.7847931611624095E-2</v>
      </c>
      <c r="F94" s="14">
        <v>134.05000000000001</v>
      </c>
      <c r="G94" s="14">
        <v>134.05000000000001</v>
      </c>
      <c r="H94" s="58">
        <v>4453</v>
      </c>
      <c r="I94" s="5">
        <v>1.8E-3</v>
      </c>
      <c r="J94" s="5">
        <v>6.4600000000000005E-2</v>
      </c>
      <c r="K94" s="2">
        <v>10363269430.709999</v>
      </c>
      <c r="L94" s="3">
        <f t="shared" si="24"/>
        <v>4.7531887946583175E-2</v>
      </c>
      <c r="M94" s="14">
        <v>134.34</v>
      </c>
      <c r="N94" s="14">
        <v>134.34</v>
      </c>
      <c r="O94" s="58">
        <v>4463</v>
      </c>
      <c r="P94" s="5">
        <v>2.2000000000000001E-3</v>
      </c>
      <c r="Q94" s="5">
        <v>6.6900000000000001E-2</v>
      </c>
      <c r="R94" s="76">
        <f t="shared" si="17"/>
        <v>-8.8454151341755948E-3</v>
      </c>
      <c r="S94" s="76">
        <f t="shared" si="18"/>
        <v>2.1633718761655501E-3</v>
      </c>
      <c r="T94" s="76">
        <f t="shared" si="19"/>
        <v>2.2456770716370988E-3</v>
      </c>
      <c r="U94" s="77">
        <f t="shared" si="20"/>
        <v>4.0000000000000018E-4</v>
      </c>
      <c r="V94" s="79">
        <f t="shared" si="21"/>
        <v>2.2999999999999965E-3</v>
      </c>
    </row>
    <row r="95" spans="1:22" ht="12.75" customHeight="1">
      <c r="A95" s="165">
        <v>84</v>
      </c>
      <c r="B95" s="131" t="s">
        <v>124</v>
      </c>
      <c r="C95" s="132" t="s">
        <v>41</v>
      </c>
      <c r="D95" s="2">
        <v>8918421940.4400005</v>
      </c>
      <c r="E95" s="3">
        <f t="shared" si="23"/>
        <v>4.0812743432675616E-2</v>
      </c>
      <c r="F95" s="14">
        <v>357.81</v>
      </c>
      <c r="G95" s="14">
        <v>358.37</v>
      </c>
      <c r="H95" s="58">
        <v>10205</v>
      </c>
      <c r="I95" s="5">
        <v>-1.2999999999999999E-3</v>
      </c>
      <c r="J95" s="5">
        <v>1.4200000000000001E-2</v>
      </c>
      <c r="K95" s="2">
        <v>8917612960.7999992</v>
      </c>
      <c r="L95" s="3">
        <f t="shared" si="24"/>
        <v>4.0901279546748555E-2</v>
      </c>
      <c r="M95" s="14">
        <v>357.73</v>
      </c>
      <c r="N95" s="14">
        <v>358.3</v>
      </c>
      <c r="O95" s="58">
        <v>10205</v>
      </c>
      <c r="P95" s="5">
        <v>-2.0000000000000001E-4</v>
      </c>
      <c r="Q95" s="5">
        <v>1.4E-2</v>
      </c>
      <c r="R95" s="76">
        <f>((K95-D95)/D95)</f>
        <v>-9.0708832280409589E-5</v>
      </c>
      <c r="S95" s="76">
        <f t="shared" si="18"/>
        <v>-1.9532885007113649E-4</v>
      </c>
      <c r="T95" s="76">
        <f t="shared" si="19"/>
        <v>0</v>
      </c>
      <c r="U95" s="77">
        <f t="shared" si="20"/>
        <v>1.0999999999999998E-3</v>
      </c>
      <c r="V95" s="79">
        <f t="shared" si="21"/>
        <v>-2.0000000000000052E-4</v>
      </c>
    </row>
    <row r="96" spans="1:22">
      <c r="A96" s="162">
        <v>85</v>
      </c>
      <c r="B96" s="131" t="s">
        <v>125</v>
      </c>
      <c r="C96" s="132" t="s">
        <v>44</v>
      </c>
      <c r="D96" s="2">
        <v>86283200551.309998</v>
      </c>
      <c r="E96" s="3">
        <f t="shared" si="23"/>
        <v>0.39485170696879757</v>
      </c>
      <c r="F96" s="2">
        <v>1.9167000000000001</v>
      </c>
      <c r="G96" s="2">
        <v>1.9167000000000001</v>
      </c>
      <c r="H96" s="58">
        <v>6304</v>
      </c>
      <c r="I96" s="5">
        <v>7.9200000000000007E-2</v>
      </c>
      <c r="J96" s="5">
        <v>5.7200000000000001E-2</v>
      </c>
      <c r="K96" s="2">
        <v>86416817724.669998</v>
      </c>
      <c r="L96" s="3">
        <f t="shared" si="24"/>
        <v>0.39635701110087845</v>
      </c>
      <c r="M96" s="2">
        <v>1.9207000000000001</v>
      </c>
      <c r="N96" s="2">
        <v>1.9207000000000001</v>
      </c>
      <c r="O96" s="58">
        <v>6222</v>
      </c>
      <c r="P96" s="5">
        <v>7.9000000000000001E-2</v>
      </c>
      <c r="Q96" s="5">
        <v>5.7799999999999997E-2</v>
      </c>
      <c r="R96" s="76">
        <f t="shared" si="17"/>
        <v>1.5485885144066085E-3</v>
      </c>
      <c r="S96" s="76">
        <f t="shared" si="18"/>
        <v>2.0869202274743067E-3</v>
      </c>
      <c r="T96" s="76">
        <f t="shared" si="19"/>
        <v>-1.300761421319797E-2</v>
      </c>
      <c r="U96" s="77">
        <f t="shared" si="20"/>
        <v>-2.0000000000000573E-4</v>
      </c>
      <c r="V96" s="79">
        <f t="shared" si="21"/>
        <v>5.9999999999999637E-4</v>
      </c>
    </row>
    <row r="97" spans="1:28">
      <c r="A97" s="162">
        <v>86</v>
      </c>
      <c r="B97" s="131" t="s">
        <v>285</v>
      </c>
      <c r="C97" s="132" t="s">
        <v>44</v>
      </c>
      <c r="D97" s="2">
        <v>3502357728.8000002</v>
      </c>
      <c r="E97" s="3">
        <f t="shared" si="23"/>
        <v>1.6027591915875505E-2</v>
      </c>
      <c r="F97" s="2">
        <v>102.12269999999999</v>
      </c>
      <c r="G97" s="2">
        <v>102.12269999999999</v>
      </c>
      <c r="H97" s="58">
        <v>69</v>
      </c>
      <c r="I97" s="5">
        <v>0.2036</v>
      </c>
      <c r="J97" s="5">
        <v>0.2235</v>
      </c>
      <c r="K97" s="2">
        <v>4061895853.6399999</v>
      </c>
      <c r="L97" s="3">
        <f t="shared" si="24"/>
        <v>1.8630180355417032E-2</v>
      </c>
      <c r="M97" s="2">
        <v>102.6366</v>
      </c>
      <c r="N97" s="2">
        <v>102.6366</v>
      </c>
      <c r="O97" s="58">
        <v>69</v>
      </c>
      <c r="P97" s="5">
        <v>0.19339999999999999</v>
      </c>
      <c r="Q97" s="5">
        <v>0.21879999999999999</v>
      </c>
      <c r="R97" s="76">
        <f t="shared" ref="R97" si="25">((K97-D97)/D97)</f>
        <v>0.15976041517372702</v>
      </c>
      <c r="S97" s="76">
        <f t="shared" ref="S97" si="26">((N97-G97)/G97)</f>
        <v>5.0321818753323866E-3</v>
      </c>
      <c r="T97" s="76">
        <f t="shared" ref="T97" si="27">((O97-H97)/H97)</f>
        <v>0</v>
      </c>
      <c r="U97" s="77">
        <f t="shared" ref="U97" si="28">P97-I97</f>
        <v>-1.0200000000000015E-2</v>
      </c>
      <c r="V97" s="79">
        <f t="shared" ref="V97" si="29">Q97-J97</f>
        <v>-4.7000000000000097E-3</v>
      </c>
    </row>
    <row r="98" spans="1:28">
      <c r="A98" s="162">
        <v>87</v>
      </c>
      <c r="B98" s="131" t="s">
        <v>238</v>
      </c>
      <c r="C98" s="131" t="s">
        <v>239</v>
      </c>
      <c r="D98" s="2">
        <v>87280513.75</v>
      </c>
      <c r="E98" s="3">
        <f t="shared" si="23"/>
        <v>3.9941564080955822E-4</v>
      </c>
      <c r="F98" s="2">
        <v>107.20424992828731</v>
      </c>
      <c r="G98" s="2">
        <v>107.20424992828731</v>
      </c>
      <c r="H98" s="58">
        <v>55</v>
      </c>
      <c r="I98" s="5">
        <v>1.6489282955059299E-3</v>
      </c>
      <c r="J98" s="5">
        <v>5.5170325773750806E-2</v>
      </c>
      <c r="K98" s="2">
        <v>87428133.049999997</v>
      </c>
      <c r="L98" s="3">
        <f t="shared" si="24"/>
        <v>4.0099548229412951E-4</v>
      </c>
      <c r="M98" s="2">
        <v>107.38556664666466</v>
      </c>
      <c r="N98" s="2">
        <v>107.38556664666466</v>
      </c>
      <c r="O98" s="58">
        <v>55</v>
      </c>
      <c r="P98" s="5">
        <v>1.6913202461528809E-3</v>
      </c>
      <c r="Q98" s="5">
        <v>5.6954956708871629E-2</v>
      </c>
      <c r="R98" s="76">
        <f>((K98-D98)/D98)</f>
        <v>1.6913202461528477E-3</v>
      </c>
      <c r="S98" s="76">
        <f>((N98-G98)/G98)</f>
        <v>1.6913202461528809E-3</v>
      </c>
      <c r="T98" s="76">
        <f>((O98-H98)/H98)</f>
        <v>0</v>
      </c>
      <c r="U98" s="77">
        <f>P98-I98</f>
        <v>4.2391950646951046E-5</v>
      </c>
      <c r="V98" s="79">
        <f>Q98-J98</f>
        <v>1.7846309351208234E-3</v>
      </c>
    </row>
    <row r="99" spans="1:28">
      <c r="A99" s="160">
        <v>88</v>
      </c>
      <c r="B99" s="131" t="s">
        <v>259</v>
      </c>
      <c r="C99" s="132" t="s">
        <v>258</v>
      </c>
      <c r="D99" s="2">
        <v>249965339.90000001</v>
      </c>
      <c r="E99" s="3">
        <f t="shared" si="23"/>
        <v>1.1438987023187352E-3</v>
      </c>
      <c r="F99" s="2">
        <v>1.0541</v>
      </c>
      <c r="G99" s="2">
        <v>1.0541</v>
      </c>
      <c r="H99" s="58">
        <v>312</v>
      </c>
      <c r="I99" s="5">
        <v>4.2426999999999999E-2</v>
      </c>
      <c r="J99" s="5">
        <v>1.2649000000000001E-2</v>
      </c>
      <c r="K99" s="2">
        <v>247736436.21000001</v>
      </c>
      <c r="L99" s="3">
        <f t="shared" si="24"/>
        <v>1.1362611582137383E-3</v>
      </c>
      <c r="M99" s="2">
        <v>1.0447</v>
      </c>
      <c r="N99" s="2">
        <v>1.0447</v>
      </c>
      <c r="O99" s="58">
        <v>313</v>
      </c>
      <c r="P99" s="5">
        <v>4.2400000000000001E-4</v>
      </c>
      <c r="Q99" s="5">
        <v>3.62E-3</v>
      </c>
      <c r="R99" s="76">
        <f>((K99-D99)/D99)</f>
        <v>-8.916850995788787E-3</v>
      </c>
      <c r="S99" s="76">
        <f>((N99-G99)/G99)</f>
        <v>-8.9175600037947767E-3</v>
      </c>
      <c r="T99" s="76">
        <f>((O99-H99)/H99)</f>
        <v>3.205128205128205E-3</v>
      </c>
      <c r="U99" s="77">
        <f>P99-I99</f>
        <v>-4.2002999999999999E-2</v>
      </c>
      <c r="V99" s="79">
        <f>Q99-J99</f>
        <v>-9.0290000000000006E-3</v>
      </c>
    </row>
    <row r="100" spans="1:28">
      <c r="A100" s="158">
        <v>89</v>
      </c>
      <c r="B100" s="131" t="s">
        <v>126</v>
      </c>
      <c r="C100" s="132" t="s">
        <v>90</v>
      </c>
      <c r="D100" s="2">
        <v>2548039368.0799999</v>
      </c>
      <c r="E100" s="3">
        <f t="shared" si="23"/>
        <v>1.166041231064196E-2</v>
      </c>
      <c r="F100" s="14">
        <v>27.2744</v>
      </c>
      <c r="G100" s="14">
        <v>27.2744</v>
      </c>
      <c r="H100" s="58">
        <v>1312</v>
      </c>
      <c r="I100" s="5">
        <v>0.13689999999999999</v>
      </c>
      <c r="J100" s="5">
        <v>0.13689999999999999</v>
      </c>
      <c r="K100" s="2">
        <v>2534974748.5799999</v>
      </c>
      <c r="L100" s="3">
        <f t="shared" si="24"/>
        <v>1.162684580407241E-2</v>
      </c>
      <c r="M100" s="14">
        <v>27.332999999999998</v>
      </c>
      <c r="N100" s="14">
        <v>27.332999999999998</v>
      </c>
      <c r="O100" s="58">
        <v>1309</v>
      </c>
      <c r="P100" s="5">
        <v>0.1268</v>
      </c>
      <c r="Q100" s="5">
        <v>0.1268</v>
      </c>
      <c r="R100" s="76">
        <f t="shared" si="17"/>
        <v>-5.1273224674878003E-3</v>
      </c>
      <c r="S100" s="76">
        <f t="shared" si="18"/>
        <v>2.1485348898600313E-3</v>
      </c>
      <c r="T100" s="76">
        <f t="shared" si="19"/>
        <v>-2.2865853658536584E-3</v>
      </c>
      <c r="U100" s="77">
        <f t="shared" si="20"/>
        <v>-1.0099999999999998E-2</v>
      </c>
      <c r="V100" s="79">
        <f t="shared" si="21"/>
        <v>-1.0099999999999998E-2</v>
      </c>
    </row>
    <row r="101" spans="1:28">
      <c r="A101" s="71"/>
      <c r="B101" s="129"/>
      <c r="C101" s="68" t="s">
        <v>45</v>
      </c>
      <c r="D101" s="57">
        <f>SUM(D65:D100)</f>
        <v>218520520561.22519</v>
      </c>
      <c r="E101" s="96">
        <f>(D101/$D$205)</f>
        <v>6.4256513034657736E-2</v>
      </c>
      <c r="F101" s="30"/>
      <c r="G101" s="11"/>
      <c r="H101" s="63">
        <f>SUM(H65:H100)</f>
        <v>50367</v>
      </c>
      <c r="I101" s="12"/>
      <c r="J101" s="12"/>
      <c r="K101" s="57">
        <f>SUM(K65:K100)</f>
        <v>218027725773.40811</v>
      </c>
      <c r="L101" s="96">
        <f>(K101/$K$205)</f>
        <v>6.3145006829635489E-2</v>
      </c>
      <c r="M101" s="30"/>
      <c r="N101" s="11"/>
      <c r="O101" s="63">
        <f>SUM(O65:O100)</f>
        <v>50288</v>
      </c>
      <c r="P101" s="12"/>
      <c r="Q101" s="12"/>
      <c r="R101" s="76">
        <f t="shared" si="17"/>
        <v>-2.255141926952376E-3</v>
      </c>
      <c r="S101" s="76" t="e">
        <f t="shared" si="18"/>
        <v>#DIV/0!</v>
      </c>
      <c r="T101" s="76">
        <f t="shared" si="19"/>
        <v>-1.5684873031945521E-3</v>
      </c>
      <c r="U101" s="77">
        <f t="shared" si="20"/>
        <v>0</v>
      </c>
      <c r="V101" s="79">
        <f t="shared" si="21"/>
        <v>0</v>
      </c>
    </row>
    <row r="102" spans="1:28" ht="8.25" customHeight="1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</row>
    <row r="103" spans="1:28" ht="15" customHeight="1">
      <c r="A103" s="168" t="s">
        <v>127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</row>
    <row r="104" spans="1:28">
      <c r="A104" s="169" t="s">
        <v>227</v>
      </c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Z104" s="110"/>
      <c r="AB104" s="99"/>
    </row>
    <row r="105" spans="1:28" ht="16.5" customHeight="1">
      <c r="A105" s="157">
        <v>90</v>
      </c>
      <c r="B105" s="131" t="s">
        <v>128</v>
      </c>
      <c r="C105" s="132" t="s">
        <v>16</v>
      </c>
      <c r="D105" s="2">
        <f>1699248.1*1629.645</f>
        <v>2769171169.9245</v>
      </c>
      <c r="E105" s="3">
        <f>(D105/$D$135)</f>
        <v>1.6859668035789214E-3</v>
      </c>
      <c r="F105" s="2">
        <f>110.1264*1629.645</f>
        <v>179466.93712799999</v>
      </c>
      <c r="G105" s="2">
        <f>110.1264*1629.645</f>
        <v>179466.93712799999</v>
      </c>
      <c r="H105" s="58">
        <v>245</v>
      </c>
      <c r="I105" s="5">
        <v>1.1000000000000001E-3</v>
      </c>
      <c r="J105" s="5">
        <v>3.9899999999999998E-2</v>
      </c>
      <c r="K105" s="2">
        <f>1711220.66*1609.355</f>
        <v>2753961525.2743001</v>
      </c>
      <c r="L105" s="3">
        <f t="shared" ref="L105:L117" si="30">(K105/$K$135)</f>
        <v>1.6508281912009301E-3</v>
      </c>
      <c r="M105" s="2">
        <f>110.2539*1609.355</f>
        <v>177437.66523450002</v>
      </c>
      <c r="N105" s="2">
        <f>110.2539*1609.355</f>
        <v>177437.66523450002</v>
      </c>
      <c r="O105" s="58">
        <v>245</v>
      </c>
      <c r="P105" s="5">
        <v>1.1999999999999999E-3</v>
      </c>
      <c r="Q105" s="5">
        <v>4.1099999999999998E-2</v>
      </c>
      <c r="R105" s="77">
        <f>((K105-D105)/D105)</f>
        <v>-5.4924898884508369E-3</v>
      </c>
      <c r="S105" s="77">
        <f>((N105-G105)/G105)</f>
        <v>-1.130721862184926E-2</v>
      </c>
      <c r="T105" s="77">
        <f>((O105-H105)/H105)</f>
        <v>0</v>
      </c>
      <c r="U105" s="77">
        <f>P105-I105</f>
        <v>9.9999999999999829E-5</v>
      </c>
      <c r="V105" s="79">
        <f>Q105-J105</f>
        <v>1.1999999999999997E-3</v>
      </c>
      <c r="X105" s="110"/>
      <c r="Y105" s="112"/>
      <c r="Z105" s="110"/>
      <c r="AA105" s="100"/>
    </row>
    <row r="106" spans="1:28" ht="16.5" customHeight="1">
      <c r="A106" s="157">
        <v>91</v>
      </c>
      <c r="B106" s="131" t="s">
        <v>265</v>
      </c>
      <c r="C106" s="132" t="s">
        <v>49</v>
      </c>
      <c r="D106" s="2">
        <f>973622.26*1629.645</f>
        <v>1586658647.8977001</v>
      </c>
      <c r="E106" s="3">
        <f>(D106/$D$135)</f>
        <v>9.6601244373054518E-4</v>
      </c>
      <c r="F106" s="2">
        <f>100*1629.645</f>
        <v>162964.5</v>
      </c>
      <c r="G106" s="2">
        <f>100*1629.645</f>
        <v>162964.5</v>
      </c>
      <c r="H106" s="58">
        <v>15</v>
      </c>
      <c r="I106" s="5">
        <v>8.1010000000000006E-3</v>
      </c>
      <c r="J106" s="5">
        <v>6.9115999999999997E-2</v>
      </c>
      <c r="K106" s="2">
        <f>974850.35*1609.355</f>
        <v>1568880285.02425</v>
      </c>
      <c r="L106" s="3">
        <f t="shared" si="30"/>
        <v>9.4044589198805822E-4</v>
      </c>
      <c r="M106" s="2">
        <f>100*1609.355</f>
        <v>160935.5</v>
      </c>
      <c r="N106" s="2">
        <f>100*1609.355</f>
        <v>160935.5</v>
      </c>
      <c r="O106" s="58">
        <v>15</v>
      </c>
      <c r="P106" s="5">
        <v>9.2599999999999996E-4</v>
      </c>
      <c r="Q106" s="5">
        <v>7.0041999999999993E-2</v>
      </c>
      <c r="R106" s="77">
        <f>((K106-D106)/D106)</f>
        <v>-1.1204907178368905E-2</v>
      </c>
      <c r="S106" s="77">
        <f>((N106-G106)/G106)</f>
        <v>-1.2450564386722261E-2</v>
      </c>
      <c r="T106" s="77">
        <f>((O106-H106)/H106)</f>
        <v>0</v>
      </c>
      <c r="U106" s="77">
        <f>P106-I106</f>
        <v>-7.1750000000000008E-3</v>
      </c>
      <c r="V106" s="79">
        <f>Q106-J106</f>
        <v>9.2599999999999627E-4</v>
      </c>
      <c r="X106" s="110"/>
      <c r="Y106" s="112"/>
      <c r="Z106" s="110"/>
      <c r="AA106" s="100"/>
    </row>
    <row r="107" spans="1:28">
      <c r="A107" s="162">
        <v>92</v>
      </c>
      <c r="B107" s="131" t="s">
        <v>129</v>
      </c>
      <c r="C107" s="132" t="s">
        <v>20</v>
      </c>
      <c r="D107" s="2">
        <f>10646360.31*1629.145</f>
        <v>17344464667.234951</v>
      </c>
      <c r="E107" s="3">
        <f>(D107/$D$135)</f>
        <v>1.0559907589823321E-2</v>
      </c>
      <c r="F107" s="2">
        <f>1.1417*1629.145</f>
        <v>1859.9948464999998</v>
      </c>
      <c r="G107" s="2">
        <f>1.1417*1629.145</f>
        <v>1859.9948464999998</v>
      </c>
      <c r="H107" s="58">
        <v>297</v>
      </c>
      <c r="I107" s="5">
        <v>4.1200000000000001E-2</v>
      </c>
      <c r="J107" s="5">
        <v>-4.2599999999999999E-2</v>
      </c>
      <c r="K107" s="2">
        <f>10796018.91*1608.855</f>
        <v>17369229003.448051</v>
      </c>
      <c r="L107" s="3">
        <f t="shared" si="30"/>
        <v>1.0411769603593475E-2</v>
      </c>
      <c r="M107" s="2">
        <f>1.1428*1608.855</f>
        <v>1838.599494</v>
      </c>
      <c r="N107" s="2">
        <f>1.1428*1608.855</f>
        <v>1838.599494</v>
      </c>
      <c r="O107" s="58">
        <v>297</v>
      </c>
      <c r="P107" s="5">
        <v>-4.0099999999999997E-2</v>
      </c>
      <c r="Q107" s="5">
        <v>5.04E-2</v>
      </c>
      <c r="R107" s="77">
        <f t="shared" ref="R107:R117" si="31">((K107-D107)/D107)</f>
        <v>1.4277947857267799E-3</v>
      </c>
      <c r="S107" s="77">
        <f t="shared" ref="S107:S117" si="32">((N107-G107)/G107)</f>
        <v>-1.150290955927104E-2</v>
      </c>
      <c r="T107" s="77">
        <f t="shared" ref="T107:T117" si="33">((O107-H107)/H107)</f>
        <v>0</v>
      </c>
      <c r="U107" s="77">
        <f t="shared" ref="U107:U117" si="34">P107-I107</f>
        <v>-8.1299999999999997E-2</v>
      </c>
      <c r="V107" s="79">
        <f t="shared" ref="V107:V117" si="35">Q107-J107</f>
        <v>9.2999999999999999E-2</v>
      </c>
    </row>
    <row r="108" spans="1:28">
      <c r="A108" s="165">
        <v>93</v>
      </c>
      <c r="B108" s="131" t="s">
        <v>264</v>
      </c>
      <c r="C108" s="132" t="s">
        <v>98</v>
      </c>
      <c r="D108" s="2">
        <f>1944090.42*1629.645</f>
        <v>3168177232.5008998</v>
      </c>
      <c r="E108" s="3">
        <f>(D108/$D$135)</f>
        <v>1.9288954398570773E-3</v>
      </c>
      <c r="F108" s="2">
        <f>1.0406*1629.645</f>
        <v>1695.808587</v>
      </c>
      <c r="G108" s="2">
        <f>1.0406*1629.645</f>
        <v>1695.808587</v>
      </c>
      <c r="H108" s="58">
        <v>228</v>
      </c>
      <c r="I108" s="5">
        <v>1.2999999999999999E-3</v>
      </c>
      <c r="J108" s="5">
        <v>4.0599999999999997E-2</v>
      </c>
      <c r="K108" s="2">
        <f>1955117.21*1609.355</f>
        <v>3146477657.4995499</v>
      </c>
      <c r="L108" s="3">
        <f t="shared" si="30"/>
        <v>1.8861171342859481E-3</v>
      </c>
      <c r="M108" s="2">
        <f>1.0422*1609.355</f>
        <v>1677.269781</v>
      </c>
      <c r="N108" s="2">
        <f>1.0422*1609.355</f>
        <v>1677.269781</v>
      </c>
      <c r="O108" s="58">
        <v>229</v>
      </c>
      <c r="P108" s="5">
        <v>1.5E-3</v>
      </c>
      <c r="Q108" s="5">
        <v>4.2200000000000001E-2</v>
      </c>
      <c r="R108" s="77">
        <f>((K108-D108)/D108)</f>
        <v>-6.849230143674976E-3</v>
      </c>
      <c r="S108" s="77">
        <f t="shared" ref="S108:T111" si="36">((N108-G108)/G108)</f>
        <v>-1.0932133580474682E-2</v>
      </c>
      <c r="T108" s="77">
        <f t="shared" si="36"/>
        <v>4.3859649122807015E-3</v>
      </c>
      <c r="U108" s="77">
        <f>P108-I108</f>
        <v>2.0000000000000009E-4</v>
      </c>
      <c r="V108" s="79">
        <f>Q108-J108</f>
        <v>1.6000000000000042E-3</v>
      </c>
    </row>
    <row r="109" spans="1:28">
      <c r="A109" s="166">
        <v>94</v>
      </c>
      <c r="B109" s="131" t="s">
        <v>269</v>
      </c>
      <c r="C109" s="132" t="s">
        <v>266</v>
      </c>
      <c r="D109" s="2">
        <f>385202.93*1629.645</f>
        <v>627744028.85984993</v>
      </c>
      <c r="E109" s="3">
        <f>(D109/$D$135)</f>
        <v>3.8219218995821447E-4</v>
      </c>
      <c r="F109" s="2">
        <f>1.05*1629.645</f>
        <v>1711.12725</v>
      </c>
      <c r="G109" s="2">
        <f>1.05*1629.645</f>
        <v>1711.12725</v>
      </c>
      <c r="H109" s="58">
        <v>15</v>
      </c>
      <c r="I109" s="5">
        <v>-0.26600000000000001</v>
      </c>
      <c r="J109" s="5">
        <v>5.2600000000000001E-2</v>
      </c>
      <c r="K109" s="2">
        <f>384914.61*1609.355</f>
        <v>619464252.17655003</v>
      </c>
      <c r="L109" s="3">
        <f t="shared" si="30"/>
        <v>3.7133018800340539E-4</v>
      </c>
      <c r="M109" s="2">
        <f>1.05*1609.355</f>
        <v>1689.82275</v>
      </c>
      <c r="N109" s="2">
        <f>1.06*1609.355</f>
        <v>1705.9163000000001</v>
      </c>
      <c r="O109" s="58">
        <v>15</v>
      </c>
      <c r="P109" s="5">
        <v>-2.5999999999999999E-2</v>
      </c>
      <c r="Q109" s="5">
        <v>5.0999999999999997E-2</v>
      </c>
      <c r="R109" s="77">
        <f>((K109-D109)/D109)</f>
        <v>-1.3189733876621933E-2</v>
      </c>
      <c r="S109" s="77">
        <f t="shared" si="36"/>
        <v>-3.0453316665957552E-3</v>
      </c>
      <c r="T109" s="77">
        <f t="shared" si="36"/>
        <v>0</v>
      </c>
      <c r="U109" s="77">
        <f>P109-I109</f>
        <v>0.24000000000000002</v>
      </c>
      <c r="V109" s="79">
        <f>Q109-J109</f>
        <v>-1.6000000000000042E-3</v>
      </c>
    </row>
    <row r="110" spans="1:28">
      <c r="A110" s="161">
        <v>95</v>
      </c>
      <c r="B110" s="131" t="s">
        <v>240</v>
      </c>
      <c r="C110" s="132" t="s">
        <v>24</v>
      </c>
      <c r="D110" s="2">
        <f>480256.97*1629.645</f>
        <v>782648369.87564993</v>
      </c>
      <c r="E110" s="3">
        <v>0</v>
      </c>
      <c r="F110" s="2">
        <f>1.1635*1629.645</f>
        <v>1896.0919575</v>
      </c>
      <c r="G110" s="2">
        <f>1.1635*1629.645</f>
        <v>1896.0919575</v>
      </c>
      <c r="H110" s="58">
        <v>40</v>
      </c>
      <c r="I110" s="5">
        <v>2.9799999999999998E-4</v>
      </c>
      <c r="J110" s="5">
        <v>9.7600000000000006E-2</v>
      </c>
      <c r="K110" s="2">
        <f>482371.96*1609.355</f>
        <v>776307725.68580008</v>
      </c>
      <c r="L110" s="3">
        <f t="shared" si="30"/>
        <v>4.6534806926235185E-4</v>
      </c>
      <c r="M110" s="2">
        <f>1.1635*1609.355</f>
        <v>1872.4845425000001</v>
      </c>
      <c r="N110" s="2">
        <f>1.1635*1609.355</f>
        <v>1872.4845425000001</v>
      </c>
      <c r="O110" s="58">
        <v>41</v>
      </c>
      <c r="P110" s="5">
        <v>2.5799999999999998E-4</v>
      </c>
      <c r="Q110" s="5">
        <v>9.06E-2</v>
      </c>
      <c r="R110" s="77">
        <f>((K110-D110)/D110)</f>
        <v>-8.1015235371374745E-3</v>
      </c>
      <c r="S110" s="77">
        <f t="shared" si="36"/>
        <v>-1.2450564386722233E-2</v>
      </c>
      <c r="T110" s="77">
        <f t="shared" si="36"/>
        <v>2.5000000000000001E-2</v>
      </c>
      <c r="U110" s="77">
        <f>P110-I110</f>
        <v>-3.9999999999999996E-5</v>
      </c>
      <c r="V110" s="79">
        <f t="shared" si="35"/>
        <v>-7.0000000000000062E-3</v>
      </c>
    </row>
    <row r="111" spans="1:28">
      <c r="A111" s="166">
        <v>96</v>
      </c>
      <c r="B111" s="131" t="s">
        <v>137</v>
      </c>
      <c r="C111" s="132" t="s">
        <v>63</v>
      </c>
      <c r="D111" s="2">
        <f>381262.09*1629.645</f>
        <v>621321858.65805006</v>
      </c>
      <c r="E111" s="3">
        <f t="shared" ref="E111:E117" si="37">(D111/$D$135)</f>
        <v>3.7828215150166665E-4</v>
      </c>
      <c r="F111" s="2">
        <f>105.87*1629.645</f>
        <v>172530.51615000001</v>
      </c>
      <c r="G111" s="2">
        <f>106.64*1629.645</f>
        <v>173785.34280000001</v>
      </c>
      <c r="H111" s="58">
        <v>43</v>
      </c>
      <c r="I111" s="5">
        <v>2.5000000000000001E-3</v>
      </c>
      <c r="J111" s="5">
        <v>5.9900000000000002E-2</v>
      </c>
      <c r="K111" s="2">
        <f>378762.33*1609.355</f>
        <v>609563049.59715009</v>
      </c>
      <c r="L111" s="3">
        <f t="shared" si="30"/>
        <v>3.6539503451819583E-4</v>
      </c>
      <c r="M111" s="2">
        <f>105.94*1609.355</f>
        <v>170495.0687</v>
      </c>
      <c r="N111" s="2">
        <f>106.79*1609.355</f>
        <v>171863.02045000001</v>
      </c>
      <c r="O111" s="58">
        <v>43</v>
      </c>
      <c r="P111" s="5">
        <v>1.1000000000000001E-3</v>
      </c>
      <c r="Q111" s="5">
        <v>6.0999999999999999E-2</v>
      </c>
      <c r="R111" s="77">
        <f>((K111-D111)/D111)</f>
        <v>-1.8925471391425062E-2</v>
      </c>
      <c r="S111" s="77">
        <f t="shared" si="36"/>
        <v>-1.1061475720724603E-2</v>
      </c>
      <c r="T111" s="77">
        <f t="shared" si="36"/>
        <v>0</v>
      </c>
      <c r="U111" s="77">
        <f>P111-I111</f>
        <v>-1.4E-3</v>
      </c>
      <c r="V111" s="79">
        <f>Q111-J111</f>
        <v>1.0999999999999968E-3</v>
      </c>
    </row>
    <row r="112" spans="1:28">
      <c r="A112" s="159">
        <v>97</v>
      </c>
      <c r="B112" s="131" t="s">
        <v>130</v>
      </c>
      <c r="C112" s="132" t="s">
        <v>66</v>
      </c>
      <c r="D112" s="2">
        <v>4903611892.5025501</v>
      </c>
      <c r="E112" s="3">
        <f t="shared" si="37"/>
        <v>2.9854878449494743E-3</v>
      </c>
      <c r="F112" s="2">
        <v>177797.854719</v>
      </c>
      <c r="G112" s="2">
        <v>177797.854719</v>
      </c>
      <c r="H112" s="58">
        <v>53</v>
      </c>
      <c r="I112" s="5">
        <v>1.255E-3</v>
      </c>
      <c r="J112" s="5">
        <v>6.7959000000000006E-2</v>
      </c>
      <c r="K112" s="2">
        <v>4908068032.6502008</v>
      </c>
      <c r="L112" s="3">
        <f t="shared" si="30"/>
        <v>2.942080707472493E-3</v>
      </c>
      <c r="M112" s="2">
        <v>175800.30745750002</v>
      </c>
      <c r="N112" s="2">
        <v>175800.30745750002</v>
      </c>
      <c r="O112" s="58">
        <v>53</v>
      </c>
      <c r="P112" s="5">
        <v>8.8699999999999998E-4</v>
      </c>
      <c r="Q112" s="5">
        <v>6.7799999999999999E-2</v>
      </c>
      <c r="R112" s="77">
        <f t="shared" si="31"/>
        <v>9.0874650060784792E-4</v>
      </c>
      <c r="S112" s="77">
        <f t="shared" si="32"/>
        <v>-1.1234934553383622E-2</v>
      </c>
      <c r="T112" s="77">
        <f t="shared" si="33"/>
        <v>0</v>
      </c>
      <c r="U112" s="77">
        <f t="shared" si="34"/>
        <v>-3.6800000000000005E-4</v>
      </c>
      <c r="V112" s="79">
        <f t="shared" si="35"/>
        <v>-1.5900000000000636E-4</v>
      </c>
      <c r="X112" s="104"/>
    </row>
    <row r="113" spans="1:24">
      <c r="A113" s="157">
        <v>98</v>
      </c>
      <c r="B113" s="131" t="s">
        <v>131</v>
      </c>
      <c r="C113" s="132" t="s">
        <v>26</v>
      </c>
      <c r="D113" s="2">
        <v>55281517074.959999</v>
      </c>
      <c r="E113" s="3">
        <f t="shared" si="37"/>
        <v>3.3657291991236862E-2</v>
      </c>
      <c r="F113" s="2">
        <v>207896.39</v>
      </c>
      <c r="G113" s="2">
        <v>207896.39</v>
      </c>
      <c r="H113" s="58">
        <v>2182</v>
      </c>
      <c r="I113" s="5">
        <v>1.2999999999999999E-3</v>
      </c>
      <c r="J113" s="5">
        <v>5.2900000000000003E-2</v>
      </c>
      <c r="K113" s="2">
        <v>53592710062.540001</v>
      </c>
      <c r="L113" s="3">
        <f t="shared" si="30"/>
        <v>3.212548752121247E-2</v>
      </c>
      <c r="M113" s="2">
        <v>202069.39</v>
      </c>
      <c r="N113" s="2">
        <v>202069.39</v>
      </c>
      <c r="O113" s="58">
        <v>2189</v>
      </c>
      <c r="P113" s="5">
        <v>1.5E-3</v>
      </c>
      <c r="Q113" s="5">
        <v>5.45E-2</v>
      </c>
      <c r="R113" s="77">
        <f t="shared" si="31"/>
        <v>-3.0549216117387461E-2</v>
      </c>
      <c r="S113" s="77">
        <f t="shared" si="32"/>
        <v>-2.8028384716059764E-2</v>
      </c>
      <c r="T113" s="77">
        <f t="shared" si="33"/>
        <v>3.2080659945004585E-3</v>
      </c>
      <c r="U113" s="77">
        <f t="shared" si="34"/>
        <v>2.0000000000000009E-4</v>
      </c>
      <c r="V113" s="79">
        <f t="shared" si="35"/>
        <v>1.5999999999999973E-3</v>
      </c>
    </row>
    <row r="114" spans="1:24">
      <c r="A114" s="157">
        <v>99</v>
      </c>
      <c r="B114" s="156" t="s">
        <v>132</v>
      </c>
      <c r="C114" s="156" t="s">
        <v>26</v>
      </c>
      <c r="D114" s="2">
        <v>90456628377.619995</v>
      </c>
      <c r="E114" s="3">
        <f t="shared" si="37"/>
        <v>5.5073111501626811E-2</v>
      </c>
      <c r="F114" s="2">
        <v>189780.35</v>
      </c>
      <c r="G114" s="2">
        <v>189780.35</v>
      </c>
      <c r="H114" s="58">
        <v>505</v>
      </c>
      <c r="I114" s="5">
        <v>1.4E-3</v>
      </c>
      <c r="J114" s="5">
        <v>6.4600000000000005E-2</v>
      </c>
      <c r="K114" s="2">
        <v>88146957930.899994</v>
      </c>
      <c r="L114" s="3">
        <f t="shared" si="30"/>
        <v>5.2838604238103319E-2</v>
      </c>
      <c r="M114" s="2">
        <v>184517.64</v>
      </c>
      <c r="N114" s="2">
        <v>184517.64</v>
      </c>
      <c r="O114" s="58">
        <v>510</v>
      </c>
      <c r="P114" s="5">
        <v>1.8E-3</v>
      </c>
      <c r="Q114" s="5">
        <v>6.6500000000000004E-2</v>
      </c>
      <c r="R114" s="77">
        <f t="shared" si="31"/>
        <v>-2.5533457173288143E-2</v>
      </c>
      <c r="S114" s="77">
        <f t="shared" si="32"/>
        <v>-2.7730531638286007E-2</v>
      </c>
      <c r="T114" s="77">
        <f t="shared" si="33"/>
        <v>9.9009900990099011E-3</v>
      </c>
      <c r="U114" s="77">
        <f t="shared" si="34"/>
        <v>3.9999999999999996E-4</v>
      </c>
      <c r="V114" s="79">
        <f t="shared" si="35"/>
        <v>1.8999999999999989E-3</v>
      </c>
    </row>
    <row r="115" spans="1:24">
      <c r="A115" s="166">
        <v>100</v>
      </c>
      <c r="B115" s="131" t="s">
        <v>133</v>
      </c>
      <c r="C115" s="132" t="s">
        <v>30</v>
      </c>
      <c r="D115" s="2">
        <f>100431.0953*1629.645</f>
        <v>163667032.30016851</v>
      </c>
      <c r="E115" s="3">
        <f t="shared" si="37"/>
        <v>9.9646127438877852E-5</v>
      </c>
      <c r="F115" s="2">
        <f>114.8102419*1629.645</f>
        <v>187099.93666112548</v>
      </c>
      <c r="G115" s="2">
        <f>114.8102419*1629.645</f>
        <v>187099.93666112548</v>
      </c>
      <c r="H115" s="58">
        <v>4</v>
      </c>
      <c r="I115" s="5">
        <v>2.3E-3</v>
      </c>
      <c r="J115" s="5">
        <v>1.9E-3</v>
      </c>
      <c r="K115" s="2">
        <f>117668.3942*1609.355</f>
        <v>189370218.547741</v>
      </c>
      <c r="L115" s="3">
        <f t="shared" si="30"/>
        <v>1.1351563646894259E-4</v>
      </c>
      <c r="M115" s="2">
        <f>114.7982251*1609.355</f>
        <v>184751.0975558105</v>
      </c>
      <c r="N115" s="2">
        <f>114.7982251*1609.355</f>
        <v>184751.0975558105</v>
      </c>
      <c r="O115" s="58">
        <v>4</v>
      </c>
      <c r="P115" s="5">
        <v>-1E-4</v>
      </c>
      <c r="Q115" s="5">
        <v>1.8E-3</v>
      </c>
      <c r="R115" s="77">
        <f t="shared" si="31"/>
        <v>0.15704559364424925</v>
      </c>
      <c r="S115" s="77">
        <f t="shared" si="32"/>
        <v>-1.2553927848565705E-2</v>
      </c>
      <c r="T115" s="77">
        <f t="shared" si="33"/>
        <v>0</v>
      </c>
      <c r="U115" s="77">
        <f t="shared" si="34"/>
        <v>-2.3999999999999998E-3</v>
      </c>
      <c r="V115" s="79">
        <f t="shared" si="35"/>
        <v>-1.0000000000000005E-4</v>
      </c>
    </row>
    <row r="116" spans="1:24">
      <c r="A116" s="161">
        <v>101</v>
      </c>
      <c r="B116" s="131" t="s">
        <v>134</v>
      </c>
      <c r="C116" s="132" t="s">
        <v>33</v>
      </c>
      <c r="D116" s="2">
        <f>10089730.55*1629.645</f>
        <v>16442678942.154751</v>
      </c>
      <c r="E116" s="3">
        <f t="shared" si="37"/>
        <v>1.0010869374728795E-2</v>
      </c>
      <c r="F116" s="2">
        <f>1.37*1629.645</f>
        <v>2232.6136500000002</v>
      </c>
      <c r="G116" s="2">
        <f>1.37*1629.645</f>
        <v>2232.6136500000002</v>
      </c>
      <c r="H116" s="59">
        <v>111</v>
      </c>
      <c r="I116" s="12">
        <v>8.9999999999999998E-4</v>
      </c>
      <c r="J116" s="12">
        <v>4.7E-2</v>
      </c>
      <c r="K116" s="2">
        <f>10151189.59*1609.355</f>
        <v>16336867722.61445</v>
      </c>
      <c r="L116" s="3">
        <f t="shared" si="30"/>
        <v>9.7929333960924785E-3</v>
      </c>
      <c r="M116" s="2">
        <f>1.37*1609.355</f>
        <v>2204.8163500000001</v>
      </c>
      <c r="N116" s="2">
        <f>1.37*1609.355</f>
        <v>2204.8163500000001</v>
      </c>
      <c r="O116" s="59">
        <v>111</v>
      </c>
      <c r="P116" s="12">
        <v>8.9999999999999998E-4</v>
      </c>
      <c r="Q116" s="12">
        <v>4.7100000000000003E-2</v>
      </c>
      <c r="R116" s="77">
        <f t="shared" si="31"/>
        <v>-6.4351569420374637E-3</v>
      </c>
      <c r="S116" s="77">
        <f t="shared" si="32"/>
        <v>-1.2450564386722339E-2</v>
      </c>
      <c r="T116" s="77">
        <f t="shared" si="33"/>
        <v>0</v>
      </c>
      <c r="U116" s="77">
        <f t="shared" si="34"/>
        <v>0</v>
      </c>
      <c r="V116" s="79">
        <f t="shared" si="35"/>
        <v>1.0000000000000286E-4</v>
      </c>
    </row>
    <row r="117" spans="1:24">
      <c r="A117" s="157">
        <v>102</v>
      </c>
      <c r="B117" s="131" t="s">
        <v>135</v>
      </c>
      <c r="C117" s="132" t="s">
        <v>77</v>
      </c>
      <c r="D117" s="2">
        <f>15843680.81*1692.645</f>
        <v>26817727104.642452</v>
      </c>
      <c r="E117" s="3">
        <f t="shared" si="37"/>
        <v>1.6327556106652149E-2</v>
      </c>
      <c r="F117" s="2">
        <f>104.59*1629.645</f>
        <v>170444.57055</v>
      </c>
      <c r="G117" s="2">
        <f>104.59*1629.645</f>
        <v>170444.57055</v>
      </c>
      <c r="H117" s="58">
        <v>387</v>
      </c>
      <c r="I117" s="5">
        <v>1.6999999999999999E-3</v>
      </c>
      <c r="J117" s="5">
        <v>6.8599999999999994E-2</v>
      </c>
      <c r="K117" s="2">
        <f>15887575.87*1609.355</f>
        <v>25568749664.263847</v>
      </c>
      <c r="L117" s="3">
        <f t="shared" si="30"/>
        <v>1.5326870899302746E-2</v>
      </c>
      <c r="M117" s="2">
        <f>104.78*1609.355</f>
        <v>168628.2169</v>
      </c>
      <c r="N117" s="2">
        <f>104.78*1609.355</f>
        <v>168628.2169</v>
      </c>
      <c r="O117" s="58">
        <v>387</v>
      </c>
      <c r="P117" s="5">
        <v>1.8E-3</v>
      </c>
      <c r="Q117" s="5">
        <v>7.0400000000000004E-2</v>
      </c>
      <c r="R117" s="77">
        <f t="shared" si="31"/>
        <v>-4.6572829811605952E-2</v>
      </c>
      <c r="S117" s="77">
        <f t="shared" si="32"/>
        <v>-1.0656565029551212E-2</v>
      </c>
      <c r="T117" s="77">
        <f t="shared" si="33"/>
        <v>0</v>
      </c>
      <c r="U117" s="77">
        <f t="shared" si="34"/>
        <v>1.0000000000000005E-4</v>
      </c>
      <c r="V117" s="79">
        <f t="shared" si="35"/>
        <v>1.8000000000000099E-3</v>
      </c>
    </row>
    <row r="118" spans="1:24">
      <c r="A118" s="162">
        <v>103</v>
      </c>
      <c r="B118" s="131" t="s">
        <v>136</v>
      </c>
      <c r="C118" s="132" t="s">
        <v>37</v>
      </c>
      <c r="D118" s="2">
        <f>1843228.48*1629.645</f>
        <v>3003808076.2895999</v>
      </c>
      <c r="E118" s="3">
        <f t="shared" ref="E118:E119" si="38">(D118/$D$135)</f>
        <v>1.8288218351935977E-3</v>
      </c>
      <c r="F118" s="2">
        <f>131.5*1629.645</f>
        <v>214298.3175</v>
      </c>
      <c r="G118" s="2">
        <f>135.51*1629.645</f>
        <v>220833.19394999999</v>
      </c>
      <c r="H118" s="58">
        <v>46</v>
      </c>
      <c r="I118" s="5">
        <v>-3.1E-2</v>
      </c>
      <c r="J118" s="5">
        <v>-1E-4</v>
      </c>
      <c r="K118" s="2">
        <f>1844849.77*1609.355</f>
        <v>2969018201.59835</v>
      </c>
      <c r="L118" s="3">
        <f t="shared" ref="L118:L119" si="39">(K118/$K$135)</f>
        <v>1.7797412572418054E-3</v>
      </c>
      <c r="M118" s="2">
        <f>132.16*1609.355</f>
        <v>212692.35680000001</v>
      </c>
      <c r="N118" s="2">
        <f>136.2*1609.355</f>
        <v>219194.15099999998</v>
      </c>
      <c r="O118" s="58">
        <v>46</v>
      </c>
      <c r="P118" s="5">
        <v>4.5999999999999999E-3</v>
      </c>
      <c r="Q118" s="5">
        <v>4.8999999999999998E-3</v>
      </c>
      <c r="R118" s="77">
        <f t="shared" ref="R118:R119" si="40">((K118-D118)/D118)</f>
        <v>-1.1581923281271491E-2</v>
      </c>
      <c r="S118" s="77">
        <f t="shared" ref="S118:S119" si="41">((N118-G118)/G118)</f>
        <v>-7.4220859676154809E-3</v>
      </c>
      <c r="T118" s="77">
        <f t="shared" ref="T118:T119" si="42">((O118-H118)/H118)</f>
        <v>0</v>
      </c>
      <c r="U118" s="77">
        <f t="shared" ref="U118:U119" si="43">P118-I118</f>
        <v>3.56E-2</v>
      </c>
      <c r="V118" s="79">
        <f t="shared" ref="V118:V119" si="44">Q118-J118</f>
        <v>5.0000000000000001E-3</v>
      </c>
    </row>
    <row r="119" spans="1:24">
      <c r="A119" s="162">
        <v>104</v>
      </c>
      <c r="B119" s="131" t="s">
        <v>280</v>
      </c>
      <c r="C119" s="132" t="s">
        <v>44</v>
      </c>
      <c r="D119" s="4">
        <f>142517593.03*1593.93</f>
        <v>227163067058.30792</v>
      </c>
      <c r="E119" s="3">
        <f t="shared" si="38"/>
        <v>0.13830470077800269</v>
      </c>
      <c r="F119" s="2">
        <f>122.1465*1593.93</f>
        <v>194692.970745</v>
      </c>
      <c r="G119" s="2">
        <f>122.1465*1593.93</f>
        <v>194692.970745</v>
      </c>
      <c r="H119" s="58">
        <v>3287</v>
      </c>
      <c r="I119" s="5">
        <v>5.5300000000000002E-2</v>
      </c>
      <c r="J119" s="5">
        <v>5.3199999999999997E-2</v>
      </c>
      <c r="K119" s="4">
        <f>142517593.03*1649.76</f>
        <v>235119824277.17279</v>
      </c>
      <c r="L119" s="3">
        <f t="shared" si="39"/>
        <v>0.14093967205598704</v>
      </c>
      <c r="M119" s="2">
        <f>122.3265*1649.76</f>
        <v>201809.36663999999</v>
      </c>
      <c r="N119" s="2">
        <f>122.3265*1649.76</f>
        <v>201809.36663999999</v>
      </c>
      <c r="O119" s="58">
        <v>3196</v>
      </c>
      <c r="P119" s="5">
        <v>5.5199999999999999E-2</v>
      </c>
      <c r="Q119" s="5">
        <v>5.3199999999999997E-2</v>
      </c>
      <c r="R119" s="77">
        <f t="shared" si="40"/>
        <v>3.5026632286235766E-2</v>
      </c>
      <c r="S119" s="77">
        <f t="shared" si="41"/>
        <v>3.6551889201591803E-2</v>
      </c>
      <c r="T119" s="77">
        <f t="shared" si="42"/>
        <v>-2.7684818983875873E-2</v>
      </c>
      <c r="U119" s="77">
        <f t="shared" si="43"/>
        <v>-1.0000000000000286E-4</v>
      </c>
      <c r="V119" s="79">
        <f t="shared" si="44"/>
        <v>0</v>
      </c>
    </row>
    <row r="120" spans="1:24" ht="6" customHeight="1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</row>
    <row r="121" spans="1:24">
      <c r="A121" s="169" t="s">
        <v>228</v>
      </c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</row>
    <row r="122" spans="1:24">
      <c r="A122" s="162">
        <v>105</v>
      </c>
      <c r="B122" s="131" t="s">
        <v>138</v>
      </c>
      <c r="C122" s="132" t="s">
        <v>96</v>
      </c>
      <c r="D122" s="4">
        <f>1143232.8*1629.645</f>
        <v>1863063616.3559999</v>
      </c>
      <c r="E122" s="3">
        <f t="shared" ref="E122:E132" si="45">(D122/$D$135)</f>
        <v>1.1342973104178139E-3</v>
      </c>
      <c r="F122" s="2">
        <f>105.84*1629.645</f>
        <v>172481.6268</v>
      </c>
      <c r="G122" s="2">
        <f>105.84*1629.645</f>
        <v>172481.6268</v>
      </c>
      <c r="H122" s="58">
        <v>21</v>
      </c>
      <c r="I122" s="5">
        <v>-7.306E-3</v>
      </c>
      <c r="J122" s="5">
        <v>6.2399999999999997E-2</v>
      </c>
      <c r="K122" s="4">
        <f>1143026.01*1609.355</f>
        <v>1839534624.32355</v>
      </c>
      <c r="L122" s="3">
        <f t="shared" ref="L122:L134" si="46">(K122/$K$135)</f>
        <v>1.1026862897879669E-3</v>
      </c>
      <c r="M122" s="2">
        <f>105.82*1609.355</f>
        <v>170301.9461</v>
      </c>
      <c r="N122" s="2">
        <f>105.82*1609.355</f>
        <v>170301.9461</v>
      </c>
      <c r="O122" s="58">
        <v>21</v>
      </c>
      <c r="P122" s="5">
        <v>-3.7800000000000003E-4</v>
      </c>
      <c r="Q122" s="5">
        <v>3.95E-2</v>
      </c>
      <c r="R122" s="77">
        <f>((K122-D122)/D122)</f>
        <v>-1.2629194100451999E-2</v>
      </c>
      <c r="S122" s="77">
        <f>((N122-G122)/G122)</f>
        <v>-1.2637176147042215E-2</v>
      </c>
      <c r="T122" s="77">
        <f>((O122-H122)/H122)</f>
        <v>0</v>
      </c>
      <c r="U122" s="77">
        <f>P122-I122</f>
        <v>6.9280000000000001E-3</v>
      </c>
      <c r="V122" s="79">
        <f>Q122-J122</f>
        <v>-2.2899999999999997E-2</v>
      </c>
    </row>
    <row r="123" spans="1:24">
      <c r="A123" s="161">
        <v>106</v>
      </c>
      <c r="B123" s="132" t="s">
        <v>139</v>
      </c>
      <c r="C123" s="132" t="s">
        <v>22</v>
      </c>
      <c r="D123" s="2">
        <f>10033658.15*1629.645</f>
        <v>16351300835.85675</v>
      </c>
      <c r="E123" s="3">
        <f t="shared" si="45"/>
        <v>9.9552352357251978E-3</v>
      </c>
      <c r="F123" s="4">
        <f>131.47*1629.645</f>
        <v>214249.42814999999</v>
      </c>
      <c r="G123" s="4">
        <f>131.47*1629.645</f>
        <v>214249.42814999999</v>
      </c>
      <c r="H123" s="58">
        <v>467</v>
      </c>
      <c r="I123" s="5">
        <v>5.0000000000000001E-4</v>
      </c>
      <c r="J123" s="5">
        <v>4.07E-2</v>
      </c>
      <c r="K123" s="2">
        <f>10228924.27*1609.355</f>
        <v>16461970418.545849</v>
      </c>
      <c r="L123" s="3">
        <f t="shared" si="46"/>
        <v>9.8679246606193927E-3</v>
      </c>
      <c r="M123" s="4">
        <f>131.61*1609.355</f>
        <v>211807.21155000004</v>
      </c>
      <c r="N123" s="4">
        <f>131.61*1609.355</f>
        <v>211807.21155000004</v>
      </c>
      <c r="O123" s="58">
        <v>469</v>
      </c>
      <c r="P123" s="5">
        <v>5.0000000000000001E-4</v>
      </c>
      <c r="Q123" s="5">
        <v>4.1799999999999997E-2</v>
      </c>
      <c r="R123" s="77">
        <f t="shared" ref="R123:R135" si="47">((K123-D123)/D123)</f>
        <v>6.7682433220487967E-3</v>
      </c>
      <c r="S123" s="77">
        <f t="shared" ref="S123:S135" si="48">((N123-G123)/G123)</f>
        <v>-1.1398941043101012E-2</v>
      </c>
      <c r="T123" s="77">
        <f t="shared" ref="T123:T135" si="49">((O123-H123)/H123)</f>
        <v>4.2826552462526769E-3</v>
      </c>
      <c r="U123" s="77">
        <f t="shared" ref="U123:U135" si="50">P123-I123</f>
        <v>0</v>
      </c>
      <c r="V123" s="79">
        <f t="shared" ref="V123:V135" si="51">Q123-J123</f>
        <v>1.0999999999999968E-3</v>
      </c>
    </row>
    <row r="124" spans="1:24">
      <c r="A124" s="162">
        <v>107</v>
      </c>
      <c r="B124" s="131" t="s">
        <v>140</v>
      </c>
      <c r="C124" s="132" t="s">
        <v>57</v>
      </c>
      <c r="D124" s="4">
        <v>16423894127.98</v>
      </c>
      <c r="E124" s="3">
        <f t="shared" si="45"/>
        <v>9.9994325327401185E-3</v>
      </c>
      <c r="F124" s="4">
        <v>184727.24</v>
      </c>
      <c r="G124" s="4">
        <v>184727.24</v>
      </c>
      <c r="H124" s="58">
        <v>617</v>
      </c>
      <c r="I124" s="5">
        <v>1.1000000000000001E-3</v>
      </c>
      <c r="J124" s="5">
        <v>6.3399999999999998E-2</v>
      </c>
      <c r="K124" s="4">
        <v>16424744695.940001</v>
      </c>
      <c r="L124" s="3">
        <f t="shared" si="46"/>
        <v>9.8456101613965171E-3</v>
      </c>
      <c r="M124" s="4">
        <v>184953.96</v>
      </c>
      <c r="N124" s="4">
        <v>184953.96</v>
      </c>
      <c r="O124" s="58">
        <v>617</v>
      </c>
      <c r="P124" s="5">
        <v>1.1999999999999999E-3</v>
      </c>
      <c r="Q124" s="5">
        <v>6.4699999999999994E-2</v>
      </c>
      <c r="R124" s="77">
        <f t="shared" si="47"/>
        <v>5.1788446355846333E-5</v>
      </c>
      <c r="S124" s="77">
        <f t="shared" si="48"/>
        <v>1.2273230520847991E-3</v>
      </c>
      <c r="T124" s="77">
        <f t="shared" si="49"/>
        <v>0</v>
      </c>
      <c r="U124" s="77">
        <f t="shared" si="50"/>
        <v>9.9999999999999829E-5</v>
      </c>
      <c r="V124" s="79">
        <f t="shared" si="51"/>
        <v>1.2999999999999956E-3</v>
      </c>
    </row>
    <row r="125" spans="1:24">
      <c r="A125" s="166">
        <v>108</v>
      </c>
      <c r="B125" s="131" t="s">
        <v>141</v>
      </c>
      <c r="C125" s="132" t="s">
        <v>55</v>
      </c>
      <c r="D125" s="4">
        <v>7069324268.2125425</v>
      </c>
      <c r="E125" s="3">
        <f t="shared" si="45"/>
        <v>4.3040481460256408E-3</v>
      </c>
      <c r="F125" s="4">
        <v>2008.5669630361328</v>
      </c>
      <c r="G125" s="4">
        <v>2008.5669630361328</v>
      </c>
      <c r="H125" s="58">
        <v>215</v>
      </c>
      <c r="I125" s="5">
        <v>4.6510423446789802E-2</v>
      </c>
      <c r="J125" s="5">
        <v>5.3146738449703419E-2</v>
      </c>
      <c r="K125" s="4">
        <v>7127936624.7091312</v>
      </c>
      <c r="L125" s="3">
        <f t="shared" si="46"/>
        <v>4.2727534924408292E-3</v>
      </c>
      <c r="M125" s="4">
        <v>2034.5769720480466</v>
      </c>
      <c r="N125" s="4">
        <v>2034.5769720480466</v>
      </c>
      <c r="O125" s="58">
        <v>215</v>
      </c>
      <c r="P125" s="5">
        <v>5.5105413704603416E-2</v>
      </c>
      <c r="Q125" s="5">
        <v>5.3254574810501214E-2</v>
      </c>
      <c r="R125" s="77">
        <f t="shared" si="47"/>
        <v>8.2910833161439716E-3</v>
      </c>
      <c r="S125" s="77">
        <f t="shared" si="48"/>
        <v>1.2949535410359071E-2</v>
      </c>
      <c r="T125" s="77">
        <f t="shared" si="49"/>
        <v>0</v>
      </c>
      <c r="U125" s="77">
        <f t="shared" si="50"/>
        <v>8.5949902578136145E-3</v>
      </c>
      <c r="V125" s="79">
        <f t="shared" si="51"/>
        <v>1.0783636079779446E-4</v>
      </c>
    </row>
    <row r="126" spans="1:24">
      <c r="A126" s="157">
        <v>109</v>
      </c>
      <c r="B126" s="131" t="s">
        <v>275</v>
      </c>
      <c r="C126" s="132" t="s">
        <v>31</v>
      </c>
      <c r="D126" s="4">
        <v>73128843569.065598</v>
      </c>
      <c r="E126" s="3">
        <f t="shared" si="45"/>
        <v>4.452335918437357E-2</v>
      </c>
      <c r="F126" s="4">
        <f>100*1598.56</f>
        <v>159856</v>
      </c>
      <c r="G126" s="4">
        <f>100*1598.56</f>
        <v>159856</v>
      </c>
      <c r="H126" s="58">
        <v>1649</v>
      </c>
      <c r="I126" s="5">
        <v>5.0799999999999998E-2</v>
      </c>
      <c r="J126" s="5">
        <v>5.7548299999999997E-2</v>
      </c>
      <c r="K126" s="4">
        <v>73582619187.119995</v>
      </c>
      <c r="L126" s="3">
        <f t="shared" si="46"/>
        <v>4.410819142595003E-2</v>
      </c>
      <c r="M126" s="4">
        <f>100*1598.56</f>
        <v>159856</v>
      </c>
      <c r="N126" s="4">
        <f>100*1598.56</f>
        <v>159856</v>
      </c>
      <c r="O126" s="58">
        <v>1666</v>
      </c>
      <c r="P126" s="5">
        <v>5.4300000000000001E-2</v>
      </c>
      <c r="Q126" s="5">
        <v>5.7329400000000003E-2</v>
      </c>
      <c r="R126" s="77">
        <f>((K126-D126)/D126)</f>
        <v>6.205152384583178E-3</v>
      </c>
      <c r="S126" s="77">
        <f>((N126-G126)/G126)</f>
        <v>0</v>
      </c>
      <c r="T126" s="77">
        <f>((O126-H126)/H126)</f>
        <v>1.0309278350515464E-2</v>
      </c>
      <c r="U126" s="77">
        <f>P126-I126</f>
        <v>3.5000000000000031E-3</v>
      </c>
      <c r="V126" s="79">
        <f>Q126-J126</f>
        <v>-2.188999999999941E-4</v>
      </c>
    </row>
    <row r="127" spans="1:24" ht="15.75">
      <c r="A127" s="162">
        <v>110</v>
      </c>
      <c r="B127" s="131" t="s">
        <v>250</v>
      </c>
      <c r="C127" s="132" t="s">
        <v>113</v>
      </c>
      <c r="D127" s="4">
        <f>1012007.51*1629.645</f>
        <v>1649212978.63395</v>
      </c>
      <c r="E127" s="3">
        <f t="shared" si="45"/>
        <v>1.0040976752203304E-3</v>
      </c>
      <c r="F127" s="4">
        <f>1.074189*1629.645</f>
        <v>1750.546732905</v>
      </c>
      <c r="G127" s="4">
        <f>1.09655*1629.645</f>
        <v>1786.9872247499998</v>
      </c>
      <c r="H127" s="58">
        <v>37</v>
      </c>
      <c r="I127" s="5">
        <v>1.6999999999999999E-3</v>
      </c>
      <c r="J127" s="5">
        <v>0.10299999999999999</v>
      </c>
      <c r="K127" s="4">
        <f>1025399.11*1609.355</f>
        <v>1650231184.6740501</v>
      </c>
      <c r="L127" s="3">
        <f t="shared" si="46"/>
        <v>9.8921068310403853E-4</v>
      </c>
      <c r="M127" s="4">
        <f>1.072061*1609.355</f>
        <v>1725.3267306549999</v>
      </c>
      <c r="N127" s="4">
        <f>1.094539*1609.355</f>
        <v>1761.501812345</v>
      </c>
      <c r="O127" s="58">
        <v>38</v>
      </c>
      <c r="P127" s="5">
        <v>1.1999999999999999E-3</v>
      </c>
      <c r="Q127" s="5">
        <v>0.1033</v>
      </c>
      <c r="R127" s="77">
        <f t="shared" si="47"/>
        <v>6.1738905362209915E-4</v>
      </c>
      <c r="S127" s="77">
        <f t="shared" si="48"/>
        <v>-1.426166457824858E-2</v>
      </c>
      <c r="T127" s="77">
        <f t="shared" si="49"/>
        <v>2.7027027027027029E-2</v>
      </c>
      <c r="U127" s="77">
        <f t="shared" si="50"/>
        <v>-5.0000000000000001E-4</v>
      </c>
      <c r="V127" s="79">
        <f t="shared" si="51"/>
        <v>3.0000000000000859E-4</v>
      </c>
      <c r="X127" s="113"/>
    </row>
    <row r="128" spans="1:24" ht="15.75">
      <c r="A128" s="162">
        <v>111</v>
      </c>
      <c r="B128" s="131" t="s">
        <v>256</v>
      </c>
      <c r="C128" s="132" t="s">
        <v>35</v>
      </c>
      <c r="D128" s="2">
        <f>1810656.42*1629.645</f>
        <v>2950727181.5709</v>
      </c>
      <c r="E128" s="3">
        <f t="shared" si="45"/>
        <v>1.7965043579022118E-3</v>
      </c>
      <c r="F128" s="4">
        <f>10.36555*1629.645</f>
        <v>16892.166729750003</v>
      </c>
      <c r="G128" s="4">
        <f>10.36555*1629.645</f>
        <v>16892.166729750003</v>
      </c>
      <c r="H128" s="58">
        <v>64</v>
      </c>
      <c r="I128" s="5">
        <v>7.6399999999999996E-2</v>
      </c>
      <c r="J128" s="5">
        <v>9.5299999999999996E-2</v>
      </c>
      <c r="K128" s="2">
        <f>1810656.42*1609.355</f>
        <v>2913988962.8091002</v>
      </c>
      <c r="L128" s="3">
        <f t="shared" si="46"/>
        <v>1.7467546603340751E-3</v>
      </c>
      <c r="M128" s="4">
        <f>10.36555*1609.355</f>
        <v>16681.84972025</v>
      </c>
      <c r="N128" s="4">
        <f>10.36555*1609.355</f>
        <v>16681.84972025</v>
      </c>
      <c r="O128" s="58">
        <v>65</v>
      </c>
      <c r="P128" s="5">
        <v>7.6399999999999996E-2</v>
      </c>
      <c r="Q128" s="5">
        <v>9.8500000000000004E-2</v>
      </c>
      <c r="R128" s="77">
        <f>((K128-D128)/D128)</f>
        <v>-1.2450564386722198E-2</v>
      </c>
      <c r="S128" s="77">
        <f>((N128-G128)/G128)</f>
        <v>-1.2450564386722396E-2</v>
      </c>
      <c r="T128" s="77">
        <f>((O128-H128)/H128)</f>
        <v>1.5625E-2</v>
      </c>
      <c r="U128" s="77">
        <f>P128-I128</f>
        <v>0</v>
      </c>
      <c r="V128" s="79">
        <f>Q128-J128</f>
        <v>3.2000000000000084E-3</v>
      </c>
      <c r="X128" s="113"/>
    </row>
    <row r="129" spans="1:24" ht="15.75">
      <c r="A129" s="162">
        <v>112</v>
      </c>
      <c r="B129" s="132" t="s">
        <v>142</v>
      </c>
      <c r="C129" s="164" t="s">
        <v>39</v>
      </c>
      <c r="D129" s="4">
        <v>20687295089</v>
      </c>
      <c r="E129" s="3">
        <f t="shared" si="45"/>
        <v>1.2595137907941669E-2</v>
      </c>
      <c r="F129" s="4">
        <f>1.0464*1629.645</f>
        <v>1705.260528</v>
      </c>
      <c r="G129" s="4">
        <f>1.0464*1629.645</f>
        <v>1705.260528</v>
      </c>
      <c r="H129" s="58">
        <v>371</v>
      </c>
      <c r="I129" s="5">
        <v>8.6E-3</v>
      </c>
      <c r="J129" s="5">
        <v>8.1600000000000006E-2</v>
      </c>
      <c r="K129" s="4">
        <v>20698941102</v>
      </c>
      <c r="L129" s="3">
        <f t="shared" si="46"/>
        <v>1.2407724358380718E-2</v>
      </c>
      <c r="M129" s="4">
        <f>1.0444*1609.355</f>
        <v>1680.8103619999999</v>
      </c>
      <c r="N129" s="4">
        <f>1.0444*1609.355</f>
        <v>1680.8103619999999</v>
      </c>
      <c r="O129" s="58">
        <v>371</v>
      </c>
      <c r="P129" s="5">
        <v>-2E-3</v>
      </c>
      <c r="Q129" s="5">
        <v>7.9699999999999993E-2</v>
      </c>
      <c r="R129" s="77">
        <f t="shared" si="47"/>
        <v>5.62954844985631E-4</v>
      </c>
      <c r="S129" s="77">
        <f t="shared" si="48"/>
        <v>-1.4338082421151357E-2</v>
      </c>
      <c r="T129" s="77">
        <f t="shared" si="49"/>
        <v>0</v>
      </c>
      <c r="U129" s="77">
        <f t="shared" si="50"/>
        <v>-1.06E-2</v>
      </c>
      <c r="V129" s="79">
        <f t="shared" si="51"/>
        <v>-1.9000000000000128E-3</v>
      </c>
      <c r="X129" s="113"/>
    </row>
    <row r="130" spans="1:24">
      <c r="A130" s="162">
        <v>113</v>
      </c>
      <c r="B130" s="131" t="s">
        <v>143</v>
      </c>
      <c r="C130" s="132" t="s">
        <v>79</v>
      </c>
      <c r="D130" s="2">
        <f>325889.65*1619.95</f>
        <v>527924938.51750004</v>
      </c>
      <c r="E130" s="3">
        <f t="shared" si="45"/>
        <v>3.2141888908449647E-4</v>
      </c>
      <c r="F130" s="4">
        <f>1.07*1619.95</f>
        <v>1733.3465000000001</v>
      </c>
      <c r="G130" s="4">
        <f>1.07*1619.95</f>
        <v>1733.3465000000001</v>
      </c>
      <c r="H130" s="58">
        <v>3</v>
      </c>
      <c r="I130" s="5">
        <v>-4.908E-3</v>
      </c>
      <c r="J130" s="5">
        <v>3.6700999999999998E-2</v>
      </c>
      <c r="K130" s="2">
        <f>326349.32*1639.2</f>
        <v>534951805.34400004</v>
      </c>
      <c r="L130" s="3">
        <f t="shared" si="46"/>
        <v>3.206702465125208E-4</v>
      </c>
      <c r="M130" s="4">
        <f>1.07*1639.2</f>
        <v>1753.9440000000002</v>
      </c>
      <c r="N130" s="4">
        <f>1.07*1639.2</f>
        <v>1753.9440000000002</v>
      </c>
      <c r="O130" s="58">
        <v>3</v>
      </c>
      <c r="P130" s="5">
        <v>7.5299999999999998E-4</v>
      </c>
      <c r="Q130" s="5">
        <v>3.7482000000000001E-2</v>
      </c>
      <c r="R130" s="77">
        <f t="shared" si="47"/>
        <v>1.3310352123604152E-2</v>
      </c>
      <c r="S130" s="77">
        <f t="shared" si="48"/>
        <v>1.1883082811197923E-2</v>
      </c>
      <c r="T130" s="77">
        <f t="shared" si="49"/>
        <v>0</v>
      </c>
      <c r="U130" s="77">
        <f t="shared" si="50"/>
        <v>5.6610000000000002E-3</v>
      </c>
      <c r="V130" s="79">
        <f t="shared" si="51"/>
        <v>7.8100000000000391E-4</v>
      </c>
    </row>
    <row r="131" spans="1:24">
      <c r="A131" s="165">
        <v>114</v>
      </c>
      <c r="B131" s="131" t="s">
        <v>144</v>
      </c>
      <c r="C131" s="132" t="s">
        <v>41</v>
      </c>
      <c r="D131" s="2">
        <v>949318093710.89001</v>
      </c>
      <c r="E131" s="3">
        <f t="shared" si="45"/>
        <v>0.57797755856205224</v>
      </c>
      <c r="F131" s="4">
        <v>2493.75</v>
      </c>
      <c r="G131" s="4">
        <v>2493.75</v>
      </c>
      <c r="H131" s="58">
        <v>8279</v>
      </c>
      <c r="I131" s="5">
        <v>1.4E-3</v>
      </c>
      <c r="J131" s="5">
        <v>5.0999999999999997E-2</v>
      </c>
      <c r="K131" s="2">
        <v>967563629628.43005</v>
      </c>
      <c r="L131" s="3">
        <f t="shared" si="46"/>
        <v>0.57999405652997116</v>
      </c>
      <c r="M131" s="4">
        <v>2526.9899999999998</v>
      </c>
      <c r="N131" s="4">
        <v>2526.9899999999998</v>
      </c>
      <c r="O131" s="58">
        <v>8354</v>
      </c>
      <c r="P131" s="5">
        <v>1.4E-3</v>
      </c>
      <c r="Q131" s="5">
        <v>5.2499999999999998E-2</v>
      </c>
      <c r="R131" s="77">
        <f t="shared" si="47"/>
        <v>1.9219623051972109E-2</v>
      </c>
      <c r="S131" s="77">
        <f t="shared" si="48"/>
        <v>1.3329323308270588E-2</v>
      </c>
      <c r="T131" s="77">
        <f t="shared" si="49"/>
        <v>9.0590651044812169E-3</v>
      </c>
      <c r="U131" s="77">
        <f t="shared" si="50"/>
        <v>0</v>
      </c>
      <c r="V131" s="79">
        <f t="shared" si="51"/>
        <v>1.5000000000000013E-3</v>
      </c>
    </row>
    <row r="132" spans="1:24" ht="16.5" customHeight="1">
      <c r="A132" s="162">
        <v>115</v>
      </c>
      <c r="B132" s="131" t="s">
        <v>145</v>
      </c>
      <c r="C132" s="132" t="s">
        <v>44</v>
      </c>
      <c r="D132" s="2">
        <f>62220138*1593.93</f>
        <v>99174544562.339996</v>
      </c>
      <c r="E132" s="3">
        <f t="shared" si="45"/>
        <v>6.0380879198855167E-2</v>
      </c>
      <c r="F132" s="4">
        <f>1.1339*1593.93</f>
        <v>1807.357227</v>
      </c>
      <c r="G132" s="4">
        <f>1.1339*1593.93</f>
        <v>1807.357227</v>
      </c>
      <c r="H132" s="58">
        <v>381</v>
      </c>
      <c r="I132" s="5">
        <v>0.10150000000000001</v>
      </c>
      <c r="J132" s="5">
        <v>8.7599999999999997E-2</v>
      </c>
      <c r="K132" s="2">
        <f>62778668.42*1649.76</f>
        <v>103569736012.57921</v>
      </c>
      <c r="L132" s="3">
        <f t="shared" si="46"/>
        <v>6.2083597899129844E-2</v>
      </c>
      <c r="M132" s="4">
        <f>1.1369*1649.76</f>
        <v>1875.6121439999999</v>
      </c>
      <c r="N132" s="4">
        <f>1.1369*1649.76</f>
        <v>1875.6121439999999</v>
      </c>
      <c r="O132" s="58">
        <v>289</v>
      </c>
      <c r="P132" s="5">
        <v>0.1012</v>
      </c>
      <c r="Q132" s="5">
        <v>8.8099999999999998E-2</v>
      </c>
      <c r="R132" s="77">
        <f t="shared" si="47"/>
        <v>4.4317737677902258E-2</v>
      </c>
      <c r="S132" s="77">
        <f t="shared" si="48"/>
        <v>3.7765039462229109E-2</v>
      </c>
      <c r="T132" s="77">
        <f t="shared" si="49"/>
        <v>-0.24146981627296588</v>
      </c>
      <c r="U132" s="77">
        <f t="shared" si="50"/>
        <v>-3.0000000000000859E-4</v>
      </c>
      <c r="V132" s="79">
        <f t="shared" si="51"/>
        <v>5.0000000000000044E-4</v>
      </c>
    </row>
    <row r="133" spans="1:24" ht="16.5" customHeight="1">
      <c r="A133" s="161">
        <v>116</v>
      </c>
      <c r="B133" s="131" t="s">
        <v>278</v>
      </c>
      <c r="C133" s="132" t="s">
        <v>276</v>
      </c>
      <c r="D133" s="4">
        <v>611878358.15515769</v>
      </c>
      <c r="E133" s="3">
        <v>0</v>
      </c>
      <c r="F133" s="4">
        <v>163712.147</v>
      </c>
      <c r="G133" s="4">
        <v>163712.147</v>
      </c>
      <c r="H133" s="58">
        <v>16</v>
      </c>
      <c r="I133" s="5">
        <v>9.9049128367689754E-4</v>
      </c>
      <c r="J133" s="5">
        <v>2.9169924812029919E-2</v>
      </c>
      <c r="K133" s="4">
        <v>619693249.08000004</v>
      </c>
      <c r="L133" s="3">
        <f t="shared" si="46"/>
        <v>3.7146745736626454E-4</v>
      </c>
      <c r="M133" s="4">
        <v>165805.08000000002</v>
      </c>
      <c r="N133" s="4">
        <v>165805.08000000002</v>
      </c>
      <c r="O133" s="58">
        <v>18</v>
      </c>
      <c r="P133" s="5">
        <v>8.9999999999999998E-4</v>
      </c>
      <c r="Q133" s="5">
        <v>3.0099999999999998E-2</v>
      </c>
      <c r="R133" s="77">
        <f>((K133-D133)/D133)</f>
        <v>1.2771968187279291E-2</v>
      </c>
      <c r="S133" s="77">
        <f>((N133-G133)/G133)</f>
        <v>1.2784225473507591E-2</v>
      </c>
      <c r="T133" s="77">
        <f>((O133-H133)/H133)</f>
        <v>0.125</v>
      </c>
      <c r="U133" s="77">
        <f>P133-I133</f>
        <v>-9.0491283676897563E-5</v>
      </c>
      <c r="V133" s="79">
        <f>Q133-J133</f>
        <v>9.3007518797007943E-4</v>
      </c>
    </row>
    <row r="134" spans="1:24">
      <c r="A134" s="160">
        <v>117</v>
      </c>
      <c r="B134" s="131" t="s">
        <v>260</v>
      </c>
      <c r="C134" s="132" t="s">
        <v>258</v>
      </c>
      <c r="D134" s="4">
        <f>977896.13*1629.645</f>
        <v>1593623538.77385</v>
      </c>
      <c r="E134" s="3">
        <f>(D134/$D$135)</f>
        <v>9.7025290922985136E-4</v>
      </c>
      <c r="F134" s="4">
        <f>1.2143*1629.645</f>
        <v>1978.8779235</v>
      </c>
      <c r="G134" s="4">
        <f>1.2143*1629.645</f>
        <v>1978.8779235</v>
      </c>
      <c r="H134" s="58">
        <v>53</v>
      </c>
      <c r="I134" s="5">
        <v>9.0449999999999992E-3</v>
      </c>
      <c r="J134" s="5">
        <v>0.101578</v>
      </c>
      <c r="K134" s="4">
        <f>973571.64*1609.355</f>
        <v>1566822386.6921999</v>
      </c>
      <c r="L134" s="3">
        <f t="shared" si="46"/>
        <v>9.392123102731374E-4</v>
      </c>
      <c r="M134" s="4">
        <f>1.204*1609.355</f>
        <v>1937.6634199999999</v>
      </c>
      <c r="N134" s="4">
        <f>1.204*1609.355</f>
        <v>1937.6634199999999</v>
      </c>
      <c r="O134" s="58">
        <v>54</v>
      </c>
      <c r="P134" s="5">
        <v>1.95E-4</v>
      </c>
      <c r="Q134" s="5">
        <v>9.2263999999999999E-2</v>
      </c>
      <c r="R134" s="77">
        <f t="shared" si="47"/>
        <v>-1.6817743607295797E-2</v>
      </c>
      <c r="S134" s="77">
        <f t="shared" si="48"/>
        <v>-2.082720869769716E-2</v>
      </c>
      <c r="T134" s="77">
        <f t="shared" si="49"/>
        <v>1.8867924528301886E-2</v>
      </c>
      <c r="U134" s="77">
        <f t="shared" si="50"/>
        <v>-8.8499999999999985E-3</v>
      </c>
      <c r="V134" s="79">
        <f t="shared" si="51"/>
        <v>-9.3140000000000028E-3</v>
      </c>
    </row>
    <row r="135" spans="1:24">
      <c r="A135" s="71"/>
      <c r="B135" s="129"/>
      <c r="C135" s="64" t="s">
        <v>45</v>
      </c>
      <c r="D135" s="57">
        <f>SUM(D105:D134)</f>
        <v>1642482618309.0815</v>
      </c>
      <c r="E135" s="96">
        <f>(D135/$D$205)</f>
        <v>0.48297617771327778</v>
      </c>
      <c r="F135" s="30"/>
      <c r="G135" s="11"/>
      <c r="H135" s="63">
        <f>SUM(H105:H134)</f>
        <v>19631</v>
      </c>
      <c r="I135" s="33"/>
      <c r="J135" s="33"/>
      <c r="K135" s="57">
        <f>SUM(K105:K134)</f>
        <v>1668230249491.24</v>
      </c>
      <c r="L135" s="96">
        <f>(K135/$K$205)</f>
        <v>0.48315144380768832</v>
      </c>
      <c r="M135" s="30"/>
      <c r="N135" s="11"/>
      <c r="O135" s="63">
        <f>SUM(O105:O134)</f>
        <v>19561</v>
      </c>
      <c r="P135" s="33"/>
      <c r="Q135" s="33"/>
      <c r="R135" s="77">
        <f t="shared" si="47"/>
        <v>1.5676044845251001E-2</v>
      </c>
      <c r="S135" s="77" t="e">
        <f t="shared" si="48"/>
        <v>#DIV/0!</v>
      </c>
      <c r="T135" s="77">
        <f t="shared" si="49"/>
        <v>-3.5657888034231573E-3</v>
      </c>
      <c r="U135" s="77">
        <f t="shared" si="50"/>
        <v>0</v>
      </c>
      <c r="V135" s="79">
        <f t="shared" si="51"/>
        <v>0</v>
      </c>
    </row>
    <row r="136" spans="1:24" ht="8.25" customHeight="1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</row>
    <row r="137" spans="1:24" ht="15.75">
      <c r="A137" s="168" t="s">
        <v>146</v>
      </c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</row>
    <row r="138" spans="1:24">
      <c r="A138" s="166">
        <v>118</v>
      </c>
      <c r="B138" s="131" t="s">
        <v>242</v>
      </c>
      <c r="C138" s="132" t="s">
        <v>243</v>
      </c>
      <c r="D138" s="2">
        <v>2398145692.4899998</v>
      </c>
      <c r="E138" s="3">
        <f>(D138/$D$143)</f>
        <v>2.4688255872724128E-2</v>
      </c>
      <c r="F138" s="14">
        <v>113.01</v>
      </c>
      <c r="G138" s="14">
        <v>113.01</v>
      </c>
      <c r="H138" s="58">
        <v>7</v>
      </c>
      <c r="I138" s="5">
        <v>2.7506654835847133E-3</v>
      </c>
      <c r="J138" s="5">
        <v>0.1056</v>
      </c>
      <c r="K138" s="2">
        <v>2407816244.8761506</v>
      </c>
      <c r="L138" s="3">
        <f>(K138/$K$143)</f>
        <v>2.4770657465422837E-2</v>
      </c>
      <c r="M138" s="14">
        <v>113.47</v>
      </c>
      <c r="N138" s="14">
        <v>113.47</v>
      </c>
      <c r="O138" s="58">
        <v>7</v>
      </c>
      <c r="P138" s="5">
        <v>4.0325124601208184E-3</v>
      </c>
      <c r="Q138" s="5">
        <v>0.1101</v>
      </c>
      <c r="R138" s="77">
        <f t="shared" ref="R138:R143" si="52">((K138-D138)/D138)</f>
        <v>4.0325124601207534E-3</v>
      </c>
      <c r="S138" s="77">
        <f t="shared" ref="S138:T143" si="53">((N138-G138)/G138)</f>
        <v>4.0704362445800699E-3</v>
      </c>
      <c r="T138" s="77">
        <f t="shared" si="53"/>
        <v>0</v>
      </c>
      <c r="U138" s="77">
        <f t="shared" ref="U138:V143" si="54">P138-I138</f>
        <v>1.2818469765361051E-3</v>
      </c>
      <c r="V138" s="79">
        <f t="shared" si="54"/>
        <v>4.500000000000004E-3</v>
      </c>
    </row>
    <row r="139" spans="1:24">
      <c r="A139" s="162">
        <v>119</v>
      </c>
      <c r="B139" s="131" t="s">
        <v>147</v>
      </c>
      <c r="C139" s="132" t="s">
        <v>39</v>
      </c>
      <c r="D139" s="2">
        <v>53749983529</v>
      </c>
      <c r="E139" s="3">
        <f>(D139/$D$143)</f>
        <v>0.55334142153008203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0.55295848825767102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63">
        <v>120</v>
      </c>
      <c r="B140" s="131" t="s">
        <v>148</v>
      </c>
      <c r="C140" s="132" t="s">
        <v>119</v>
      </c>
      <c r="D140" s="2">
        <v>2488653316.2969728</v>
      </c>
      <c r="E140" s="3">
        <f>(D140/$D$143)</f>
        <v>2.5620007176231776E-2</v>
      </c>
      <c r="F140" s="14">
        <v>148.35</v>
      </c>
      <c r="G140" s="14">
        <v>148.35</v>
      </c>
      <c r="H140" s="58">
        <v>2835</v>
      </c>
      <c r="I140" s="5">
        <v>0.20076506676289907</v>
      </c>
      <c r="J140" s="5">
        <v>6.8896632777652511E-2</v>
      </c>
      <c r="K140" s="2">
        <v>2492346557.1941757</v>
      </c>
      <c r="L140" s="3">
        <f>(K140/$K$143)</f>
        <v>2.5640271754441273E-2</v>
      </c>
      <c r="M140" s="14">
        <v>139.12</v>
      </c>
      <c r="N140" s="14">
        <v>139.12</v>
      </c>
      <c r="O140" s="58">
        <v>2835</v>
      </c>
      <c r="P140" s="5">
        <v>9.8700059963162792E-2</v>
      </c>
      <c r="Q140" s="5">
        <v>6.2199552262762123E-2</v>
      </c>
      <c r="R140" s="77">
        <f t="shared" si="52"/>
        <v>1.4840318950886976E-3</v>
      </c>
      <c r="S140" s="77">
        <f t="shared" si="53"/>
        <v>-6.2217728345129696E-2</v>
      </c>
      <c r="T140" s="77">
        <f t="shared" si="53"/>
        <v>0</v>
      </c>
      <c r="U140" s="77">
        <f t="shared" si="54"/>
        <v>-0.10206500679973628</v>
      </c>
      <c r="V140" s="79">
        <f t="shared" si="54"/>
        <v>-6.6970805148903884E-3</v>
      </c>
    </row>
    <row r="141" spans="1:24">
      <c r="A141" s="162">
        <v>121</v>
      </c>
      <c r="B141" s="131" t="s">
        <v>149</v>
      </c>
      <c r="C141" s="132" t="s">
        <v>119</v>
      </c>
      <c r="D141" s="2">
        <v>10134214743.950001</v>
      </c>
      <c r="E141" s="3">
        <f>(D141/$D$143)</f>
        <v>0.1043289769471812</v>
      </c>
      <c r="F141" s="14">
        <v>36.6</v>
      </c>
      <c r="G141" s="14">
        <v>36.6</v>
      </c>
      <c r="H141" s="58">
        <v>5261</v>
      </c>
      <c r="I141" s="5">
        <v>6.4266900790167072E-2</v>
      </c>
      <c r="J141" s="5">
        <v>0.19264705882352914</v>
      </c>
      <c r="K141" s="2">
        <v>10142277322.35</v>
      </c>
      <c r="L141" s="3">
        <f>(K141/$K$143)</f>
        <v>0.10433972193927955</v>
      </c>
      <c r="M141" s="14">
        <v>36.6</v>
      </c>
      <c r="N141" s="14">
        <v>36.6</v>
      </c>
      <c r="O141" s="58">
        <v>5261</v>
      </c>
      <c r="P141" s="5">
        <v>3.6678859548027479E-2</v>
      </c>
      <c r="Q141" s="5">
        <v>0.19026092927443325</v>
      </c>
      <c r="R141" s="77">
        <f t="shared" si="52"/>
        <v>7.9557998362062303E-4</v>
      </c>
      <c r="S141" s="77">
        <f t="shared" si="53"/>
        <v>0</v>
      </c>
      <c r="T141" s="77">
        <f t="shared" si="53"/>
        <v>0</v>
      </c>
      <c r="U141" s="77">
        <f t="shared" si="54"/>
        <v>-2.7588041242139594E-2</v>
      </c>
      <c r="V141" s="79">
        <f t="shared" si="54"/>
        <v>-2.3861295490958945E-3</v>
      </c>
    </row>
    <row r="142" spans="1:24">
      <c r="A142" s="165">
        <v>122</v>
      </c>
      <c r="B142" s="131" t="s">
        <v>150</v>
      </c>
      <c r="C142" s="132" t="s">
        <v>41</v>
      </c>
      <c r="D142" s="2">
        <v>28366107293.540001</v>
      </c>
      <c r="E142" s="3">
        <f>(D142/$D$143)</f>
        <v>0.29202133847378081</v>
      </c>
      <c r="F142" s="14">
        <v>4.8</v>
      </c>
      <c r="G142" s="14">
        <v>4.8</v>
      </c>
      <c r="H142" s="58">
        <v>208255</v>
      </c>
      <c r="I142" s="5">
        <v>2.1299999999999999E-2</v>
      </c>
      <c r="J142" s="5">
        <v>-0.25</v>
      </c>
      <c r="K142" s="2">
        <v>28411950039.009998</v>
      </c>
      <c r="L142" s="3">
        <f>(K142/$K$143)</f>
        <v>0.29229086058318532</v>
      </c>
      <c r="M142" s="14">
        <v>5</v>
      </c>
      <c r="N142" s="14">
        <v>5</v>
      </c>
      <c r="O142" s="58">
        <v>208255</v>
      </c>
      <c r="P142" s="5">
        <v>4.1700000000000001E-2</v>
      </c>
      <c r="Q142" s="5">
        <v>-0.21879999999999999</v>
      </c>
      <c r="R142" s="77">
        <f t="shared" si="52"/>
        <v>1.6161098523531803E-3</v>
      </c>
      <c r="S142" s="77">
        <f t="shared" si="53"/>
        <v>4.1666666666666706E-2</v>
      </c>
      <c r="T142" s="77">
        <f t="shared" si="53"/>
        <v>0</v>
      </c>
      <c r="U142" s="77">
        <f t="shared" si="54"/>
        <v>2.0400000000000001E-2</v>
      </c>
      <c r="V142" s="79">
        <f t="shared" si="54"/>
        <v>3.1200000000000006E-2</v>
      </c>
    </row>
    <row r="143" spans="1:24">
      <c r="A143" s="115"/>
      <c r="B143" s="130"/>
      <c r="C143" s="68" t="s">
        <v>45</v>
      </c>
      <c r="D143" s="56">
        <f>SUM(D138:D142)</f>
        <v>97137104575.276978</v>
      </c>
      <c r="E143" s="96">
        <f>(D143/$D$205)</f>
        <v>2.8563411849192425E-2</v>
      </c>
      <c r="F143" s="30"/>
      <c r="G143" s="34"/>
      <c r="H143" s="63">
        <f>SUM(H138:H142)</f>
        <v>217024</v>
      </c>
      <c r="I143" s="35"/>
      <c r="J143" s="35"/>
      <c r="K143" s="56">
        <f>SUM(K138:K142)</f>
        <v>97204373692.430328</v>
      </c>
      <c r="L143" s="96">
        <f>(K143/$K$205)</f>
        <v>2.8152249072478173E-2</v>
      </c>
      <c r="M143" s="30"/>
      <c r="N143" s="34"/>
      <c r="O143" s="63">
        <f>SUM(O138:O142)</f>
        <v>217024</v>
      </c>
      <c r="P143" s="35"/>
      <c r="Q143" s="35"/>
      <c r="R143" s="77">
        <f t="shared" si="52"/>
        <v>6.9251721520297352E-4</v>
      </c>
      <c r="S143" s="77" t="e">
        <f t="shared" si="53"/>
        <v>#DIV/0!</v>
      </c>
      <c r="T143" s="77">
        <f t="shared" si="53"/>
        <v>0</v>
      </c>
      <c r="U143" s="77">
        <f t="shared" si="54"/>
        <v>0</v>
      </c>
      <c r="V143" s="79">
        <f t="shared" si="54"/>
        <v>0</v>
      </c>
    </row>
    <row r="144" spans="1:24" ht="7.5" customHeight="1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</row>
    <row r="145" spans="1:24" ht="15" customHeight="1">
      <c r="A145" s="168" t="s">
        <v>151</v>
      </c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</row>
    <row r="146" spans="1:24">
      <c r="A146" s="157">
        <v>123</v>
      </c>
      <c r="B146" s="131" t="s">
        <v>152</v>
      </c>
      <c r="C146" s="132" t="s">
        <v>49</v>
      </c>
      <c r="D146" s="4">
        <v>242727088.06</v>
      </c>
      <c r="E146" s="3">
        <f t="shared" ref="E146:E174" si="55">(D146/$D$175)</f>
        <v>4.8199926604257821E-3</v>
      </c>
      <c r="F146" s="4">
        <v>5.43</v>
      </c>
      <c r="G146" s="4">
        <v>5.51</v>
      </c>
      <c r="H146" s="60">
        <v>11835</v>
      </c>
      <c r="I146" s="6">
        <v>1.2130000000000001E-3</v>
      </c>
      <c r="J146" s="6">
        <v>7.9423999999999995E-2</v>
      </c>
      <c r="K146" s="4">
        <v>244137905.13</v>
      </c>
      <c r="L146" s="16">
        <f t="shared" ref="L146:L174" si="56">(K146/$K$175)</f>
        <v>4.8182762338118438E-3</v>
      </c>
      <c r="M146" s="4">
        <v>5.46</v>
      </c>
      <c r="N146" s="4">
        <v>5.54</v>
      </c>
      <c r="O146" s="60">
        <v>11835</v>
      </c>
      <c r="P146" s="6">
        <v>5.8060000000000004E-3</v>
      </c>
      <c r="Q146" s="6">
        <v>8.523E-2</v>
      </c>
      <c r="R146" s="77">
        <f>((K146-D146)/D146)</f>
        <v>5.8123593920891567E-3</v>
      </c>
      <c r="S146" s="77">
        <f>((N146-G146)/G146)</f>
        <v>5.4446460980036755E-3</v>
      </c>
      <c r="T146" s="77">
        <f>((O146-H146)/H146)</f>
        <v>0</v>
      </c>
      <c r="U146" s="77">
        <f>P146-I146</f>
        <v>4.5929999999999999E-3</v>
      </c>
      <c r="V146" s="79">
        <f>Q146-J146</f>
        <v>5.8060000000000056E-3</v>
      </c>
    </row>
    <row r="147" spans="1:24">
      <c r="A147" s="162">
        <v>124</v>
      </c>
      <c r="B147" s="131" t="s">
        <v>252</v>
      </c>
      <c r="C147" s="131" t="s">
        <v>251</v>
      </c>
      <c r="D147" s="4">
        <v>612395302.33740473</v>
      </c>
      <c r="E147" s="3">
        <f t="shared" si="55"/>
        <v>1.2160739397227368E-2</v>
      </c>
      <c r="F147" s="4">
        <v>1168.1800657306758</v>
      </c>
      <c r="G147" s="4">
        <v>1178.9020007457052</v>
      </c>
      <c r="H147" s="60">
        <v>169</v>
      </c>
      <c r="I147" s="6">
        <v>-7.0496028969196274E-3</v>
      </c>
      <c r="J147" s="6">
        <v>4.2582205844405509E-2</v>
      </c>
      <c r="K147" s="4">
        <v>617556592.06651735</v>
      </c>
      <c r="L147" s="16">
        <f t="shared" si="56"/>
        <v>1.2188022376138165E-2</v>
      </c>
      <c r="M147" s="4">
        <v>1177.8961764940589</v>
      </c>
      <c r="N147" s="4">
        <v>1188.8007664418003</v>
      </c>
      <c r="O147" s="60">
        <v>168</v>
      </c>
      <c r="P147" s="6">
        <v>8.3654520715552936E-3</v>
      </c>
      <c r="Q147" s="6">
        <v>5.1303877318053283E-2</v>
      </c>
      <c r="R147" s="77">
        <f>((K147-D147)/D147)</f>
        <v>8.4280361221140878E-3</v>
      </c>
      <c r="S147" s="77">
        <f>((N147-G147)/G147)</f>
        <v>8.3965975881232797E-3</v>
      </c>
      <c r="T147" s="77">
        <f>((O147-H147)/H147)</f>
        <v>-5.9171597633136093E-3</v>
      </c>
      <c r="U147" s="77">
        <f>P147-I147</f>
        <v>1.5415054968474921E-2</v>
      </c>
      <c r="V147" s="79">
        <f>Q147-J147</f>
        <v>8.7216714736477741E-3</v>
      </c>
    </row>
    <row r="148" spans="1:24">
      <c r="A148" s="162">
        <v>125</v>
      </c>
      <c r="B148" s="131" t="s">
        <v>153</v>
      </c>
      <c r="C148" s="132" t="s">
        <v>20</v>
      </c>
      <c r="D148" s="4">
        <v>6377806014.3199997</v>
      </c>
      <c r="E148" s="3">
        <f t="shared" si="55"/>
        <v>0.12664832106024734</v>
      </c>
      <c r="F148" s="4">
        <v>740.81110000000001</v>
      </c>
      <c r="G148" s="4">
        <v>763.14710000000002</v>
      </c>
      <c r="H148" s="60">
        <v>21317</v>
      </c>
      <c r="I148" s="6">
        <v>-5.9999999999999995E-4</v>
      </c>
      <c r="J148" s="6">
        <v>0.1731</v>
      </c>
      <c r="K148" s="4">
        <v>6427617437.96</v>
      </c>
      <c r="L148" s="16">
        <f t="shared" si="56"/>
        <v>0.1268546820898874</v>
      </c>
      <c r="M148" s="4">
        <v>746.74270000000001</v>
      </c>
      <c r="N148" s="4">
        <v>769.25760000000002</v>
      </c>
      <c r="O148" s="60">
        <v>21321</v>
      </c>
      <c r="P148" s="6">
        <v>0.1812</v>
      </c>
      <c r="Q148" s="6">
        <v>0.41870000000000002</v>
      </c>
      <c r="R148" s="77">
        <f t="shared" ref="R148:R175" si="57">((K148-D148)/D148)</f>
        <v>7.8101189544115077E-3</v>
      </c>
      <c r="S148" s="77">
        <f t="shared" ref="S148:S175" si="58">((N148-G148)/G148)</f>
        <v>8.0069753262509962E-3</v>
      </c>
      <c r="T148" s="77">
        <f t="shared" ref="T148:T175" si="59">((O148-H148)/H148)</f>
        <v>1.876436646807712E-4</v>
      </c>
      <c r="U148" s="77">
        <f t="shared" ref="U148:U175" si="60">P148-I148</f>
        <v>0.18179999999999999</v>
      </c>
      <c r="V148" s="79">
        <f t="shared" ref="V148:V175" si="61">Q148-J148</f>
        <v>0.24560000000000001</v>
      </c>
    </row>
    <row r="149" spans="1:24">
      <c r="A149" s="158">
        <v>126</v>
      </c>
      <c r="B149" s="131" t="s">
        <v>154</v>
      </c>
      <c r="C149" s="132" t="s">
        <v>90</v>
      </c>
      <c r="D149" s="4">
        <v>3586038127.5599999</v>
      </c>
      <c r="E149" s="3">
        <f t="shared" si="55"/>
        <v>7.1210335826109333E-2</v>
      </c>
      <c r="F149" s="4">
        <v>20.503599999999999</v>
      </c>
      <c r="G149" s="4">
        <v>20.745799999999999</v>
      </c>
      <c r="H149" s="58">
        <v>6211</v>
      </c>
      <c r="I149" s="5">
        <v>1.2999999999999999E-3</v>
      </c>
      <c r="J149" s="5">
        <v>0.11169999999999999</v>
      </c>
      <c r="K149" s="4">
        <v>3610999904.3400002</v>
      </c>
      <c r="L149" s="16">
        <f t="shared" si="56"/>
        <v>7.1266258347361708E-2</v>
      </c>
      <c r="M149" s="4">
        <v>20.570799999999998</v>
      </c>
      <c r="N149" s="4">
        <v>20.8142</v>
      </c>
      <c r="O149" s="58">
        <v>6209</v>
      </c>
      <c r="P149" s="5">
        <v>1.32E-2</v>
      </c>
      <c r="Q149" s="5">
        <v>0.1154</v>
      </c>
      <c r="R149" s="77">
        <f t="shared" si="57"/>
        <v>6.9608230286677458E-3</v>
      </c>
      <c r="S149" s="77">
        <f t="shared" si="58"/>
        <v>3.2970528974539648E-3</v>
      </c>
      <c r="T149" s="77">
        <f t="shared" si="59"/>
        <v>-3.2200933827080985E-4</v>
      </c>
      <c r="U149" s="77">
        <f t="shared" si="60"/>
        <v>1.1900000000000001E-2</v>
      </c>
      <c r="V149" s="79">
        <f t="shared" si="61"/>
        <v>3.7000000000000088E-3</v>
      </c>
    </row>
    <row r="150" spans="1:24">
      <c r="A150" s="165">
        <v>127</v>
      </c>
      <c r="B150" s="131" t="s">
        <v>155</v>
      </c>
      <c r="C150" s="132" t="s">
        <v>100</v>
      </c>
      <c r="D150" s="2">
        <v>1717525399.9803581</v>
      </c>
      <c r="E150" s="3">
        <f t="shared" si="55"/>
        <v>3.4106040195867299E-2</v>
      </c>
      <c r="F150" s="4">
        <v>3.9489000000000001</v>
      </c>
      <c r="G150" s="4">
        <v>4.0434999999999999</v>
      </c>
      <c r="H150" s="58">
        <v>2747</v>
      </c>
      <c r="I150" s="5">
        <v>-2.7421000000000002</v>
      </c>
      <c r="J150" s="5">
        <v>0.39650000000000002</v>
      </c>
      <c r="K150" s="2">
        <v>1730293925.1484959</v>
      </c>
      <c r="L150" s="16">
        <f t="shared" si="56"/>
        <v>3.4148872100023361E-2</v>
      </c>
      <c r="M150" s="4">
        <v>4.07</v>
      </c>
      <c r="N150" s="4">
        <v>4.1692999999999998</v>
      </c>
      <c r="O150" s="58">
        <v>2745</v>
      </c>
      <c r="P150" s="5">
        <v>1.62</v>
      </c>
      <c r="Q150" s="5">
        <v>0.442</v>
      </c>
      <c r="R150" s="77">
        <f t="shared" si="57"/>
        <v>7.43425696544797E-3</v>
      </c>
      <c r="S150" s="77">
        <f t="shared" si="58"/>
        <v>3.1111660689996271E-2</v>
      </c>
      <c r="T150" s="77">
        <f t="shared" si="59"/>
        <v>-7.2806698216235891E-4</v>
      </c>
      <c r="U150" s="77">
        <f t="shared" si="60"/>
        <v>4.3620999999999999</v>
      </c>
      <c r="V150" s="79">
        <f t="shared" si="61"/>
        <v>4.5499999999999985E-2</v>
      </c>
    </row>
    <row r="151" spans="1:24">
      <c r="A151" s="166">
        <v>128</v>
      </c>
      <c r="B151" s="131" t="s">
        <v>156</v>
      </c>
      <c r="C151" s="132" t="s">
        <v>55</v>
      </c>
      <c r="D151" s="4">
        <v>2985777353.08497</v>
      </c>
      <c r="E151" s="3">
        <f t="shared" si="55"/>
        <v>5.9290559791075483E-2</v>
      </c>
      <c r="F151" s="4">
        <v>7044.6724280757999</v>
      </c>
      <c r="G151" s="4">
        <v>7093.1489563800396</v>
      </c>
      <c r="H151" s="58">
        <v>877</v>
      </c>
      <c r="I151" s="5">
        <v>0.12053210063433595</v>
      </c>
      <c r="J151" s="5">
        <v>0.31801654706513649</v>
      </c>
      <c r="K151" s="4">
        <v>3000151497.6754198</v>
      </c>
      <c r="L151" s="16">
        <f t="shared" si="56"/>
        <v>5.9210627908792383E-2</v>
      </c>
      <c r="M151" s="4">
        <v>7021.4105629409296</v>
      </c>
      <c r="N151" s="4">
        <v>7069.0858704898501</v>
      </c>
      <c r="O151" s="58">
        <v>878</v>
      </c>
      <c r="P151" s="5">
        <v>-0.17265007658090062</v>
      </c>
      <c r="Q151" s="5">
        <v>0.30363058188377179</v>
      </c>
      <c r="R151" s="77">
        <f t="shared" si="57"/>
        <v>4.8142051099684747E-3</v>
      </c>
      <c r="S151" s="77">
        <f t="shared" si="58"/>
        <v>-3.3924405138208236E-3</v>
      </c>
      <c r="T151" s="77">
        <f t="shared" si="59"/>
        <v>1.1402508551881414E-3</v>
      </c>
      <c r="U151" s="77">
        <f t="shared" si="60"/>
        <v>-0.29318217721523654</v>
      </c>
      <c r="V151" s="79">
        <f t="shared" si="61"/>
        <v>-1.4385965181364702E-2</v>
      </c>
    </row>
    <row r="152" spans="1:24">
      <c r="A152" s="162">
        <v>129</v>
      </c>
      <c r="B152" s="131" t="s">
        <v>157</v>
      </c>
      <c r="C152" s="132" t="s">
        <v>57</v>
      </c>
      <c r="D152" s="4">
        <v>719584052</v>
      </c>
      <c r="E152" s="3">
        <f t="shared" si="55"/>
        <v>1.4289257441024007E-2</v>
      </c>
      <c r="F152" s="4">
        <v>177.86</v>
      </c>
      <c r="G152" s="4">
        <v>179.04</v>
      </c>
      <c r="H152" s="58">
        <v>674</v>
      </c>
      <c r="I152" s="5">
        <v>-5.9999999999999995E-4</v>
      </c>
      <c r="J152" s="5">
        <v>0.15110000000000001</v>
      </c>
      <c r="K152" s="4">
        <v>715280104.45000005</v>
      </c>
      <c r="L152" s="16">
        <f t="shared" si="56"/>
        <v>1.411668182355673E-2</v>
      </c>
      <c r="M152" s="4">
        <v>178.68</v>
      </c>
      <c r="N152" s="4">
        <v>1789.88</v>
      </c>
      <c r="O152" s="58">
        <v>674</v>
      </c>
      <c r="P152" s="5">
        <v>4.7000000000000002E-3</v>
      </c>
      <c r="Q152" s="5">
        <v>0.15590000000000001</v>
      </c>
      <c r="R152" s="77">
        <f t="shared" si="57"/>
        <v>-5.9811602800779583E-3</v>
      </c>
      <c r="S152" s="77">
        <f t="shared" si="58"/>
        <v>8.99709562109026</v>
      </c>
      <c r="T152" s="77">
        <f t="shared" si="59"/>
        <v>0</v>
      </c>
      <c r="U152" s="77">
        <f t="shared" si="60"/>
        <v>5.3E-3</v>
      </c>
      <c r="V152" s="79">
        <f t="shared" si="61"/>
        <v>4.7999999999999987E-3</v>
      </c>
    </row>
    <row r="153" spans="1:24">
      <c r="A153" s="166">
        <v>130</v>
      </c>
      <c r="B153" s="131" t="s">
        <v>158</v>
      </c>
      <c r="C153" s="132" t="s">
        <v>59</v>
      </c>
      <c r="D153" s="4">
        <v>3734808.11</v>
      </c>
      <c r="E153" s="3">
        <f t="shared" si="55"/>
        <v>7.4164559968060978E-5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7.3709722153462675E-5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62">
        <v>131</v>
      </c>
      <c r="B154" s="131" t="s">
        <v>159</v>
      </c>
      <c r="C154" s="132" t="s">
        <v>104</v>
      </c>
      <c r="D154" s="4">
        <v>194325867.28999999</v>
      </c>
      <c r="E154" s="3">
        <f t="shared" si="55"/>
        <v>3.858857540601909E-3</v>
      </c>
      <c r="F154" s="4">
        <v>1.4746999999999999</v>
      </c>
      <c r="G154" s="4">
        <v>1.4865999999999999</v>
      </c>
      <c r="H154" s="58">
        <v>336</v>
      </c>
      <c r="I154" s="5">
        <v>3.4703320631463974E-3</v>
      </c>
      <c r="J154" s="5">
        <v>7.3775531115511939E-3</v>
      </c>
      <c r="K154" s="4">
        <v>193735864.49000001</v>
      </c>
      <c r="L154" s="16">
        <f t="shared" si="56"/>
        <v>3.8235476421086593E-3</v>
      </c>
      <c r="M154" s="4">
        <v>1.4694</v>
      </c>
      <c r="N154" s="4">
        <v>1.4815</v>
      </c>
      <c r="O154" s="58">
        <v>335</v>
      </c>
      <c r="P154" s="5">
        <v>-3.5939513121311384E-3</v>
      </c>
      <c r="Q154" s="5">
        <v>3.7570872327346017E-3</v>
      </c>
      <c r="R154" s="77">
        <f t="shared" si="57"/>
        <v>-3.0361516365677564E-3</v>
      </c>
      <c r="S154" s="77">
        <f t="shared" si="58"/>
        <v>-3.4306471142202897E-3</v>
      </c>
      <c r="T154" s="77">
        <f t="shared" si="59"/>
        <v>-2.976190476190476E-3</v>
      </c>
      <c r="U154" s="77">
        <f t="shared" si="60"/>
        <v>-7.0642833752775358E-3</v>
      </c>
      <c r="V154" s="79">
        <f t="shared" si="61"/>
        <v>-3.6204658788165922E-3</v>
      </c>
    </row>
    <row r="155" spans="1:24">
      <c r="A155" s="161">
        <v>132</v>
      </c>
      <c r="B155" s="131" t="s">
        <v>160</v>
      </c>
      <c r="C155" s="132" t="s">
        <v>24</v>
      </c>
      <c r="D155" s="9">
        <v>130639198.31</v>
      </c>
      <c r="E155" s="3">
        <f t="shared" si="55"/>
        <v>2.5941891448986397E-3</v>
      </c>
      <c r="F155" s="4">
        <v>150.31460000000001</v>
      </c>
      <c r="G155" s="4">
        <v>151.02070000000001</v>
      </c>
      <c r="H155" s="58">
        <v>124</v>
      </c>
      <c r="I155" s="5">
        <v>-1.2899999999999999E-4</v>
      </c>
      <c r="J155" s="5">
        <v>0.2006</v>
      </c>
      <c r="K155" s="9">
        <v>132182075.43000001</v>
      </c>
      <c r="L155" s="16">
        <f t="shared" si="56"/>
        <v>2.6087294893480744E-3</v>
      </c>
      <c r="M155" s="4">
        <v>154.05600000000001</v>
      </c>
      <c r="N155" s="4">
        <v>154.7587</v>
      </c>
      <c r="O155" s="58">
        <v>125</v>
      </c>
      <c r="P155" s="5">
        <v>3.4870000000000001E-3</v>
      </c>
      <c r="Q155" s="5">
        <v>0.1817</v>
      </c>
      <c r="R155" s="77">
        <f t="shared" si="57"/>
        <v>1.1810215769533719E-2</v>
      </c>
      <c r="S155" s="77">
        <f t="shared" si="58"/>
        <v>2.4751573790877671E-2</v>
      </c>
      <c r="T155" s="77">
        <f t="shared" si="59"/>
        <v>8.0645161290322578E-3</v>
      </c>
      <c r="U155" s="77">
        <f t="shared" si="60"/>
        <v>3.6160000000000003E-3</v>
      </c>
      <c r="V155" s="79">
        <f t="shared" si="61"/>
        <v>-1.89E-2</v>
      </c>
    </row>
    <row r="156" spans="1:24">
      <c r="A156" s="166">
        <v>133</v>
      </c>
      <c r="B156" s="131" t="s">
        <v>161</v>
      </c>
      <c r="C156" s="132" t="s">
        <v>63</v>
      </c>
      <c r="D156" s="9">
        <v>215552003.36000001</v>
      </c>
      <c r="E156" s="3">
        <f t="shared" si="55"/>
        <v>4.2803589926413655E-3</v>
      </c>
      <c r="F156" s="4">
        <v>114.76</v>
      </c>
      <c r="G156" s="4">
        <v>115.49</v>
      </c>
      <c r="H156" s="58">
        <v>27</v>
      </c>
      <c r="I156" s="5">
        <v>2.0999999999999999E-3</v>
      </c>
      <c r="J156" s="5">
        <v>0.1474</v>
      </c>
      <c r="K156" s="9">
        <v>216116725.36000001</v>
      </c>
      <c r="L156" s="16">
        <f t="shared" si="56"/>
        <v>4.2652536113834787E-3</v>
      </c>
      <c r="M156" s="4">
        <v>115.8</v>
      </c>
      <c r="N156" s="4">
        <v>116.61</v>
      </c>
      <c r="O156" s="58">
        <v>43</v>
      </c>
      <c r="P156" s="5">
        <v>1.04E-2</v>
      </c>
      <c r="Q156" s="5">
        <v>0.1578</v>
      </c>
      <c r="R156" s="77">
        <f t="shared" si="57"/>
        <v>2.6198875036983092E-3</v>
      </c>
      <c r="S156" s="77">
        <f t="shared" si="58"/>
        <v>9.6978093341415234E-3</v>
      </c>
      <c r="T156" s="77">
        <f t="shared" si="59"/>
        <v>0.59259259259259256</v>
      </c>
      <c r="U156" s="77">
        <f t="shared" si="60"/>
        <v>8.3000000000000001E-3</v>
      </c>
      <c r="V156" s="79">
        <f t="shared" si="61"/>
        <v>1.0399999999999993E-2</v>
      </c>
    </row>
    <row r="157" spans="1:24" ht="15.75" customHeight="1">
      <c r="A157" s="159">
        <v>134</v>
      </c>
      <c r="B157" s="131" t="s">
        <v>162</v>
      </c>
      <c r="C157" s="132" t="s">
        <v>66</v>
      </c>
      <c r="D157" s="2">
        <v>302507041.69999999</v>
      </c>
      <c r="E157" s="3">
        <f t="shared" si="55"/>
        <v>6.0070828203595099E-3</v>
      </c>
      <c r="F157" s="4">
        <v>1.2279</v>
      </c>
      <c r="G157" s="4">
        <v>1.2416</v>
      </c>
      <c r="H157" s="58">
        <v>106</v>
      </c>
      <c r="I157" s="5">
        <v>3.4320000000000002E-3</v>
      </c>
      <c r="J157" s="5">
        <v>6.1297999999999998E-2</v>
      </c>
      <c r="K157" s="2">
        <v>307152174.73000002</v>
      </c>
      <c r="L157" s="16">
        <f t="shared" si="56"/>
        <v>6.0619182542634362E-3</v>
      </c>
      <c r="M157" s="4">
        <v>1.2466999999999999</v>
      </c>
      <c r="N157" s="4">
        <v>1.2606999999999999</v>
      </c>
      <c r="O157" s="58">
        <v>106</v>
      </c>
      <c r="P157" s="5">
        <v>1.4897000000000001E-2</v>
      </c>
      <c r="Q157" s="5">
        <v>8.0450999999999995E-2</v>
      </c>
      <c r="R157" s="77">
        <f t="shared" si="57"/>
        <v>1.5355454219828269E-2</v>
      </c>
      <c r="S157" s="77">
        <f t="shared" si="58"/>
        <v>1.5383376288659708E-2</v>
      </c>
      <c r="T157" s="77">
        <f t="shared" si="59"/>
        <v>0</v>
      </c>
      <c r="U157" s="77">
        <f t="shared" si="60"/>
        <v>1.1464999999999999E-2</v>
      </c>
      <c r="V157" s="79">
        <f t="shared" si="61"/>
        <v>1.9152999999999996E-2</v>
      </c>
      <c r="X157" s="101"/>
    </row>
    <row r="158" spans="1:24">
      <c r="A158" s="157">
        <v>135</v>
      </c>
      <c r="B158" s="131" t="s">
        <v>163</v>
      </c>
      <c r="C158" s="132" t="s">
        <v>26</v>
      </c>
      <c r="D158" s="4">
        <v>8888528058.6100006</v>
      </c>
      <c r="E158" s="3">
        <f t="shared" si="55"/>
        <v>0.17650539273102681</v>
      </c>
      <c r="F158" s="4">
        <v>326.64</v>
      </c>
      <c r="G158" s="4">
        <v>328.78</v>
      </c>
      <c r="H158" s="58">
        <v>5465</v>
      </c>
      <c r="I158" s="5">
        <v>2E-3</v>
      </c>
      <c r="J158" s="5">
        <v>0.2079</v>
      </c>
      <c r="K158" s="4">
        <v>8938545283.75</v>
      </c>
      <c r="L158" s="16">
        <f t="shared" si="56"/>
        <v>0.17641005104311952</v>
      </c>
      <c r="M158" s="4">
        <v>328.51</v>
      </c>
      <c r="N158" s="4">
        <v>330.7</v>
      </c>
      <c r="O158" s="58">
        <v>5465</v>
      </c>
      <c r="P158" s="5">
        <v>5.7999999999999996E-3</v>
      </c>
      <c r="Q158" s="5">
        <v>0.21479999999999999</v>
      </c>
      <c r="R158" s="77">
        <f t="shared" si="57"/>
        <v>5.627166254096423E-3</v>
      </c>
      <c r="S158" s="77">
        <f t="shared" si="58"/>
        <v>5.8397712756250867E-3</v>
      </c>
      <c r="T158" s="77">
        <f t="shared" si="59"/>
        <v>0</v>
      </c>
      <c r="U158" s="77">
        <f t="shared" si="60"/>
        <v>3.7999999999999996E-3</v>
      </c>
      <c r="V158" s="79">
        <f t="shared" si="61"/>
        <v>6.8999999999999895E-3</v>
      </c>
    </row>
    <row r="159" spans="1:24">
      <c r="A159" s="157">
        <v>136</v>
      </c>
      <c r="B159" s="131" t="s">
        <v>164</v>
      </c>
      <c r="C159" s="132" t="s">
        <v>71</v>
      </c>
      <c r="D159" s="4">
        <v>2916204948.75</v>
      </c>
      <c r="E159" s="3">
        <f t="shared" si="55"/>
        <v>5.7909014447525539E-2</v>
      </c>
      <c r="F159" s="4">
        <v>2.0459000000000001</v>
      </c>
      <c r="G159" s="4">
        <v>2.0802999999999998</v>
      </c>
      <c r="H159" s="58">
        <v>10308</v>
      </c>
      <c r="I159" s="5">
        <v>1.01E-2</v>
      </c>
      <c r="J159" s="5">
        <v>0.17269999999999999</v>
      </c>
      <c r="K159" s="4">
        <v>2957469275.8899999</v>
      </c>
      <c r="L159" s="16">
        <f t="shared" si="56"/>
        <v>5.8368256730398485E-2</v>
      </c>
      <c r="M159" s="4">
        <v>2.0745</v>
      </c>
      <c r="N159" s="4">
        <v>2.11</v>
      </c>
      <c r="O159" s="58">
        <v>10308</v>
      </c>
      <c r="P159" s="5">
        <v>1.41E-2</v>
      </c>
      <c r="Q159" s="5">
        <v>0.1893</v>
      </c>
      <c r="R159" s="77">
        <f t="shared" si="57"/>
        <v>1.4150009298107589E-2</v>
      </c>
      <c r="S159" s="77">
        <f t="shared" si="58"/>
        <v>1.427678700187476E-2</v>
      </c>
      <c r="T159" s="77">
        <f t="shared" si="59"/>
        <v>0</v>
      </c>
      <c r="U159" s="77">
        <f t="shared" si="60"/>
        <v>4.0000000000000001E-3</v>
      </c>
      <c r="V159" s="79">
        <f t="shared" si="61"/>
        <v>1.6600000000000004E-2</v>
      </c>
    </row>
    <row r="160" spans="1:24">
      <c r="A160" s="161">
        <v>137</v>
      </c>
      <c r="B160" s="131" t="s">
        <v>165</v>
      </c>
      <c r="C160" s="132" t="s">
        <v>73</v>
      </c>
      <c r="D160" s="4">
        <v>189979378.98355374</v>
      </c>
      <c r="E160" s="3">
        <f t="shared" si="55"/>
        <v>3.7725464415682536E-3</v>
      </c>
      <c r="F160" s="4">
        <v>250.79</v>
      </c>
      <c r="G160" s="4">
        <v>259.56</v>
      </c>
      <c r="H160" s="58">
        <v>39</v>
      </c>
      <c r="I160" s="5">
        <v>-1.5924200804172672E-3</v>
      </c>
      <c r="J160" s="5">
        <v>3.9399999999999998E-2</v>
      </c>
      <c r="K160" s="4">
        <v>189979378.98355374</v>
      </c>
      <c r="L160" s="16">
        <f t="shared" si="56"/>
        <v>3.7494100974748961E-3</v>
      </c>
      <c r="M160" s="4">
        <v>266.54000000000002</v>
      </c>
      <c r="N160" s="4">
        <v>275.45999999999998</v>
      </c>
      <c r="O160" s="58">
        <v>39</v>
      </c>
      <c r="P160" s="5">
        <v>6.2801547111128952E-2</v>
      </c>
      <c r="Q160" s="5">
        <v>9.1399999999999995E-2</v>
      </c>
      <c r="R160" s="77">
        <f t="shared" si="57"/>
        <v>0</v>
      </c>
      <c r="S160" s="77">
        <f t="shared" si="58"/>
        <v>6.1257512713823306E-2</v>
      </c>
      <c r="T160" s="77">
        <f t="shared" si="59"/>
        <v>0</v>
      </c>
      <c r="U160" s="77">
        <f t="shared" si="60"/>
        <v>6.439396719154622E-2</v>
      </c>
      <c r="V160" s="79">
        <f t="shared" si="61"/>
        <v>5.1999999999999998E-2</v>
      </c>
    </row>
    <row r="161" spans="1:22">
      <c r="A161" s="162">
        <v>138</v>
      </c>
      <c r="B161" s="131" t="s">
        <v>274</v>
      </c>
      <c r="C161" s="131" t="s">
        <v>254</v>
      </c>
      <c r="D161" s="4">
        <v>57102363.450000003</v>
      </c>
      <c r="E161" s="3">
        <f t="shared" si="55"/>
        <v>1.1339194768979813E-3</v>
      </c>
      <c r="F161" s="4">
        <v>1.1140000000000001</v>
      </c>
      <c r="G161" s="4">
        <v>1.1259999999999999</v>
      </c>
      <c r="H161" s="58">
        <v>24</v>
      </c>
      <c r="I161" s="5">
        <v>-1.6799999999999999E-2</v>
      </c>
      <c r="J161" s="5">
        <v>-1.5100000000000001E-2</v>
      </c>
      <c r="K161" s="4">
        <v>58394247.259999998</v>
      </c>
      <c r="L161" s="16">
        <f t="shared" si="56"/>
        <v>1.1524618170798604E-3</v>
      </c>
      <c r="M161" s="4">
        <v>1.137</v>
      </c>
      <c r="N161" s="4">
        <v>1.149</v>
      </c>
      <c r="O161" s="58">
        <v>25</v>
      </c>
      <c r="P161" s="5">
        <v>2.06E-2</v>
      </c>
      <c r="Q161" s="5">
        <v>0.16800000000000001</v>
      </c>
      <c r="R161" s="77">
        <f t="shared" ref="R161" si="62">((K161-D161)/D161)</f>
        <v>2.2623998937122712E-2</v>
      </c>
      <c r="S161" s="77">
        <f t="shared" ref="S161" si="63">((N161-G161)/G161)</f>
        <v>2.0426287744227473E-2</v>
      </c>
      <c r="T161" s="77">
        <f t="shared" ref="T161" si="64">((O161-H161)/H161)</f>
        <v>4.1666666666666664E-2</v>
      </c>
      <c r="U161" s="77">
        <f t="shared" ref="U161" si="65">P161-I161</f>
        <v>3.7400000000000003E-2</v>
      </c>
      <c r="V161" s="79">
        <f t="shared" ref="V161" si="66">Q161-J161</f>
        <v>0.18310000000000001</v>
      </c>
    </row>
    <row r="162" spans="1:22" ht="13.5" customHeight="1">
      <c r="A162" s="157">
        <v>139</v>
      </c>
      <c r="B162" s="131" t="s">
        <v>237</v>
      </c>
      <c r="C162" s="132" t="s">
        <v>31</v>
      </c>
      <c r="D162" s="2">
        <v>2758058771.3200002</v>
      </c>
      <c r="E162" s="3">
        <f t="shared" si="55"/>
        <v>5.4768600987374079E-2</v>
      </c>
      <c r="F162" s="4">
        <v>3.895213</v>
      </c>
      <c r="G162" s="4">
        <v>4.0277710000000004</v>
      </c>
      <c r="H162" s="58">
        <v>2335</v>
      </c>
      <c r="I162" s="5">
        <v>-1.3206459704786511E-3</v>
      </c>
      <c r="J162" s="5">
        <v>7.0907816237318899E-2</v>
      </c>
      <c r="K162" s="2">
        <v>2796412129.3000002</v>
      </c>
      <c r="L162" s="16">
        <f t="shared" si="56"/>
        <v>5.5189652321194077E-2</v>
      </c>
      <c r="M162" s="4">
        <v>3.9481630000000001</v>
      </c>
      <c r="N162" s="4">
        <v>4.0827910000000003</v>
      </c>
      <c r="O162" s="58">
        <v>2337</v>
      </c>
      <c r="P162" s="5">
        <v>1.3593608359799614E-2</v>
      </c>
      <c r="Q162" s="5">
        <v>8.5465317680697206E-2</v>
      </c>
      <c r="R162" s="77">
        <f t="shared" si="57"/>
        <v>1.3905924840624116E-2</v>
      </c>
      <c r="S162" s="77">
        <f t="shared" si="58"/>
        <v>1.3660160917787987E-2</v>
      </c>
      <c r="T162" s="77">
        <f t="shared" si="59"/>
        <v>8.5653104925053529E-4</v>
      </c>
      <c r="U162" s="77">
        <f t="shared" si="60"/>
        <v>1.4914254330278265E-2</v>
      </c>
      <c r="V162" s="79">
        <f>Q162-J162</f>
        <v>1.4557501443378307E-2</v>
      </c>
    </row>
    <row r="163" spans="1:22" ht="13.5" customHeight="1">
      <c r="A163" s="158">
        <v>140</v>
      </c>
      <c r="B163" s="131" t="s">
        <v>287</v>
      </c>
      <c r="C163" s="132" t="s">
        <v>288</v>
      </c>
      <c r="D163" s="2">
        <v>54988593</v>
      </c>
      <c r="E163" s="3">
        <f t="shared" si="55"/>
        <v>1.0919449361235852E-3</v>
      </c>
      <c r="F163" s="4">
        <v>2.0402</v>
      </c>
      <c r="G163" s="4">
        <v>2.0537000000000001</v>
      </c>
      <c r="H163" s="58">
        <v>51</v>
      </c>
      <c r="I163" s="5">
        <v>1.3299999999999999E-2</v>
      </c>
      <c r="J163" s="5">
        <v>2.4400000000000002E-2</v>
      </c>
      <c r="K163" s="2">
        <v>55413273.420000002</v>
      </c>
      <c r="L163" s="16">
        <f t="shared" si="56"/>
        <v>1.0936296771086476E-3</v>
      </c>
      <c r="M163" s="4">
        <v>2.0489999999999999</v>
      </c>
      <c r="N163" s="4">
        <v>2.0630000000000002</v>
      </c>
      <c r="O163" s="58">
        <v>53</v>
      </c>
      <c r="P163" s="5">
        <v>4.4999999999999997E-3</v>
      </c>
      <c r="Q163" s="5">
        <v>2.9000000000000001E-2</v>
      </c>
      <c r="R163" s="77">
        <f t="shared" ref="R163" si="67">((K163-D163)/D163)</f>
        <v>7.7230639452804655E-3</v>
      </c>
      <c r="S163" s="77">
        <f t="shared" ref="S163" si="68">((N163-G163)/G163)</f>
        <v>4.5284121341968575E-3</v>
      </c>
      <c r="T163" s="77">
        <f t="shared" ref="T163" si="69">((O163-H163)/H163)</f>
        <v>3.9215686274509803E-2</v>
      </c>
      <c r="U163" s="77">
        <f t="shared" ref="U163" si="70">P163-I163</f>
        <v>-8.7999999999999988E-3</v>
      </c>
      <c r="V163" s="79">
        <f>Q163-J163</f>
        <v>4.5999999999999999E-3</v>
      </c>
    </row>
    <row r="164" spans="1:22">
      <c r="A164" s="162">
        <v>141</v>
      </c>
      <c r="B164" s="131" t="s">
        <v>166</v>
      </c>
      <c r="C164" s="132" t="s">
        <v>113</v>
      </c>
      <c r="D164" s="2">
        <v>216540905.40000001</v>
      </c>
      <c r="E164" s="3">
        <f t="shared" si="55"/>
        <v>4.2999962758666389E-3</v>
      </c>
      <c r="F164" s="4">
        <v>185.44892100000001</v>
      </c>
      <c r="G164" s="4">
        <v>189.10254399999999</v>
      </c>
      <c r="H164" s="58">
        <v>139</v>
      </c>
      <c r="I164" s="5">
        <v>3.5000000000000001E-3</v>
      </c>
      <c r="J164" s="5">
        <v>0.16550000000000001</v>
      </c>
      <c r="K164" s="2">
        <v>210330061.09</v>
      </c>
      <c r="L164" s="16">
        <f t="shared" si="56"/>
        <v>4.1510487036681334E-3</v>
      </c>
      <c r="M164" s="4">
        <v>190.056511</v>
      </c>
      <c r="N164" s="4">
        <v>193.99015800000001</v>
      </c>
      <c r="O164" s="58">
        <v>139</v>
      </c>
      <c r="P164" s="5">
        <v>2.75E-2</v>
      </c>
      <c r="Q164" s="5">
        <v>0.28820000000000001</v>
      </c>
      <c r="R164" s="77">
        <f t="shared" si="57"/>
        <v>-2.8682083408338801E-2</v>
      </c>
      <c r="S164" s="77">
        <f t="shared" si="58"/>
        <v>2.5846368306922479E-2</v>
      </c>
      <c r="T164" s="77">
        <f t="shared" si="59"/>
        <v>0</v>
      </c>
      <c r="U164" s="77">
        <f t="shared" si="60"/>
        <v>2.4E-2</v>
      </c>
      <c r="V164" s="79">
        <f t="shared" si="61"/>
        <v>0.1227</v>
      </c>
    </row>
    <row r="165" spans="1:22">
      <c r="A165" s="165">
        <v>142</v>
      </c>
      <c r="B165" s="131" t="s">
        <v>167</v>
      </c>
      <c r="C165" s="132" t="s">
        <v>28</v>
      </c>
      <c r="D165" s="2">
        <v>2069523391.71</v>
      </c>
      <c r="E165" s="3">
        <f t="shared" si="55"/>
        <v>4.1095897612201886E-2</v>
      </c>
      <c r="F165" s="4">
        <v>552.22</v>
      </c>
      <c r="G165" s="4">
        <v>552.22</v>
      </c>
      <c r="H165" s="58">
        <v>823</v>
      </c>
      <c r="I165" s="5">
        <v>1.8159999999999999E-2</v>
      </c>
      <c r="J165" s="5">
        <v>0.32379999999999998</v>
      </c>
      <c r="K165" s="2">
        <v>2109837294.9400001</v>
      </c>
      <c r="L165" s="16">
        <f t="shared" si="56"/>
        <v>4.1639494244067252E-2</v>
      </c>
      <c r="M165" s="4">
        <v>552.22</v>
      </c>
      <c r="N165" s="4">
        <v>552.22</v>
      </c>
      <c r="O165" s="58">
        <v>823</v>
      </c>
      <c r="P165" s="5">
        <v>1.9480000000000001E-2</v>
      </c>
      <c r="Q165" s="5">
        <v>0.34960000000000002</v>
      </c>
      <c r="R165" s="77">
        <f t="shared" si="57"/>
        <v>1.9479800707490221E-2</v>
      </c>
      <c r="S165" s="77">
        <f t="shared" si="58"/>
        <v>0</v>
      </c>
      <c r="T165" s="77">
        <f t="shared" si="59"/>
        <v>0</v>
      </c>
      <c r="U165" s="77">
        <f t="shared" si="60"/>
        <v>1.3200000000000017E-3</v>
      </c>
      <c r="V165" s="79">
        <f t="shared" si="61"/>
        <v>2.5800000000000045E-2</v>
      </c>
    </row>
    <row r="166" spans="1:22">
      <c r="A166" s="162">
        <v>143</v>
      </c>
      <c r="B166" s="131" t="s">
        <v>168</v>
      </c>
      <c r="C166" s="132" t="s">
        <v>79</v>
      </c>
      <c r="D166" s="4">
        <v>27129019.140000001</v>
      </c>
      <c r="E166" s="3">
        <f t="shared" si="55"/>
        <v>5.3871891342851456E-4</v>
      </c>
      <c r="F166" s="4">
        <v>1.69</v>
      </c>
      <c r="G166" s="4">
        <v>1.69</v>
      </c>
      <c r="H166" s="58">
        <v>8</v>
      </c>
      <c r="I166" s="5">
        <v>-3.2989999999999998E-3</v>
      </c>
      <c r="J166" s="5">
        <v>3.8800000000000001E-2</v>
      </c>
      <c r="K166" s="4">
        <v>27484071.399999999</v>
      </c>
      <c r="L166" s="16">
        <f t="shared" si="56"/>
        <v>5.4242231645468123E-4</v>
      </c>
      <c r="M166" s="4">
        <v>1.71</v>
      </c>
      <c r="N166" s="4">
        <v>1.71</v>
      </c>
      <c r="O166" s="58">
        <v>8</v>
      </c>
      <c r="P166" s="5">
        <v>1.3088000000000001E-2</v>
      </c>
      <c r="Q166" s="5">
        <v>5.2395999999999998E-2</v>
      </c>
      <c r="R166" s="77">
        <f t="shared" si="57"/>
        <v>1.3087545044210468E-2</v>
      </c>
      <c r="S166" s="77">
        <f t="shared" si="58"/>
        <v>1.1834319526627229E-2</v>
      </c>
      <c r="T166" s="77">
        <f t="shared" si="59"/>
        <v>0</v>
      </c>
      <c r="U166" s="77">
        <f t="shared" si="60"/>
        <v>1.6386999999999999E-2</v>
      </c>
      <c r="V166" s="79">
        <f t="shared" si="61"/>
        <v>1.3595999999999997E-2</v>
      </c>
    </row>
    <row r="167" spans="1:22">
      <c r="A167" s="162">
        <v>144</v>
      </c>
      <c r="B167" s="131" t="s">
        <v>169</v>
      </c>
      <c r="C167" s="132" t="s">
        <v>37</v>
      </c>
      <c r="D167" s="4">
        <v>243808972.46000001</v>
      </c>
      <c r="E167" s="3">
        <f t="shared" si="55"/>
        <v>4.8414763559997192E-3</v>
      </c>
      <c r="F167" s="4">
        <v>2.498837</v>
      </c>
      <c r="G167" s="4">
        <v>2.5508999999999999</v>
      </c>
      <c r="H167" s="58">
        <v>118</v>
      </c>
      <c r="I167" s="5">
        <v>-0.12280000000000001</v>
      </c>
      <c r="J167" s="5">
        <v>7.7100000000000002E-2</v>
      </c>
      <c r="K167" s="4">
        <v>277706672.94</v>
      </c>
      <c r="L167" s="16">
        <f t="shared" si="56"/>
        <v>5.4807853843312805E-3</v>
      </c>
      <c r="M167" s="4">
        <v>2.8466680000000002</v>
      </c>
      <c r="N167" s="4">
        <v>2.8996729999999999</v>
      </c>
      <c r="O167" s="58">
        <v>118</v>
      </c>
      <c r="P167" s="5">
        <v>0.1729</v>
      </c>
      <c r="Q167" s="5">
        <v>0.22570000000000001</v>
      </c>
      <c r="R167" s="77">
        <f t="shared" si="57"/>
        <v>0.13903385153539147</v>
      </c>
      <c r="S167" s="77">
        <f t="shared" si="58"/>
        <v>0.13672546944215766</v>
      </c>
      <c r="T167" s="77">
        <f t="shared" si="59"/>
        <v>0</v>
      </c>
      <c r="U167" s="77">
        <f t="shared" si="60"/>
        <v>0.29570000000000002</v>
      </c>
      <c r="V167" s="79">
        <f t="shared" si="61"/>
        <v>0.14860000000000001</v>
      </c>
    </row>
    <row r="168" spans="1:22">
      <c r="A168" s="165">
        <v>145</v>
      </c>
      <c r="B168" s="131" t="s">
        <v>170</v>
      </c>
      <c r="C168" s="132" t="s">
        <v>41</v>
      </c>
      <c r="D168" s="2">
        <v>2542046971.6900001</v>
      </c>
      <c r="E168" s="3">
        <f t="shared" si="55"/>
        <v>5.0479111515459037E-2</v>
      </c>
      <c r="F168" s="4">
        <v>5585.95</v>
      </c>
      <c r="G168" s="4">
        <v>5650.36</v>
      </c>
      <c r="H168" s="58">
        <v>2247</v>
      </c>
      <c r="I168" s="5">
        <v>-2.8999999999999998E-3</v>
      </c>
      <c r="J168" s="5">
        <v>0.12529999999999999</v>
      </c>
      <c r="K168" s="2">
        <v>2569710431.3899999</v>
      </c>
      <c r="L168" s="3">
        <f t="shared" si="56"/>
        <v>5.0715494968926696E-2</v>
      </c>
      <c r="M168" s="4">
        <v>5626.43</v>
      </c>
      <c r="N168" s="4">
        <v>5688.53</v>
      </c>
      <c r="O168" s="58">
        <v>2246</v>
      </c>
      <c r="P168" s="5">
        <v>6.7999999999999996E-3</v>
      </c>
      <c r="Q168" s="5">
        <v>0.13289999999999999</v>
      </c>
      <c r="R168" s="77">
        <f t="shared" si="57"/>
        <v>1.0882355836882364E-2</v>
      </c>
      <c r="S168" s="77">
        <f t="shared" si="58"/>
        <v>6.7553217848066449E-3</v>
      </c>
      <c r="T168" s="77">
        <f t="shared" si="59"/>
        <v>-4.450378282153983E-4</v>
      </c>
      <c r="U168" s="77">
        <f t="shared" si="60"/>
        <v>9.7000000000000003E-3</v>
      </c>
      <c r="V168" s="79">
        <f t="shared" si="61"/>
        <v>7.5999999999999956E-3</v>
      </c>
    </row>
    <row r="169" spans="1:22">
      <c r="A169" s="166">
        <v>146</v>
      </c>
      <c r="B169" s="131" t="s">
        <v>272</v>
      </c>
      <c r="C169" s="131" t="s">
        <v>270</v>
      </c>
      <c r="D169" s="2">
        <v>81937498.810000002</v>
      </c>
      <c r="E169" s="3">
        <f t="shared" si="55"/>
        <v>1.6270872197841431E-3</v>
      </c>
      <c r="F169" s="4">
        <v>1058.78</v>
      </c>
      <c r="G169" s="4">
        <v>1073.55</v>
      </c>
      <c r="H169" s="58">
        <v>5</v>
      </c>
      <c r="I169" s="5">
        <v>1.3625527185230357E-2</v>
      </c>
      <c r="J169" s="5">
        <v>7.1688000000000002E-2</v>
      </c>
      <c r="K169" s="2">
        <v>82545907.609999999</v>
      </c>
      <c r="L169" s="3">
        <f t="shared" si="56"/>
        <v>1.6291160711971626E-3</v>
      </c>
      <c r="M169" s="4">
        <v>1064.1300000000001</v>
      </c>
      <c r="N169" s="4">
        <v>1083.1300000000001</v>
      </c>
      <c r="O169" s="58">
        <v>7</v>
      </c>
      <c r="P169" s="5">
        <v>6.8900012594854676E-3</v>
      </c>
      <c r="Q169" s="5">
        <v>7.9687999999999995E-2</v>
      </c>
      <c r="R169" s="77">
        <f>((K169-D169)/D169)</f>
        <v>7.4252791314853295E-3</v>
      </c>
      <c r="S169" s="77">
        <f>((N169-G169)/G169)</f>
        <v>8.9236644776676966E-3</v>
      </c>
      <c r="T169" s="77">
        <f t="shared" si="59"/>
        <v>0.4</v>
      </c>
      <c r="U169" s="77">
        <f>P169-I169</f>
        <v>-6.7355259257448896E-3</v>
      </c>
      <c r="V169" s="79">
        <f>Q169-J169</f>
        <v>7.9999999999999932E-3</v>
      </c>
    </row>
    <row r="170" spans="1:22">
      <c r="A170" s="162">
        <v>147</v>
      </c>
      <c r="B170" s="131" t="s">
        <v>253</v>
      </c>
      <c r="C170" s="131" t="s">
        <v>254</v>
      </c>
      <c r="D170" s="2">
        <v>672771146.74000001</v>
      </c>
      <c r="E170" s="3">
        <f t="shared" si="55"/>
        <v>1.335966255497391E-2</v>
      </c>
      <c r="F170" s="4">
        <v>1.288</v>
      </c>
      <c r="G170" s="4">
        <v>1.288</v>
      </c>
      <c r="H170" s="58">
        <v>41</v>
      </c>
      <c r="I170" s="5">
        <v>2.3E-3</v>
      </c>
      <c r="J170" s="5">
        <v>0.20599999999999999</v>
      </c>
      <c r="K170" s="2">
        <v>674602430.95000005</v>
      </c>
      <c r="L170" s="3">
        <f t="shared" si="56"/>
        <v>1.331387216822098E-2</v>
      </c>
      <c r="M170" s="4">
        <v>1.2909999999999999</v>
      </c>
      <c r="N170" s="4">
        <v>1.2909999999999999</v>
      </c>
      <c r="O170" s="58">
        <v>42</v>
      </c>
      <c r="P170" s="5">
        <v>2.3E-3</v>
      </c>
      <c r="Q170" s="5">
        <v>0.2092</v>
      </c>
      <c r="R170" s="77">
        <f>((K170-D170)/D170)</f>
        <v>2.7220017072280278E-3</v>
      </c>
      <c r="S170" s="77">
        <f>((N170-G170)/G170)</f>
        <v>2.3291925465837669E-3</v>
      </c>
      <c r="T170" s="77">
        <f>((O170-H170)/H170)</f>
        <v>2.4390243902439025E-2</v>
      </c>
      <c r="U170" s="77">
        <f>P170-I170</f>
        <v>0</v>
      </c>
      <c r="V170" s="79">
        <f>Q170-J170</f>
        <v>3.2000000000000084E-3</v>
      </c>
    </row>
    <row r="171" spans="1:22">
      <c r="A171" s="162">
        <v>148</v>
      </c>
      <c r="B171" s="131" t="s">
        <v>171</v>
      </c>
      <c r="C171" s="132" t="s">
        <v>44</v>
      </c>
      <c r="D171" s="4">
        <v>1793863923.51</v>
      </c>
      <c r="E171" s="3">
        <f t="shared" si="55"/>
        <v>3.5621944852663005E-2</v>
      </c>
      <c r="F171" s="4">
        <v>1.6911</v>
      </c>
      <c r="G171" s="4">
        <v>1.7008000000000001</v>
      </c>
      <c r="H171" s="58">
        <v>2156</v>
      </c>
      <c r="I171" s="5">
        <v>1.1999999999999999E-3</v>
      </c>
      <c r="J171" s="5">
        <v>0.10730000000000001</v>
      </c>
      <c r="K171" s="4">
        <v>1796535309.5599999</v>
      </c>
      <c r="L171" s="16">
        <f t="shared" si="56"/>
        <v>3.5456204068956214E-2</v>
      </c>
      <c r="M171" s="4">
        <v>1.6968000000000001</v>
      </c>
      <c r="N171" s="4">
        <v>1.7065999999999999</v>
      </c>
      <c r="O171" s="58">
        <v>2105</v>
      </c>
      <c r="P171" s="5">
        <v>8.9999999999999998E-4</v>
      </c>
      <c r="Q171" s="5">
        <v>0.1103</v>
      </c>
      <c r="R171" s="77">
        <f t="shared" si="57"/>
        <v>1.4891798731159779E-3</v>
      </c>
      <c r="S171" s="77">
        <f t="shared" si="58"/>
        <v>3.4101599247411836E-3</v>
      </c>
      <c r="T171" s="77">
        <f t="shared" si="59"/>
        <v>-2.3654916512059369E-2</v>
      </c>
      <c r="U171" s="77">
        <f t="shared" si="60"/>
        <v>-2.9999999999999992E-4</v>
      </c>
      <c r="V171" s="79">
        <f t="shared" si="61"/>
        <v>2.9999999999999888E-3</v>
      </c>
    </row>
    <row r="172" spans="1:22">
      <c r="A172" s="162">
        <v>149</v>
      </c>
      <c r="B172" s="131" t="s">
        <v>172</v>
      </c>
      <c r="C172" s="132" t="s">
        <v>44</v>
      </c>
      <c r="D172" s="4">
        <v>1071614561.3099999</v>
      </c>
      <c r="E172" s="3">
        <f t="shared" si="55"/>
        <v>2.1279760580503519E-2</v>
      </c>
      <c r="F172" s="4">
        <v>1.3907</v>
      </c>
      <c r="G172" s="4">
        <v>1.3985000000000001</v>
      </c>
      <c r="H172" s="58">
        <v>757</v>
      </c>
      <c r="I172" s="5">
        <v>1.5E-3</v>
      </c>
      <c r="J172" s="5">
        <v>0.16969999999999999</v>
      </c>
      <c r="K172" s="4">
        <v>1072997803.16</v>
      </c>
      <c r="L172" s="16">
        <f t="shared" si="56"/>
        <v>2.1176555156992908E-2</v>
      </c>
      <c r="M172" s="4">
        <v>1.3963000000000001</v>
      </c>
      <c r="N172" s="4">
        <v>1.4040999999999999</v>
      </c>
      <c r="O172" s="58">
        <v>691</v>
      </c>
      <c r="P172" s="5">
        <v>1.4E-3</v>
      </c>
      <c r="Q172" s="5">
        <v>0.1736</v>
      </c>
      <c r="R172" s="77">
        <f t="shared" si="57"/>
        <v>1.2908016556895921E-3</v>
      </c>
      <c r="S172" s="77">
        <f t="shared" si="58"/>
        <v>4.0042903110474272E-3</v>
      </c>
      <c r="T172" s="77">
        <f t="shared" si="59"/>
        <v>-8.7186261558784672E-2</v>
      </c>
      <c r="U172" s="77">
        <f t="shared" si="60"/>
        <v>-1.0000000000000005E-4</v>
      </c>
      <c r="V172" s="79">
        <f t="shared" si="61"/>
        <v>3.9000000000000146E-3</v>
      </c>
    </row>
    <row r="173" spans="1:22">
      <c r="A173" s="162">
        <v>150</v>
      </c>
      <c r="B173" s="131" t="s">
        <v>173</v>
      </c>
      <c r="C173" s="132" t="s">
        <v>86</v>
      </c>
      <c r="D173" s="2">
        <v>9215147102.2099991</v>
      </c>
      <c r="E173" s="3">
        <f t="shared" si="55"/>
        <v>0.18299128355388433</v>
      </c>
      <c r="F173" s="4">
        <v>500.42</v>
      </c>
      <c r="G173" s="4">
        <v>505.72</v>
      </c>
      <c r="H173" s="58">
        <v>35</v>
      </c>
      <c r="I173" s="5">
        <v>1.1000000000000001E-3</v>
      </c>
      <c r="J173" s="5">
        <v>0.438</v>
      </c>
      <c r="K173" s="2">
        <v>9177816107.9799995</v>
      </c>
      <c r="L173" s="16">
        <f t="shared" si="56"/>
        <v>0.18113227115563374</v>
      </c>
      <c r="M173" s="4">
        <v>498.34</v>
      </c>
      <c r="N173" s="4">
        <v>503.7</v>
      </c>
      <c r="O173" s="58">
        <v>35</v>
      </c>
      <c r="P173" s="5">
        <v>-4.0499999999999998E-3</v>
      </c>
      <c r="Q173" s="5">
        <v>0.43219999999999997</v>
      </c>
      <c r="R173" s="77">
        <f t="shared" si="57"/>
        <v>-4.051047022466601E-3</v>
      </c>
      <c r="S173" s="77">
        <f t="shared" si="58"/>
        <v>-3.9943051490944365E-3</v>
      </c>
      <c r="T173" s="77">
        <f t="shared" si="59"/>
        <v>0</v>
      </c>
      <c r="U173" s="77">
        <f t="shared" si="60"/>
        <v>-5.1500000000000001E-3</v>
      </c>
      <c r="V173" s="79">
        <f t="shared" si="61"/>
        <v>-5.8000000000000274E-3</v>
      </c>
    </row>
    <row r="174" spans="1:22">
      <c r="A174" s="162">
        <v>151</v>
      </c>
      <c r="B174" s="131" t="s">
        <v>174</v>
      </c>
      <c r="C174" s="132" t="s">
        <v>39</v>
      </c>
      <c r="D174" s="2">
        <v>470535844.08999997</v>
      </c>
      <c r="E174" s="3">
        <f t="shared" si="55"/>
        <v>9.3437421142729057E-3</v>
      </c>
      <c r="F174" s="4">
        <v>239.01</v>
      </c>
      <c r="G174" s="4">
        <v>242.17</v>
      </c>
      <c r="H174" s="58">
        <v>690</v>
      </c>
      <c r="I174" s="5">
        <v>-1.6999999999999999E-3</v>
      </c>
      <c r="J174" s="5">
        <v>0.23910000000000001</v>
      </c>
      <c r="K174" s="2">
        <v>474399661.81</v>
      </c>
      <c r="L174" s="16">
        <f t="shared" si="56"/>
        <v>9.3626944763466734E-3</v>
      </c>
      <c r="M174" s="4">
        <v>240.96</v>
      </c>
      <c r="N174" s="4">
        <v>244.16</v>
      </c>
      <c r="O174" s="58">
        <v>690</v>
      </c>
      <c r="P174" s="5">
        <v>8.8999999999999999E-3</v>
      </c>
      <c r="Q174" s="5">
        <v>0.24929999999999999</v>
      </c>
      <c r="R174" s="77">
        <f t="shared" si="57"/>
        <v>8.2115268550316672E-3</v>
      </c>
      <c r="S174" s="77">
        <f t="shared" si="58"/>
        <v>8.2173679646529683E-3</v>
      </c>
      <c r="T174" s="77">
        <f t="shared" si="59"/>
        <v>0</v>
      </c>
      <c r="U174" s="77">
        <f t="shared" si="60"/>
        <v>1.06E-2</v>
      </c>
      <c r="V174" s="79">
        <f t="shared" si="61"/>
        <v>1.0199999999999987E-2</v>
      </c>
    </row>
    <row r="175" spans="1:22">
      <c r="A175" s="80"/>
      <c r="B175" s="129"/>
      <c r="C175" s="68" t="s">
        <v>45</v>
      </c>
      <c r="D175" s="69">
        <f>SUM(D146:D174)</f>
        <v>50358393707.296288</v>
      </c>
      <c r="E175" s="96">
        <f>(D175/$D$205)</f>
        <v>1.4808013331410158E-2</v>
      </c>
      <c r="F175" s="30"/>
      <c r="G175" s="36"/>
      <c r="H175" s="63">
        <f>SUM(H146:H174)</f>
        <v>69664</v>
      </c>
      <c r="I175" s="37"/>
      <c r="J175" s="37"/>
      <c r="K175" s="69">
        <f>SUM(K146:K174)</f>
        <v>50669138356.32399</v>
      </c>
      <c r="L175" s="96">
        <f>(K175/$K$205)</f>
        <v>1.4674753296683947E-2</v>
      </c>
      <c r="M175" s="30"/>
      <c r="N175" s="36"/>
      <c r="O175" s="63">
        <f>SUM(O146:O174)</f>
        <v>69570</v>
      </c>
      <c r="P175" s="37"/>
      <c r="Q175" s="37"/>
      <c r="R175" s="77">
        <f t="shared" si="57"/>
        <v>6.1706624487245986E-3</v>
      </c>
      <c r="S175" s="77" t="e">
        <f t="shared" si="58"/>
        <v>#DIV/0!</v>
      </c>
      <c r="T175" s="77">
        <f t="shared" si="59"/>
        <v>-1.3493339457969684E-3</v>
      </c>
      <c r="U175" s="77">
        <f t="shared" si="60"/>
        <v>0</v>
      </c>
      <c r="V175" s="79">
        <f t="shared" si="61"/>
        <v>0</v>
      </c>
    </row>
    <row r="176" spans="1:22" ht="8.25" customHeight="1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</row>
    <row r="177" spans="1:24" ht="15" customHeight="1">
      <c r="A177" s="168" t="s">
        <v>175</v>
      </c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</row>
    <row r="178" spans="1:24">
      <c r="A178" s="162">
        <v>152</v>
      </c>
      <c r="B178" s="131" t="s">
        <v>176</v>
      </c>
      <c r="C178" s="132" t="s">
        <v>20</v>
      </c>
      <c r="D178" s="17">
        <v>971272731.00999999</v>
      </c>
      <c r="E178" s="3">
        <f>(D178/$D$181)</f>
        <v>0.18355405649499623</v>
      </c>
      <c r="F178" s="17">
        <v>64.705299999999994</v>
      </c>
      <c r="G178" s="17">
        <v>66.656300000000002</v>
      </c>
      <c r="H178" s="60">
        <v>1598</v>
      </c>
      <c r="I178" s="6">
        <v>4.6699999999999998E-2</v>
      </c>
      <c r="J178" s="6">
        <v>0.27329999999999999</v>
      </c>
      <c r="K178" s="17">
        <v>983954207.74000001</v>
      </c>
      <c r="L178" s="16">
        <f>(K178/$K$181)</f>
        <v>0.18449745691430405</v>
      </c>
      <c r="M178" s="17">
        <v>65.214500000000001</v>
      </c>
      <c r="N178" s="17">
        <v>67.180800000000005</v>
      </c>
      <c r="O178" s="60">
        <v>1599</v>
      </c>
      <c r="P178" s="6">
        <v>0.27910000000000001</v>
      </c>
      <c r="Q178" s="6">
        <v>0.41139999999999999</v>
      </c>
      <c r="R178" s="77">
        <f>((K178-D178)/D178)</f>
        <v>1.3056555924115051E-2</v>
      </c>
      <c r="S178" s="77">
        <f t="shared" ref="S178:T181" si="71">((N178-G178)/G178)</f>
        <v>7.8687235865177521E-3</v>
      </c>
      <c r="T178" s="77">
        <f t="shared" si="71"/>
        <v>6.2578222778473093E-4</v>
      </c>
      <c r="U178" s="77">
        <f t="shared" ref="U178:V181" si="72">P178-I178</f>
        <v>0.23240000000000002</v>
      </c>
      <c r="V178" s="79">
        <f t="shared" si="72"/>
        <v>0.1381</v>
      </c>
    </row>
    <row r="179" spans="1:24">
      <c r="A179" s="158">
        <v>153</v>
      </c>
      <c r="B179" s="131" t="s">
        <v>177</v>
      </c>
      <c r="C179" s="132" t="s">
        <v>178</v>
      </c>
      <c r="D179" s="94">
        <v>913482366.79999995</v>
      </c>
      <c r="E179" s="3">
        <f>(D179/$D$181)</f>
        <v>0.17263265878825926</v>
      </c>
      <c r="F179" s="17">
        <v>25.950299999999999</v>
      </c>
      <c r="G179" s="17">
        <v>26.2014</v>
      </c>
      <c r="H179" s="58">
        <v>1489</v>
      </c>
      <c r="I179" s="5">
        <v>1.6000000000000001E-3</v>
      </c>
      <c r="J179" s="5">
        <v>0.19120000000000001</v>
      </c>
      <c r="K179" s="94">
        <v>913482366.79999995</v>
      </c>
      <c r="L179" s="16">
        <f>(K179/$K$181)</f>
        <v>0.17128355393464936</v>
      </c>
      <c r="M179" s="17">
        <v>25.9848</v>
      </c>
      <c r="N179" s="17">
        <v>26.2363</v>
      </c>
      <c r="O179" s="58">
        <v>1488</v>
      </c>
      <c r="P179" s="5">
        <v>8.2000000000000007E-3</v>
      </c>
      <c r="Q179" s="5">
        <v>0.1928</v>
      </c>
      <c r="R179" s="77">
        <f>((K179-D179)/D179)</f>
        <v>0</v>
      </c>
      <c r="S179" s="77">
        <f t="shared" si="71"/>
        <v>1.3319898936698183E-3</v>
      </c>
      <c r="T179" s="77">
        <f t="shared" si="71"/>
        <v>-6.7159167226326397E-4</v>
      </c>
      <c r="U179" s="77">
        <f t="shared" si="72"/>
        <v>6.6000000000000008E-3</v>
      </c>
      <c r="V179" s="79">
        <f t="shared" si="72"/>
        <v>1.5999999999999903E-3</v>
      </c>
    </row>
    <row r="180" spans="1:24">
      <c r="A180" s="165">
        <v>154</v>
      </c>
      <c r="B180" s="131" t="s">
        <v>179</v>
      </c>
      <c r="C180" s="132" t="s">
        <v>41</v>
      </c>
      <c r="D180" s="9">
        <v>3406725513.1700001</v>
      </c>
      <c r="E180" s="3">
        <f>(D180/$D$181)</f>
        <v>0.64381328471674459</v>
      </c>
      <c r="F180" s="17">
        <v>2.4900000000000002</v>
      </c>
      <c r="G180" s="17">
        <v>2.5299999999999998</v>
      </c>
      <c r="H180" s="58">
        <v>10134</v>
      </c>
      <c r="I180" s="5">
        <v>1.2E-2</v>
      </c>
      <c r="J180" s="5">
        <v>0.21629999999999999</v>
      </c>
      <c r="K180" s="9">
        <v>3435722072.7199998</v>
      </c>
      <c r="L180" s="16">
        <f>(K180/$K$181)</f>
        <v>0.64421898915104647</v>
      </c>
      <c r="M180" s="17">
        <v>2.52</v>
      </c>
      <c r="N180" s="17">
        <v>2.5499999999999998</v>
      </c>
      <c r="O180" s="58">
        <v>10136</v>
      </c>
      <c r="P180" s="5">
        <v>7.9000000000000008E-3</v>
      </c>
      <c r="Q180" s="5">
        <v>0.22600000000000001</v>
      </c>
      <c r="R180" s="77">
        <f>((K180-D180)/D180)</f>
        <v>8.5115632116243081E-3</v>
      </c>
      <c r="S180" s="77">
        <f t="shared" si="71"/>
        <v>7.9051383399209568E-3</v>
      </c>
      <c r="T180" s="77">
        <f t="shared" si="71"/>
        <v>1.9735543714229328E-4</v>
      </c>
      <c r="U180" s="77">
        <f t="shared" si="72"/>
        <v>-4.0999999999999995E-3</v>
      </c>
      <c r="V180" s="79">
        <f t="shared" si="72"/>
        <v>9.7000000000000142E-3</v>
      </c>
    </row>
    <row r="181" spans="1:24">
      <c r="A181" s="71"/>
      <c r="B181" s="129"/>
      <c r="C181" s="64" t="s">
        <v>45</v>
      </c>
      <c r="D181" s="69">
        <f>SUM(D178:D180)</f>
        <v>5291480610.9799995</v>
      </c>
      <c r="E181" s="96">
        <f>(D181/$D$205)</f>
        <v>1.5559732879036881E-3</v>
      </c>
      <c r="F181" s="30"/>
      <c r="G181" s="36"/>
      <c r="H181" s="63">
        <f>SUM(H178:H180)</f>
        <v>13221</v>
      </c>
      <c r="I181" s="37"/>
      <c r="J181" s="37"/>
      <c r="K181" s="69">
        <f>SUM(K178:K180)</f>
        <v>5333158647.2600002</v>
      </c>
      <c r="L181" s="96">
        <f>(K181/$K$205)</f>
        <v>1.5445849284083837E-3</v>
      </c>
      <c r="M181" s="30"/>
      <c r="N181" s="36"/>
      <c r="O181" s="63">
        <f>SUM(O178:O180)</f>
        <v>13223</v>
      </c>
      <c r="P181" s="37"/>
      <c r="Q181" s="37"/>
      <c r="R181" s="77">
        <f>((K181-D181)/D181)</f>
        <v>7.8764412730753207E-3</v>
      </c>
      <c r="S181" s="77" t="e">
        <f t="shared" si="71"/>
        <v>#DIV/0!</v>
      </c>
      <c r="T181" s="77">
        <f t="shared" si="71"/>
        <v>1.5127448755767339E-4</v>
      </c>
      <c r="U181" s="77">
        <f t="shared" si="72"/>
        <v>0</v>
      </c>
      <c r="V181" s="79">
        <f t="shared" si="72"/>
        <v>0</v>
      </c>
    </row>
    <row r="182" spans="1:24" ht="6" customHeight="1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</row>
    <row r="183" spans="1:24" ht="15" customHeight="1">
      <c r="A183" s="168" t="s">
        <v>180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</row>
    <row r="184" spans="1:24">
      <c r="A184" s="169" t="s">
        <v>229</v>
      </c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</row>
    <row r="185" spans="1:24">
      <c r="A185" s="158">
        <v>155</v>
      </c>
      <c r="B185" s="131" t="s">
        <v>181</v>
      </c>
      <c r="C185" s="132" t="s">
        <v>182</v>
      </c>
      <c r="D185" s="13">
        <v>4597411583.9899998</v>
      </c>
      <c r="E185" s="3">
        <f>(D185/$D$204)</f>
        <v>8.917548071181236E-2</v>
      </c>
      <c r="F185" s="18">
        <v>2.16</v>
      </c>
      <c r="G185" s="18">
        <v>2.2000000000000002</v>
      </c>
      <c r="H185" s="59">
        <v>14984</v>
      </c>
      <c r="I185" s="12">
        <v>1.66E-2</v>
      </c>
      <c r="J185" s="12">
        <v>0.19639999999999999</v>
      </c>
      <c r="K185" s="13">
        <v>4416177618.4200001</v>
      </c>
      <c r="L185" s="3">
        <f>(K185/$K$204)</f>
        <v>8.6038317160665664E-2</v>
      </c>
      <c r="M185" s="18">
        <v>2.0699999999999998</v>
      </c>
      <c r="N185" s="18">
        <v>2.11</v>
      </c>
      <c r="O185" s="59">
        <v>14984</v>
      </c>
      <c r="P185" s="12">
        <v>-4.2999999999999997E-2</v>
      </c>
      <c r="Q185" s="12">
        <v>0.19980000000000001</v>
      </c>
      <c r="R185" s="77">
        <f>((K185-D185)/D185)</f>
        <v>-3.942087025689147E-2</v>
      </c>
      <c r="S185" s="77">
        <f>((N185-G185)/G185)</f>
        <v>-4.0909090909091041E-2</v>
      </c>
      <c r="T185" s="77">
        <f>((O185-H185)/H185)</f>
        <v>0</v>
      </c>
      <c r="U185" s="77">
        <f>P185-I185</f>
        <v>-5.96E-2</v>
      </c>
      <c r="V185" s="79">
        <f>Q185-J185</f>
        <v>3.4000000000000141E-3</v>
      </c>
    </row>
    <row r="186" spans="1:24">
      <c r="A186" s="165">
        <v>156</v>
      </c>
      <c r="B186" s="131" t="s">
        <v>183</v>
      </c>
      <c r="C186" s="132" t="s">
        <v>41</v>
      </c>
      <c r="D186" s="13">
        <v>663556942.40999997</v>
      </c>
      <c r="E186" s="3">
        <f>(D186/$D$204)</f>
        <v>1.2870940144914562E-2</v>
      </c>
      <c r="F186" s="18">
        <v>436.41</v>
      </c>
      <c r="G186" s="18">
        <v>441.9</v>
      </c>
      <c r="H186" s="59">
        <v>841</v>
      </c>
      <c r="I186" s="12">
        <v>-1.2E-2</v>
      </c>
      <c r="J186" s="12">
        <v>0.15720000000000001</v>
      </c>
      <c r="K186" s="13">
        <v>671948492.23000002</v>
      </c>
      <c r="L186" s="3">
        <f>(K186/$K$204)</f>
        <v>1.3091257301104664E-2</v>
      </c>
      <c r="M186" s="18">
        <v>442.18</v>
      </c>
      <c r="N186" s="18">
        <v>447.77</v>
      </c>
      <c r="O186" s="59">
        <v>842</v>
      </c>
      <c r="P186" s="12">
        <v>1.3299999999999999E-2</v>
      </c>
      <c r="Q186" s="12">
        <v>0.1726</v>
      </c>
      <c r="R186" s="77">
        <f>((K186-D186)/D186)</f>
        <v>1.2646314556701697E-2</v>
      </c>
      <c r="S186" s="77">
        <f>((N186-G186)/G186)</f>
        <v>1.3283548314098224E-2</v>
      </c>
      <c r="T186" s="77">
        <f>((O186-H186)/H186)</f>
        <v>1.1890606420927466E-3</v>
      </c>
      <c r="U186" s="77">
        <f>P186-I186</f>
        <v>2.53E-2</v>
      </c>
      <c r="V186" s="79">
        <f>Q186-J186</f>
        <v>1.5399999999999997E-2</v>
      </c>
    </row>
    <row r="187" spans="1:24" ht="6" customHeight="1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</row>
    <row r="188" spans="1:24" ht="15" customHeight="1">
      <c r="A188" s="169" t="s">
        <v>228</v>
      </c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</row>
    <row r="189" spans="1:24">
      <c r="A189" s="166">
        <v>157</v>
      </c>
      <c r="B189" s="131" t="s">
        <v>184</v>
      </c>
      <c r="C189" s="132" t="s">
        <v>185</v>
      </c>
      <c r="D189" s="2">
        <v>410338951.35000002</v>
      </c>
      <c r="E189" s="3">
        <f t="shared" ref="E189:E200" si="73">(D189/$D$204)</f>
        <v>7.9592989604945555E-3</v>
      </c>
      <c r="F189" s="2">
        <v>1050.76</v>
      </c>
      <c r="G189" s="2">
        <v>1050.76</v>
      </c>
      <c r="H189" s="58">
        <v>22</v>
      </c>
      <c r="I189" s="5">
        <v>2.5000000000000001E-3</v>
      </c>
      <c r="J189" s="5">
        <v>8.4000000000000005E-2</v>
      </c>
      <c r="K189" s="2">
        <v>371315239.66000003</v>
      </c>
      <c r="L189" s="3">
        <f t="shared" ref="L189:L200" si="74">(K189/$K$204)</f>
        <v>7.2341606513294269E-3</v>
      </c>
      <c r="M189" s="2">
        <v>1053.45</v>
      </c>
      <c r="N189" s="2">
        <v>1053.45</v>
      </c>
      <c r="O189" s="58">
        <v>22</v>
      </c>
      <c r="P189" s="5">
        <v>1.18E-2</v>
      </c>
      <c r="Q189" s="5">
        <v>9.5799999999999996E-2</v>
      </c>
      <c r="R189" s="77">
        <f>((K189-D189)/D189)</f>
        <v>-9.5101163468916186E-2</v>
      </c>
      <c r="S189" s="77">
        <f>((N189-G189)/G189)</f>
        <v>2.5600517720507582E-3</v>
      </c>
      <c r="T189" s="77">
        <f>((O189-H189)/H189)</f>
        <v>0</v>
      </c>
      <c r="U189" s="77">
        <f>P189-I189</f>
        <v>9.2999999999999992E-3</v>
      </c>
      <c r="V189" s="79">
        <f>Q189-J189</f>
        <v>1.1799999999999991E-2</v>
      </c>
      <c r="X189" s="67"/>
    </row>
    <row r="190" spans="1:24">
      <c r="A190" s="162">
        <v>158</v>
      </c>
      <c r="B190" s="131" t="s">
        <v>186</v>
      </c>
      <c r="C190" s="132" t="s">
        <v>57</v>
      </c>
      <c r="D190" s="2">
        <v>128208508.23999999</v>
      </c>
      <c r="E190" s="3">
        <f t="shared" si="73"/>
        <v>2.4868461621884719E-3</v>
      </c>
      <c r="F190" s="17">
        <v>115.3</v>
      </c>
      <c r="G190" s="17">
        <v>115.3</v>
      </c>
      <c r="H190" s="58">
        <v>75</v>
      </c>
      <c r="I190" s="5">
        <v>2.5999999999999999E-3</v>
      </c>
      <c r="J190" s="5">
        <v>0.14630000000000001</v>
      </c>
      <c r="K190" s="2">
        <v>129097365.37</v>
      </c>
      <c r="L190" s="3">
        <f t="shared" si="74"/>
        <v>2.5151434172351796E-3</v>
      </c>
      <c r="M190" s="17">
        <v>115.61</v>
      </c>
      <c r="N190" s="17">
        <v>115.61</v>
      </c>
      <c r="O190" s="58">
        <v>75</v>
      </c>
      <c r="P190" s="5">
        <v>2.7000000000000001E-3</v>
      </c>
      <c r="Q190" s="5">
        <v>0.14560000000000001</v>
      </c>
      <c r="R190" s="77">
        <f t="shared" ref="R190:R205" si="75">((K190-D190)/D190)</f>
        <v>6.9329028330640391E-3</v>
      </c>
      <c r="S190" s="77">
        <f t="shared" ref="S190:S204" si="76">((N190-G190)/G190)</f>
        <v>2.6886383347788576E-3</v>
      </c>
      <c r="T190" s="77">
        <f t="shared" ref="T190:T204" si="77">((O190-H190)/H190)</f>
        <v>0</v>
      </c>
      <c r="U190" s="77">
        <f t="shared" ref="U190:U204" si="78">P190-I190</f>
        <v>1.0000000000000026E-4</v>
      </c>
      <c r="V190" s="79">
        <f t="shared" ref="V190:V204" si="79">Q190-J190</f>
        <v>-7.0000000000000617E-4</v>
      </c>
    </row>
    <row r="191" spans="1:24">
      <c r="A191" s="166">
        <v>159</v>
      </c>
      <c r="B191" s="184" t="s">
        <v>187</v>
      </c>
      <c r="C191" s="132" t="s">
        <v>63</v>
      </c>
      <c r="D191" s="9">
        <v>60585190.369999997</v>
      </c>
      <c r="E191" s="3">
        <f t="shared" si="73"/>
        <v>1.1751641932768852E-3</v>
      </c>
      <c r="F191" s="17">
        <v>104.49</v>
      </c>
      <c r="G191" s="17">
        <v>107.77</v>
      </c>
      <c r="H191" s="58">
        <v>13</v>
      </c>
      <c r="I191" s="5">
        <v>2.5000000000000001E-3</v>
      </c>
      <c r="J191" s="5">
        <v>0.1009</v>
      </c>
      <c r="K191" s="9">
        <v>58812498.649999999</v>
      </c>
      <c r="L191" s="3">
        <f t="shared" si="74"/>
        <v>1.1458163255830074E-3</v>
      </c>
      <c r="M191" s="17">
        <v>104.62</v>
      </c>
      <c r="N191" s="17">
        <v>108.01</v>
      </c>
      <c r="O191" s="58">
        <v>15</v>
      </c>
      <c r="P191" s="5">
        <v>1.9E-3</v>
      </c>
      <c r="Q191" s="5">
        <v>0.1028</v>
      </c>
      <c r="R191" s="77">
        <f t="shared" si="75"/>
        <v>-2.9259489145350339E-2</v>
      </c>
      <c r="S191" s="77">
        <f t="shared" si="76"/>
        <v>2.2269648325137711E-3</v>
      </c>
      <c r="T191" s="77">
        <f t="shared" si="77"/>
        <v>0.15384615384615385</v>
      </c>
      <c r="U191" s="77">
        <f t="shared" si="78"/>
        <v>-6.0000000000000006E-4</v>
      </c>
      <c r="V191" s="79">
        <f t="shared" si="79"/>
        <v>1.8999999999999989E-3</v>
      </c>
    </row>
    <row r="192" spans="1:24">
      <c r="A192" s="159">
        <v>160</v>
      </c>
      <c r="B192" s="131" t="s">
        <v>279</v>
      </c>
      <c r="C192" s="132" t="s">
        <v>66</v>
      </c>
      <c r="D192" s="9">
        <v>111331708.73999999</v>
      </c>
      <c r="E192" s="3">
        <v>0</v>
      </c>
      <c r="F192" s="17">
        <v>1.0075000000000001</v>
      </c>
      <c r="G192" s="17">
        <v>1.0075000000000001</v>
      </c>
      <c r="H192" s="58">
        <v>23</v>
      </c>
      <c r="I192" s="5">
        <v>1.392E-3</v>
      </c>
      <c r="J192" s="5">
        <v>5.4300000000000001E-2</v>
      </c>
      <c r="K192" s="9">
        <v>116546411.53</v>
      </c>
      <c r="L192" s="3">
        <f t="shared" si="74"/>
        <v>2.2706190705126528E-3</v>
      </c>
      <c r="M192" s="17">
        <v>1.0093000000000001</v>
      </c>
      <c r="N192" s="17">
        <v>1.0093000000000001</v>
      </c>
      <c r="O192" s="58">
        <v>23</v>
      </c>
      <c r="P192" s="5">
        <v>1.2899999999999999E-3</v>
      </c>
      <c r="Q192" s="5">
        <v>6.3952999999999996E-2</v>
      </c>
      <c r="R192" s="77">
        <f t="shared" ref="R192" si="80">((K192-D192)/D192)</f>
        <v>4.6839331301186019E-2</v>
      </c>
      <c r="S192" s="77">
        <f t="shared" ref="S192" si="81">((N192-G192)/G192)</f>
        <v>1.786600496277939E-3</v>
      </c>
      <c r="T192" s="77">
        <f t="shared" ref="T192" si="82">((O192-H192)/H192)</f>
        <v>0</v>
      </c>
      <c r="U192" s="77">
        <f t="shared" ref="U192" si="83">P192-I192</f>
        <v>-1.0200000000000009E-4</v>
      </c>
      <c r="V192" s="79">
        <f t="shared" ref="V192" si="84">Q192-J192</f>
        <v>9.6529999999999949E-3</v>
      </c>
    </row>
    <row r="193" spans="1:22">
      <c r="A193" s="157">
        <v>161</v>
      </c>
      <c r="B193" s="131" t="s">
        <v>188</v>
      </c>
      <c r="C193" s="132" t="s">
        <v>26</v>
      </c>
      <c r="D193" s="2">
        <v>8636992257.9099998</v>
      </c>
      <c r="E193" s="3">
        <f t="shared" si="73"/>
        <v>0.16753077735861058</v>
      </c>
      <c r="F193" s="17">
        <v>147.4</v>
      </c>
      <c r="G193" s="17">
        <v>147.4</v>
      </c>
      <c r="H193" s="58">
        <v>696</v>
      </c>
      <c r="I193" s="5">
        <v>2.8E-3</v>
      </c>
      <c r="J193" s="5">
        <v>0.1024</v>
      </c>
      <c r="K193" s="2">
        <v>8508535038.8800001</v>
      </c>
      <c r="L193" s="3">
        <f>(K193/$K$204)</f>
        <v>0.16576779729020666</v>
      </c>
      <c r="M193" s="17">
        <v>147.82</v>
      </c>
      <c r="N193" s="17">
        <v>147.82</v>
      </c>
      <c r="O193" s="58">
        <v>690</v>
      </c>
      <c r="P193" s="5">
        <v>2.8E-3</v>
      </c>
      <c r="Q193" s="5">
        <v>0.1055</v>
      </c>
      <c r="R193" s="77">
        <f>((K193-D193)/D193)</f>
        <v>-1.4872911216558636E-2</v>
      </c>
      <c r="S193" s="77">
        <f>((N193-G193)/G193)</f>
        <v>2.8493894165535108E-3</v>
      </c>
      <c r="T193" s="77">
        <f t="shared" si="77"/>
        <v>-8.6206896551724137E-3</v>
      </c>
      <c r="U193" s="77">
        <f t="shared" si="78"/>
        <v>0</v>
      </c>
      <c r="V193" s="79">
        <f t="shared" si="79"/>
        <v>3.0999999999999917E-3</v>
      </c>
    </row>
    <row r="194" spans="1:22">
      <c r="A194" s="166">
        <v>162</v>
      </c>
      <c r="B194" s="131" t="s">
        <v>246</v>
      </c>
      <c r="C194" s="132" t="s">
        <v>55</v>
      </c>
      <c r="D194" s="2">
        <v>326119180.80517101</v>
      </c>
      <c r="E194" s="3">
        <f t="shared" si="73"/>
        <v>6.3256974465627554E-3</v>
      </c>
      <c r="F194" s="7">
        <v>1126.61128287781</v>
      </c>
      <c r="G194" s="7">
        <v>1126.61128287781</v>
      </c>
      <c r="H194" s="58">
        <v>87</v>
      </c>
      <c r="I194" s="5">
        <v>0.15180889283546023</v>
      </c>
      <c r="J194" s="5">
        <v>0.13840444856247977</v>
      </c>
      <c r="K194" s="2">
        <v>332504817.188187</v>
      </c>
      <c r="L194" s="3">
        <f t="shared" si="74"/>
        <v>6.4780353940840103E-3</v>
      </c>
      <c r="M194" s="7">
        <v>1129.8587247129501</v>
      </c>
      <c r="N194" s="7">
        <v>1129.8587247129501</v>
      </c>
      <c r="O194" s="58">
        <v>91</v>
      </c>
      <c r="P194" s="5">
        <v>0.15071286656910349</v>
      </c>
      <c r="Q194" s="5">
        <v>0.13912777994511369</v>
      </c>
      <c r="R194" s="77">
        <f t="shared" si="75"/>
        <v>1.9580683255888819E-2</v>
      </c>
      <c r="S194" s="77">
        <f t="shared" si="76"/>
        <v>2.8824865190812143E-3</v>
      </c>
      <c r="T194" s="77">
        <f t="shared" si="77"/>
        <v>4.5977011494252873E-2</v>
      </c>
      <c r="U194" s="77">
        <f t="shared" si="78"/>
        <v>-1.0960262663567422E-3</v>
      </c>
      <c r="V194" s="79">
        <f t="shared" si="79"/>
        <v>7.2333138263391827E-4</v>
      </c>
    </row>
    <row r="195" spans="1:22">
      <c r="A195" s="158">
        <v>163</v>
      </c>
      <c r="B195" s="131" t="s">
        <v>189</v>
      </c>
      <c r="C195" s="132" t="s">
        <v>182</v>
      </c>
      <c r="D195" s="2">
        <v>24060037946.98</v>
      </c>
      <c r="E195" s="3">
        <f t="shared" si="73"/>
        <v>0.46668987769946318</v>
      </c>
      <c r="F195" s="7">
        <v>1234.33</v>
      </c>
      <c r="G195" s="7">
        <v>1234.33</v>
      </c>
      <c r="H195" s="58">
        <v>8946</v>
      </c>
      <c r="I195" s="5">
        <v>1.8E-3</v>
      </c>
      <c r="J195" s="5">
        <v>9.8299999999999998E-2</v>
      </c>
      <c r="K195" s="2">
        <v>24154842456.400002</v>
      </c>
      <c r="L195" s="3">
        <f t="shared" si="74"/>
        <v>0.47059746590835716</v>
      </c>
      <c r="M195" s="7">
        <v>1237.32</v>
      </c>
      <c r="N195" s="7">
        <v>1237.32</v>
      </c>
      <c r="O195" s="58">
        <v>9021</v>
      </c>
      <c r="P195" s="5">
        <v>2.3999999999999998E-3</v>
      </c>
      <c r="Q195" s="5">
        <v>0.1007</v>
      </c>
      <c r="R195" s="77">
        <f t="shared" si="75"/>
        <v>3.9403308352596251E-3</v>
      </c>
      <c r="S195" s="77">
        <f t="shared" si="76"/>
        <v>2.4223667900804559E-3</v>
      </c>
      <c r="T195" s="77">
        <f t="shared" si="77"/>
        <v>8.383635144198525E-3</v>
      </c>
      <c r="U195" s="77">
        <f t="shared" si="78"/>
        <v>5.9999999999999984E-4</v>
      </c>
      <c r="V195" s="79">
        <f t="shared" si="79"/>
        <v>2.3999999999999994E-3</v>
      </c>
    </row>
    <row r="196" spans="1:22">
      <c r="A196" s="166">
        <v>164</v>
      </c>
      <c r="B196" s="131" t="s">
        <v>193</v>
      </c>
      <c r="C196" s="132" t="s">
        <v>194</v>
      </c>
      <c r="D196" s="2">
        <v>388499458.57999998</v>
      </c>
      <c r="E196" s="3">
        <f t="shared" si="73"/>
        <v>7.5356807504023751E-3</v>
      </c>
      <c r="F196" s="18">
        <v>123.74</v>
      </c>
      <c r="G196" s="18">
        <v>124.44</v>
      </c>
      <c r="H196" s="59">
        <v>166</v>
      </c>
      <c r="I196" s="5">
        <v>-6.9999999999999999E-4</v>
      </c>
      <c r="J196" s="5">
        <v>0.25</v>
      </c>
      <c r="K196" s="2">
        <v>381834339.58999997</v>
      </c>
      <c r="L196" s="3">
        <f t="shared" si="74"/>
        <v>7.4390993413511099E-3</v>
      </c>
      <c r="M196" s="18">
        <v>123.13</v>
      </c>
      <c r="N196" s="18">
        <v>123.41</v>
      </c>
      <c r="O196" s="59">
        <v>165</v>
      </c>
      <c r="P196" s="5">
        <v>-8.2000000000000007E-3</v>
      </c>
      <c r="Q196" s="5">
        <v>0.2397</v>
      </c>
      <c r="R196" s="77">
        <f>((K196-D196)/D196)</f>
        <v>-1.7156057345257599E-2</v>
      </c>
      <c r="S196" s="77">
        <f>((N196-G196)/G196)</f>
        <v>-8.2770813243330209E-3</v>
      </c>
      <c r="T196" s="77">
        <f>((O196-H196)/H196)</f>
        <v>-6.024096385542169E-3</v>
      </c>
      <c r="U196" s="77">
        <f>P196-I196</f>
        <v>-7.5000000000000006E-3</v>
      </c>
      <c r="V196" s="79">
        <f>Q196-J196</f>
        <v>-1.0300000000000004E-2</v>
      </c>
    </row>
    <row r="197" spans="1:22">
      <c r="A197" s="166">
        <v>165</v>
      </c>
      <c r="B197" s="131" t="s">
        <v>241</v>
      </c>
      <c r="C197" s="132" t="s">
        <v>194</v>
      </c>
      <c r="D197" s="2">
        <v>102609630.64</v>
      </c>
      <c r="E197" s="3">
        <f t="shared" si="73"/>
        <v>1.9903075830426703E-3</v>
      </c>
      <c r="F197" s="18">
        <v>106.67</v>
      </c>
      <c r="G197" s="18">
        <v>106.67</v>
      </c>
      <c r="H197" s="59">
        <v>72</v>
      </c>
      <c r="I197" s="5">
        <v>-2.9999999999999997E-4</v>
      </c>
      <c r="J197" s="5">
        <v>6.4299999999999996E-2</v>
      </c>
      <c r="K197" s="2">
        <v>102756589.31</v>
      </c>
      <c r="L197" s="3">
        <f t="shared" si="74"/>
        <v>2.0019584322256362E-3</v>
      </c>
      <c r="M197" s="18">
        <v>106.82</v>
      </c>
      <c r="N197" s="18">
        <v>106.82</v>
      </c>
      <c r="O197" s="59">
        <v>72</v>
      </c>
      <c r="P197" s="5">
        <v>1.4E-3</v>
      </c>
      <c r="Q197" s="5">
        <v>6.6600000000000006E-2</v>
      </c>
      <c r="R197" s="77">
        <f>((K197-D197)/D197)</f>
        <v>1.4322112757193118E-3</v>
      </c>
      <c r="S197" s="77">
        <f>((N197-G197)/G197)</f>
        <v>1.4062060560606682E-3</v>
      </c>
      <c r="T197" s="77">
        <f>((O197-H197)/H197)</f>
        <v>0</v>
      </c>
      <c r="U197" s="77">
        <f>P197-I197</f>
        <v>1.6999999999999999E-3</v>
      </c>
      <c r="V197" s="79">
        <f>Q197-J197</f>
        <v>2.3000000000000104E-3</v>
      </c>
    </row>
    <row r="198" spans="1:22" ht="13.5" customHeight="1">
      <c r="A198" s="157">
        <v>166</v>
      </c>
      <c r="B198" s="131" t="s">
        <v>190</v>
      </c>
      <c r="C198" s="132" t="s">
        <v>77</v>
      </c>
      <c r="D198" s="2">
        <v>1056754787.55</v>
      </c>
      <c r="E198" s="3">
        <f t="shared" si="73"/>
        <v>2.0497754976397903E-2</v>
      </c>
      <c r="F198" s="14">
        <v>104.95</v>
      </c>
      <c r="G198" s="14">
        <v>104.95</v>
      </c>
      <c r="H198" s="58">
        <v>572</v>
      </c>
      <c r="I198" s="5">
        <v>2.3E-3</v>
      </c>
      <c r="J198" s="5">
        <v>8.1299999999999997E-2</v>
      </c>
      <c r="K198" s="2">
        <v>1067790032.75</v>
      </c>
      <c r="L198" s="3">
        <f t="shared" si="74"/>
        <v>2.0803252368189667E-2</v>
      </c>
      <c r="M198" s="14">
        <v>105.19</v>
      </c>
      <c r="N198" s="14">
        <v>105.19</v>
      </c>
      <c r="O198" s="58">
        <v>575</v>
      </c>
      <c r="P198" s="5">
        <v>2.3E-3</v>
      </c>
      <c r="Q198" s="5">
        <v>8.3599999999999994E-2</v>
      </c>
      <c r="R198" s="77">
        <f t="shared" si="75"/>
        <v>1.0442578855577618E-2</v>
      </c>
      <c r="S198" s="77">
        <f t="shared" si="76"/>
        <v>2.2868032396378742E-3</v>
      </c>
      <c r="T198" s="77">
        <f t="shared" si="77"/>
        <v>5.244755244755245E-3</v>
      </c>
      <c r="U198" s="77">
        <f t="shared" si="78"/>
        <v>0</v>
      </c>
      <c r="V198" s="79">
        <f t="shared" si="79"/>
        <v>2.2999999999999965E-3</v>
      </c>
    </row>
    <row r="199" spans="1:22" ht="15.75" customHeight="1">
      <c r="A199" s="165">
        <v>167</v>
      </c>
      <c r="B199" s="131" t="s">
        <v>191</v>
      </c>
      <c r="C199" s="132" t="s">
        <v>41</v>
      </c>
      <c r="D199" s="2">
        <v>7006933233.9099998</v>
      </c>
      <c r="E199" s="3">
        <f t="shared" si="73"/>
        <v>0.13591270392789295</v>
      </c>
      <c r="F199" s="14">
        <v>132.07</v>
      </c>
      <c r="G199" s="14">
        <v>132.07</v>
      </c>
      <c r="H199" s="58">
        <v>1231</v>
      </c>
      <c r="I199" s="5">
        <v>1.6000000000000001E-3</v>
      </c>
      <c r="J199" s="5">
        <v>2.9499999999999998E-2</v>
      </c>
      <c r="K199" s="2">
        <v>7003834773.1700001</v>
      </c>
      <c r="L199" s="3">
        <f t="shared" si="74"/>
        <v>0.13645242778312303</v>
      </c>
      <c r="M199" s="14">
        <v>132.19999999999999</v>
      </c>
      <c r="N199" s="14">
        <v>132.19999999999999</v>
      </c>
      <c r="O199" s="58">
        <v>1235</v>
      </c>
      <c r="P199" s="5">
        <v>1E-3</v>
      </c>
      <c r="Q199" s="5">
        <v>3.0499999999999999E-2</v>
      </c>
      <c r="R199" s="77">
        <f t="shared" si="75"/>
        <v>-4.4219926700668331E-4</v>
      </c>
      <c r="S199" s="77">
        <f t="shared" si="76"/>
        <v>9.8432649352612599E-4</v>
      </c>
      <c r="T199" s="77">
        <f t="shared" si="77"/>
        <v>3.249390739236393E-3</v>
      </c>
      <c r="U199" s="77">
        <f t="shared" si="78"/>
        <v>-6.0000000000000006E-4</v>
      </c>
      <c r="V199" s="79">
        <f t="shared" si="79"/>
        <v>1.0000000000000009E-3</v>
      </c>
    </row>
    <row r="200" spans="1:22">
      <c r="A200" s="162">
        <v>168</v>
      </c>
      <c r="B200" s="131" t="s">
        <v>192</v>
      </c>
      <c r="C200" s="132" t="s">
        <v>44</v>
      </c>
      <c r="D200" s="2">
        <v>3807227418.0100002</v>
      </c>
      <c r="E200" s="3">
        <f t="shared" si="73"/>
        <v>7.3848366407425065E-2</v>
      </c>
      <c r="F200" s="14">
        <v>1.1779999999999999</v>
      </c>
      <c r="G200" s="14">
        <v>1.1779999999999999</v>
      </c>
      <c r="H200" s="58">
        <v>958</v>
      </c>
      <c r="I200" s="5">
        <v>9.7500000000000003E-2</v>
      </c>
      <c r="J200" s="5">
        <v>9.7699999999999995E-2</v>
      </c>
      <c r="K200" s="2">
        <v>3804032204.5100002</v>
      </c>
      <c r="L200" s="3">
        <f t="shared" si="74"/>
        <v>7.4112175184229759E-2</v>
      </c>
      <c r="M200" s="14">
        <v>1.1779999999999999</v>
      </c>
      <c r="N200" s="14">
        <v>1.1779999999999999</v>
      </c>
      <c r="O200" s="58">
        <v>708</v>
      </c>
      <c r="P200" s="5">
        <v>9.7199999999999995E-2</v>
      </c>
      <c r="Q200" s="5">
        <v>9.7500000000000003E-2</v>
      </c>
      <c r="R200" s="77">
        <f t="shared" si="75"/>
        <v>-8.3924944564254741E-4</v>
      </c>
      <c r="S200" s="77">
        <f t="shared" si="76"/>
        <v>0</v>
      </c>
      <c r="T200" s="77">
        <f t="shared" si="77"/>
        <v>-0.26096033402922758</v>
      </c>
      <c r="U200" s="77">
        <f t="shared" si="78"/>
        <v>-3.0000000000000859E-4</v>
      </c>
      <c r="V200" s="79">
        <f t="shared" si="79"/>
        <v>-1.9999999999999185E-4</v>
      </c>
    </row>
    <row r="201" spans="1:22" ht="6" customHeight="1">
      <c r="A201" s="171"/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3"/>
    </row>
    <row r="202" spans="1:22">
      <c r="A202" s="169" t="s">
        <v>282</v>
      </c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</row>
    <row r="203" spans="1:22">
      <c r="A203" s="162">
        <v>169</v>
      </c>
      <c r="B203" s="131" t="s">
        <v>283</v>
      </c>
      <c r="C203" s="132" t="s">
        <v>182</v>
      </c>
      <c r="D203" s="2">
        <v>198053150.68000001</v>
      </c>
      <c r="E203" s="3">
        <f t="shared" ref="E203" si="85">(D203/$D$204)</f>
        <v>3.8416149165069889E-3</v>
      </c>
      <c r="F203" s="7">
        <v>1079.01</v>
      </c>
      <c r="G203" s="7">
        <v>1079.01</v>
      </c>
      <c r="H203" s="58">
        <v>63</v>
      </c>
      <c r="I203" s="5">
        <v>7.2700000000000001E-2</v>
      </c>
      <c r="J203" s="5">
        <v>7.9000000000000001E-2</v>
      </c>
      <c r="K203" s="2">
        <v>208005539.97999999</v>
      </c>
      <c r="L203" s="3">
        <f t="shared" ref="L203" si="86">(K203/$K$204)</f>
        <v>4.0524743718024798E-3</v>
      </c>
      <c r="M203" s="7">
        <v>1118.08</v>
      </c>
      <c r="N203" s="7">
        <v>1118.08</v>
      </c>
      <c r="O203" s="58">
        <v>66</v>
      </c>
      <c r="P203" s="5">
        <v>3.5400000000000001E-2</v>
      </c>
      <c r="Q203" s="5">
        <v>0.1173</v>
      </c>
      <c r="R203" s="77">
        <f t="shared" ref="R203" si="87">((K203-D203)/D203)</f>
        <v>5.025110312978729E-2</v>
      </c>
      <c r="S203" s="77">
        <f t="shared" ref="S203" si="88">((N203-G203)/G203)</f>
        <v>3.6209117617074855E-2</v>
      </c>
      <c r="T203" s="77">
        <f t="shared" ref="T203" si="89">((O203-H203)/H203)</f>
        <v>4.7619047619047616E-2</v>
      </c>
      <c r="U203" s="77">
        <f t="shared" ref="U203" si="90">P203-I203</f>
        <v>-3.73E-2</v>
      </c>
      <c r="V203" s="79">
        <f t="shared" ref="V203" si="91">Q203-J203</f>
        <v>3.8300000000000001E-2</v>
      </c>
    </row>
    <row r="204" spans="1:22">
      <c r="A204" s="81"/>
      <c r="B204" s="129"/>
      <c r="C204" s="64" t="s">
        <v>45</v>
      </c>
      <c r="D204" s="57">
        <f>SUM(D185:D203)</f>
        <v>51554659950.165176</v>
      </c>
      <c r="E204" s="96">
        <f>(D204/$D$205)</f>
        <v>1.5159778452737922E-2</v>
      </c>
      <c r="F204" s="30"/>
      <c r="G204" s="34"/>
      <c r="H204" s="57">
        <f>SUM(H185:H203)</f>
        <v>28749</v>
      </c>
      <c r="I204" s="35"/>
      <c r="J204" s="35"/>
      <c r="K204" s="57">
        <f>SUM(K185:K203)</f>
        <v>51328033417.638184</v>
      </c>
      <c r="L204" s="96">
        <f>(K204/$K$205)</f>
        <v>1.4865581930973964E-2</v>
      </c>
      <c r="M204" s="30"/>
      <c r="N204" s="34"/>
      <c r="O204" s="57">
        <f>SUM(O185:O203)</f>
        <v>28584</v>
      </c>
      <c r="P204" s="35"/>
      <c r="Q204" s="35"/>
      <c r="R204" s="77">
        <f t="shared" si="75"/>
        <v>-4.3958496234105544E-3</v>
      </c>
      <c r="S204" s="77" t="e">
        <f t="shared" si="76"/>
        <v>#DIV/0!</v>
      </c>
      <c r="T204" s="77">
        <f t="shared" si="77"/>
        <v>-5.7393300636543881E-3</v>
      </c>
      <c r="U204" s="77">
        <f t="shared" si="78"/>
        <v>0</v>
      </c>
      <c r="V204" s="79">
        <f t="shared" si="79"/>
        <v>0</v>
      </c>
    </row>
    <row r="205" spans="1:22">
      <c r="A205" s="82"/>
      <c r="B205" s="38"/>
      <c r="C205" s="65" t="s">
        <v>195</v>
      </c>
      <c r="D205" s="66">
        <f>SUM(D23,D62,D101,D135,D143,D175,D181,D204)</f>
        <v>3400752861322.5991</v>
      </c>
      <c r="E205" s="39"/>
      <c r="F205" s="39"/>
      <c r="G205" s="40"/>
      <c r="H205" s="66">
        <f>SUM(H23,H62,H101,H135,H143,H175,H181,H204)</f>
        <v>768308</v>
      </c>
      <c r="I205" s="41"/>
      <c r="J205" s="41"/>
      <c r="K205" s="66">
        <f>SUM(K23,K62,K101,K135,K143,K175,K181,K204)</f>
        <v>3452810233462.2344</v>
      </c>
      <c r="L205" s="39"/>
      <c r="M205" s="39"/>
      <c r="N205" s="40"/>
      <c r="O205" s="66">
        <f>SUM(O23,O62,O101,O135,O143,O175,O181,O204)</f>
        <v>762731</v>
      </c>
      <c r="P205" s="42"/>
      <c r="Q205" s="66"/>
      <c r="R205" s="25">
        <f t="shared" si="75"/>
        <v>1.530760224645946E-2</v>
      </c>
      <c r="S205" s="25"/>
      <c r="T205" s="25"/>
      <c r="U205" s="25"/>
      <c r="V205" s="25"/>
    </row>
    <row r="206" spans="1:22" ht="6.75" customHeight="1">
      <c r="A206" s="170"/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9"/>
    </row>
    <row r="207" spans="1:22" ht="15.75">
      <c r="A207" s="168" t="s">
        <v>196</v>
      </c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</row>
    <row r="208" spans="1:22">
      <c r="A208" s="162">
        <v>1</v>
      </c>
      <c r="B208" s="131" t="s">
        <v>197</v>
      </c>
      <c r="C208" s="132" t="s">
        <v>198</v>
      </c>
      <c r="D208" s="2">
        <v>103175705234</v>
      </c>
      <c r="E208" s="3">
        <f>(D208/$D$210)</f>
        <v>0.93375981226053273</v>
      </c>
      <c r="F208" s="14">
        <v>107.39</v>
      </c>
      <c r="G208" s="14">
        <v>107.39</v>
      </c>
      <c r="H208" s="62">
        <v>0</v>
      </c>
      <c r="I208" s="20">
        <v>0</v>
      </c>
      <c r="J208" s="20">
        <v>0.13800000000000001</v>
      </c>
      <c r="K208" s="2">
        <v>103175705234</v>
      </c>
      <c r="L208" s="3">
        <f>(K208/$K$210)</f>
        <v>0.93346590793925432</v>
      </c>
      <c r="M208" s="14">
        <v>107.39</v>
      </c>
      <c r="N208" s="14">
        <v>107.39</v>
      </c>
      <c r="O208" s="62">
        <v>0</v>
      </c>
      <c r="P208" s="20">
        <v>0</v>
      </c>
      <c r="Q208" s="20">
        <v>0.13800000000000001</v>
      </c>
      <c r="R208" s="77">
        <f>((K208-D208)/D208)</f>
        <v>0</v>
      </c>
      <c r="S208" s="77">
        <f>((N208-G208)/G208)</f>
        <v>0</v>
      </c>
      <c r="T208" s="77" t="e">
        <f>((O208-H208)/H208)</f>
        <v>#DIV/0!</v>
      </c>
      <c r="U208" s="77">
        <f>P208-I208</f>
        <v>0</v>
      </c>
      <c r="V208" s="79">
        <f>Q208-J208</f>
        <v>0</v>
      </c>
    </row>
    <row r="209" spans="1:22">
      <c r="A209" s="162">
        <v>2</v>
      </c>
      <c r="B209" s="131" t="s">
        <v>199</v>
      </c>
      <c r="C209" s="132" t="s">
        <v>44</v>
      </c>
      <c r="D209" s="2">
        <v>7319203498.71</v>
      </c>
      <c r="E209" s="3">
        <f>(D209/$D$210)</f>
        <v>6.624018773946716E-2</v>
      </c>
      <c r="F209" s="21">
        <v>1000000</v>
      </c>
      <c r="G209" s="21">
        <v>1000000</v>
      </c>
      <c r="H209" s="62">
        <v>0</v>
      </c>
      <c r="I209" s="20">
        <v>0.19719999999999999</v>
      </c>
      <c r="J209" s="20">
        <v>0.19719999999999999</v>
      </c>
      <c r="K209" s="2">
        <v>7353993126.1400003</v>
      </c>
      <c r="L209" s="3">
        <f>(K209/$K$210)</f>
        <v>6.6534092060745634E-2</v>
      </c>
      <c r="M209" s="21">
        <v>1000000</v>
      </c>
      <c r="N209" s="21">
        <v>1000000</v>
      </c>
      <c r="O209" s="62">
        <v>0</v>
      </c>
      <c r="P209" s="20">
        <v>0.19719999999999999</v>
      </c>
      <c r="Q209" s="20">
        <v>0.19719999999999999</v>
      </c>
      <c r="R209" s="77">
        <f>((K209-D209)/D209)</f>
        <v>4.7531985462806068E-3</v>
      </c>
      <c r="S209" s="77">
        <f>((N209-G209)/G209)</f>
        <v>0</v>
      </c>
      <c r="T209" s="77" t="e">
        <f>((O209-H209)/H209)</f>
        <v>#DIV/0!</v>
      </c>
      <c r="U209" s="77">
        <f>P209-I209</f>
        <v>0</v>
      </c>
      <c r="V209" s="79">
        <f>Q209-J209</f>
        <v>0</v>
      </c>
    </row>
    <row r="210" spans="1:22">
      <c r="A210" s="38"/>
      <c r="B210" s="38"/>
      <c r="C210" s="65" t="s">
        <v>200</v>
      </c>
      <c r="D210" s="70">
        <f>SUM(D208:D209)</f>
        <v>110494908732.71001</v>
      </c>
      <c r="E210" s="24"/>
      <c r="F210" s="22"/>
      <c r="G210" s="22"/>
      <c r="H210" s="70">
        <f>SUM(H208:H209)</f>
        <v>0</v>
      </c>
      <c r="I210" s="23"/>
      <c r="J210" s="23"/>
      <c r="K210" s="70">
        <f>SUM(K208:K209)</f>
        <v>110529698360.14</v>
      </c>
      <c r="L210" s="24"/>
      <c r="M210" s="22"/>
      <c r="N210" s="22"/>
      <c r="O210" s="23"/>
      <c r="P210" s="23"/>
      <c r="Q210" s="70"/>
      <c r="R210" s="25">
        <f>((K210-D210)/D210)</f>
        <v>3.1485276406852076E-4</v>
      </c>
      <c r="S210" s="26"/>
      <c r="T210" s="26"/>
      <c r="U210" s="25"/>
      <c r="V210" s="83"/>
    </row>
    <row r="211" spans="1:22" ht="8.25" customHeight="1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</row>
    <row r="212" spans="1:22" ht="15.75">
      <c r="A212" s="168" t="s">
        <v>201</v>
      </c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</row>
    <row r="213" spans="1:22">
      <c r="A213" s="161">
        <v>1</v>
      </c>
      <c r="B213" s="131" t="s">
        <v>202</v>
      </c>
      <c r="C213" s="132" t="s">
        <v>73</v>
      </c>
      <c r="D213" s="27">
        <v>930630494.49764609</v>
      </c>
      <c r="E213" s="10">
        <f t="shared" ref="E213:E224" si="92">(D213/$D$225)</f>
        <v>7.6480077638071381E-2</v>
      </c>
      <c r="F213" s="21">
        <v>215.75</v>
      </c>
      <c r="G213" s="21">
        <v>220.64</v>
      </c>
      <c r="H213" s="61">
        <v>61</v>
      </c>
      <c r="I213" s="28">
        <v>-1.7695391924160697E-3</v>
      </c>
      <c r="J213" s="28">
        <v>0.23250000000000001</v>
      </c>
      <c r="K213" s="27">
        <v>930630494.49764609</v>
      </c>
      <c r="L213" s="10">
        <f t="shared" ref="L213:L224" si="93">(K213/$K$225)</f>
        <v>7.5362139667153522E-2</v>
      </c>
      <c r="M213" s="21">
        <v>218.42</v>
      </c>
      <c r="N213" s="21">
        <v>223.41</v>
      </c>
      <c r="O213" s="61">
        <v>61</v>
      </c>
      <c r="P213" s="28">
        <v>1.2375434530706775E-2</v>
      </c>
      <c r="Q213" s="28">
        <v>0.2477</v>
      </c>
      <c r="R213" s="77">
        <f>((K213-D213)/D213)</f>
        <v>0</v>
      </c>
      <c r="S213" s="77">
        <f>((N213-G213)/G213)</f>
        <v>1.25543872371284E-2</v>
      </c>
      <c r="T213" s="77">
        <f>((O213-H213)/H213)</f>
        <v>0</v>
      </c>
      <c r="U213" s="77">
        <f>P213-I213</f>
        <v>1.4144973723122845E-2</v>
      </c>
      <c r="V213" s="79">
        <f>Q213-J213</f>
        <v>1.5199999999999991E-2</v>
      </c>
    </row>
    <row r="214" spans="1:22">
      <c r="A214" s="158">
        <v>2</v>
      </c>
      <c r="B214" s="131" t="s">
        <v>203</v>
      </c>
      <c r="C214" s="132" t="s">
        <v>182</v>
      </c>
      <c r="D214" s="27">
        <v>1017407541.67</v>
      </c>
      <c r="E214" s="10">
        <f t="shared" si="92"/>
        <v>8.3611495901478594E-2</v>
      </c>
      <c r="F214" s="21">
        <v>28.94</v>
      </c>
      <c r="G214" s="21">
        <v>31.98</v>
      </c>
      <c r="H214" s="61">
        <v>212</v>
      </c>
      <c r="I214" s="28">
        <v>3.6700000000000003E-2</v>
      </c>
      <c r="J214" s="28">
        <v>0.35010000000000002</v>
      </c>
      <c r="K214" s="27">
        <v>1027238662.58</v>
      </c>
      <c r="L214" s="10">
        <f t="shared" si="93"/>
        <v>8.3185436130203835E-2</v>
      </c>
      <c r="M214" s="21">
        <v>29.22</v>
      </c>
      <c r="N214" s="21">
        <v>32.29</v>
      </c>
      <c r="O214" s="61">
        <v>212</v>
      </c>
      <c r="P214" s="28">
        <v>9.7000000000000003E-3</v>
      </c>
      <c r="Q214" s="28">
        <v>0.36309999999999998</v>
      </c>
      <c r="R214" s="77">
        <f t="shared" ref="R214:R225" si="94">((K214-D214)/D214)</f>
        <v>9.6629133433225999E-3</v>
      </c>
      <c r="S214" s="77">
        <f t="shared" ref="S214:S225" si="95">((N214-G214)/G214)</f>
        <v>9.6935584740462395E-3</v>
      </c>
      <c r="T214" s="77">
        <f t="shared" ref="T214:T225" si="96">((O214-H214)/H214)</f>
        <v>0</v>
      </c>
      <c r="U214" s="77">
        <f t="shared" ref="U214:U225" si="97">P214-I214</f>
        <v>-2.7000000000000003E-2</v>
      </c>
      <c r="V214" s="79">
        <f t="shared" ref="V214:V225" si="98">Q214-J214</f>
        <v>1.2999999999999956E-2</v>
      </c>
    </row>
    <row r="215" spans="1:22">
      <c r="A215" s="162">
        <v>3</v>
      </c>
      <c r="B215" s="131" t="s">
        <v>204</v>
      </c>
      <c r="C215" s="132" t="s">
        <v>35</v>
      </c>
      <c r="D215" s="27">
        <v>282994753.81999999</v>
      </c>
      <c r="E215" s="10">
        <f t="shared" si="92"/>
        <v>2.325677148050433E-2</v>
      </c>
      <c r="F215" s="21">
        <v>21.259927999999999</v>
      </c>
      <c r="G215" s="21">
        <v>21.440719999999999</v>
      </c>
      <c r="H215" s="61">
        <v>164</v>
      </c>
      <c r="I215" s="28">
        <v>-5.4502232259497463E-2</v>
      </c>
      <c r="J215" s="28">
        <v>-9.8500000000000004E-2</v>
      </c>
      <c r="K215" s="27">
        <v>285160464.49000001</v>
      </c>
      <c r="L215" s="10">
        <f t="shared" si="93"/>
        <v>2.3092197042228032E-2</v>
      </c>
      <c r="M215" s="21">
        <v>21.490455999999998</v>
      </c>
      <c r="N215" s="21">
        <v>21.680059</v>
      </c>
      <c r="O215" s="61">
        <v>164</v>
      </c>
      <c r="P215" s="28">
        <v>-5.4502232259497463E-2</v>
      </c>
      <c r="Q215" s="28">
        <v>-9.8500000000000004E-2</v>
      </c>
      <c r="R215" s="77">
        <f t="shared" si="94"/>
        <v>7.652829746015455E-3</v>
      </c>
      <c r="S215" s="77">
        <f t="shared" si="95"/>
        <v>1.1162824755885115E-2</v>
      </c>
      <c r="T215" s="77">
        <f t="shared" si="96"/>
        <v>0</v>
      </c>
      <c r="U215" s="77">
        <f t="shared" si="97"/>
        <v>0</v>
      </c>
      <c r="V215" s="79">
        <f t="shared" si="98"/>
        <v>0</v>
      </c>
    </row>
    <row r="216" spans="1:22">
      <c r="A216" s="162">
        <v>4</v>
      </c>
      <c r="B216" s="131" t="s">
        <v>205</v>
      </c>
      <c r="C216" s="132" t="s">
        <v>35</v>
      </c>
      <c r="D216" s="27">
        <v>625183971.29000008</v>
      </c>
      <c r="E216" s="10">
        <f t="shared" si="92"/>
        <v>5.1378198914647684E-2</v>
      </c>
      <c r="F216" s="21">
        <v>47.442034999999997</v>
      </c>
      <c r="G216" s="21">
        <v>47.728355999999998</v>
      </c>
      <c r="H216" s="61">
        <v>198</v>
      </c>
      <c r="I216" s="28">
        <v>-5.3036812573749037E-3</v>
      </c>
      <c r="J216" s="28">
        <v>0.25625831078052896</v>
      </c>
      <c r="K216" s="27">
        <v>625569669.96000004</v>
      </c>
      <c r="L216" s="10">
        <f t="shared" si="93"/>
        <v>5.0658418263533379E-2</v>
      </c>
      <c r="M216" s="21">
        <v>47.442034999999997</v>
      </c>
      <c r="N216" s="21">
        <v>48.118473000000002</v>
      </c>
      <c r="O216" s="61">
        <v>198</v>
      </c>
      <c r="P216" s="28">
        <v>-5.3036812573749037E-3</v>
      </c>
      <c r="Q216" s="28">
        <v>0.25625831078052896</v>
      </c>
      <c r="R216" s="77">
        <f t="shared" si="94"/>
        <v>6.1693627430036194E-4</v>
      </c>
      <c r="S216" s="77">
        <f t="shared" si="95"/>
        <v>8.1736944804887812E-3</v>
      </c>
      <c r="T216" s="77">
        <f t="shared" si="96"/>
        <v>0</v>
      </c>
      <c r="U216" s="77">
        <f t="shared" si="97"/>
        <v>0</v>
      </c>
      <c r="V216" s="79">
        <f t="shared" si="98"/>
        <v>0</v>
      </c>
    </row>
    <row r="217" spans="1:22">
      <c r="A217" s="163">
        <v>5</v>
      </c>
      <c r="B217" s="131" t="s">
        <v>206</v>
      </c>
      <c r="C217" s="132" t="s">
        <v>207</v>
      </c>
      <c r="D217" s="27">
        <v>1261310083.4300001</v>
      </c>
      <c r="E217" s="10">
        <f t="shared" si="92"/>
        <v>0.10365563311836296</v>
      </c>
      <c r="F217" s="21">
        <v>34350</v>
      </c>
      <c r="G217" s="21">
        <v>39950</v>
      </c>
      <c r="H217" s="61">
        <v>225</v>
      </c>
      <c r="I217" s="28">
        <v>0.01</v>
      </c>
      <c r="J217" s="28">
        <v>1.1599999999999999</v>
      </c>
      <c r="K217" s="27">
        <v>1327097837.6700001</v>
      </c>
      <c r="L217" s="10">
        <f t="shared" si="93"/>
        <v>0.10746792973773217</v>
      </c>
      <c r="M217" s="21">
        <v>35680</v>
      </c>
      <c r="N217" s="21">
        <v>41450</v>
      </c>
      <c r="O217" s="61">
        <v>225</v>
      </c>
      <c r="P217" s="28">
        <v>0.05</v>
      </c>
      <c r="Q217" s="28">
        <v>1.27</v>
      </c>
      <c r="R217" s="77">
        <f t="shared" si="94"/>
        <v>5.215827186689663E-2</v>
      </c>
      <c r="S217" s="77">
        <f t="shared" si="95"/>
        <v>3.7546933667083858E-2</v>
      </c>
      <c r="T217" s="77">
        <f t="shared" si="96"/>
        <v>0</v>
      </c>
      <c r="U217" s="77">
        <f t="shared" si="97"/>
        <v>0.04</v>
      </c>
      <c r="V217" s="79">
        <f t="shared" si="98"/>
        <v>0.1100000000000001</v>
      </c>
    </row>
    <row r="218" spans="1:22">
      <c r="A218" s="165">
        <v>6</v>
      </c>
      <c r="B218" s="131" t="s">
        <v>208</v>
      </c>
      <c r="C218" s="132" t="s">
        <v>209</v>
      </c>
      <c r="D218" s="27">
        <v>1055498109.63</v>
      </c>
      <c r="E218" s="10">
        <f t="shared" si="92"/>
        <v>8.6741814123461602E-2</v>
      </c>
      <c r="F218" s="21">
        <v>1056</v>
      </c>
      <c r="G218" s="21">
        <v>1056</v>
      </c>
      <c r="H218" s="61">
        <v>126</v>
      </c>
      <c r="I218" s="28">
        <v>-4.4000000000000003E-3</v>
      </c>
      <c r="J218" s="28">
        <v>0.12180000000000001</v>
      </c>
      <c r="K218" s="27">
        <v>1057905273.5700001</v>
      </c>
      <c r="L218" s="10">
        <f t="shared" si="93"/>
        <v>8.56688078166154E-2</v>
      </c>
      <c r="M218" s="21">
        <v>950.4</v>
      </c>
      <c r="N218" s="21">
        <v>950.4</v>
      </c>
      <c r="O218" s="61">
        <v>126</v>
      </c>
      <c r="P218" s="28">
        <v>2.6100000000000002E-2</v>
      </c>
      <c r="Q218" s="28">
        <v>0.15040000000000001</v>
      </c>
      <c r="R218" s="77">
        <f t="shared" si="94"/>
        <v>2.2805952166450373E-3</v>
      </c>
      <c r="S218" s="77">
        <f t="shared" si="95"/>
        <v>-0.10000000000000002</v>
      </c>
      <c r="T218" s="77">
        <f t="shared" si="96"/>
        <v>0</v>
      </c>
      <c r="U218" s="77">
        <f t="shared" si="97"/>
        <v>3.0500000000000003E-2</v>
      </c>
      <c r="V218" s="79">
        <f t="shared" si="98"/>
        <v>2.86E-2</v>
      </c>
    </row>
    <row r="219" spans="1:22">
      <c r="A219" s="165">
        <v>7</v>
      </c>
      <c r="B219" s="131" t="s">
        <v>210</v>
      </c>
      <c r="C219" s="132" t="s">
        <v>209</v>
      </c>
      <c r="D219" s="27">
        <v>859405707.51999998</v>
      </c>
      <c r="E219" s="10">
        <f t="shared" si="92"/>
        <v>7.0626758549547516E-2</v>
      </c>
      <c r="F219" s="21">
        <v>495</v>
      </c>
      <c r="G219" s="21">
        <v>495</v>
      </c>
      <c r="H219" s="61">
        <v>572</v>
      </c>
      <c r="I219" s="28">
        <v>-2.7000000000000001E-3</v>
      </c>
      <c r="J219" s="28">
        <v>0.28720000000000001</v>
      </c>
      <c r="K219" s="27">
        <v>865362296.07000005</v>
      </c>
      <c r="L219" s="10">
        <f t="shared" si="93"/>
        <v>7.0076743245254744E-2</v>
      </c>
      <c r="M219" s="21">
        <v>484.9</v>
      </c>
      <c r="N219" s="21">
        <v>484.9</v>
      </c>
      <c r="O219" s="61">
        <v>572</v>
      </c>
      <c r="P219" s="28">
        <v>6.8999999999999999E-3</v>
      </c>
      <c r="Q219" s="28">
        <v>0.29609999999999997</v>
      </c>
      <c r="R219" s="77">
        <f t="shared" si="94"/>
        <v>6.9310553768476696E-3</v>
      </c>
      <c r="S219" s="77">
        <f t="shared" si="95"/>
        <v>-2.0404040404040449E-2</v>
      </c>
      <c r="T219" s="77">
        <f t="shared" si="96"/>
        <v>0</v>
      </c>
      <c r="U219" s="77">
        <f t="shared" si="97"/>
        <v>9.6000000000000009E-3</v>
      </c>
      <c r="V219" s="79">
        <f t="shared" si="98"/>
        <v>8.8999999999999635E-3</v>
      </c>
    </row>
    <row r="220" spans="1:22">
      <c r="A220" s="157">
        <v>8</v>
      </c>
      <c r="B220" s="131" t="s">
        <v>211</v>
      </c>
      <c r="C220" s="132" t="s">
        <v>212</v>
      </c>
      <c r="D220" s="27">
        <v>50564763.740000002</v>
      </c>
      <c r="E220" s="10">
        <f t="shared" si="92"/>
        <v>4.1554592069040766E-3</v>
      </c>
      <c r="F220" s="21">
        <v>15.51</v>
      </c>
      <c r="G220" s="21">
        <v>15.61</v>
      </c>
      <c r="H220" s="61">
        <v>61</v>
      </c>
      <c r="I220" s="28">
        <v>0</v>
      </c>
      <c r="J220" s="28">
        <v>0.43230000000000002</v>
      </c>
      <c r="K220" s="27">
        <v>50562158.710000001</v>
      </c>
      <c r="L220" s="10">
        <f t="shared" si="93"/>
        <v>4.0945063471541348E-3</v>
      </c>
      <c r="M220" s="21">
        <v>15.74</v>
      </c>
      <c r="N220" s="21">
        <v>15.84</v>
      </c>
      <c r="O220" s="61">
        <v>61</v>
      </c>
      <c r="P220" s="28">
        <v>0</v>
      </c>
      <c r="Q220" s="28">
        <v>0.43230000000000002</v>
      </c>
      <c r="R220" s="77">
        <f t="shared" si="94"/>
        <v>-5.1518682325819805E-5</v>
      </c>
      <c r="S220" s="77">
        <f t="shared" si="95"/>
        <v>1.4734144778987856E-2</v>
      </c>
      <c r="T220" s="77">
        <f t="shared" si="96"/>
        <v>0</v>
      </c>
      <c r="U220" s="77">
        <f t="shared" si="97"/>
        <v>0</v>
      </c>
      <c r="V220" s="79">
        <f t="shared" si="98"/>
        <v>0</v>
      </c>
    </row>
    <row r="221" spans="1:22">
      <c r="A221" s="157">
        <v>9</v>
      </c>
      <c r="B221" s="131" t="s">
        <v>213</v>
      </c>
      <c r="C221" s="132" t="s">
        <v>212</v>
      </c>
      <c r="D221" s="29">
        <v>534405445.52999997</v>
      </c>
      <c r="E221" s="10">
        <f t="shared" si="92"/>
        <v>4.3917935427642385E-2</v>
      </c>
      <c r="F221" s="21">
        <v>8.51</v>
      </c>
      <c r="G221" s="21">
        <v>8.61</v>
      </c>
      <c r="H221" s="61">
        <v>102</v>
      </c>
      <c r="I221" s="28">
        <v>0</v>
      </c>
      <c r="J221" s="28">
        <v>-3.1699999999999999E-2</v>
      </c>
      <c r="K221" s="29">
        <v>560480919.58000004</v>
      </c>
      <c r="L221" s="10">
        <f t="shared" si="93"/>
        <v>4.5387553483257841E-2</v>
      </c>
      <c r="M221" s="21">
        <v>8.9499999999999993</v>
      </c>
      <c r="N221" s="21">
        <v>9.0500000000000007</v>
      </c>
      <c r="O221" s="61">
        <v>102</v>
      </c>
      <c r="P221" s="28">
        <v>4.0899999999999999E-2</v>
      </c>
      <c r="Q221" s="28">
        <v>7.9000000000000008E-3</v>
      </c>
      <c r="R221" s="77">
        <f t="shared" si="94"/>
        <v>4.8793428787275092E-2</v>
      </c>
      <c r="S221" s="77">
        <f t="shared" si="95"/>
        <v>5.1103368176539057E-2</v>
      </c>
      <c r="T221" s="77">
        <f t="shared" si="96"/>
        <v>0</v>
      </c>
      <c r="U221" s="77">
        <f t="shared" si="97"/>
        <v>4.0899999999999999E-2</v>
      </c>
      <c r="V221" s="79">
        <f t="shared" si="98"/>
        <v>3.9599999999999996E-2</v>
      </c>
    </row>
    <row r="222" spans="1:22" ht="15" customHeight="1">
      <c r="A222" s="157">
        <v>10</v>
      </c>
      <c r="B222" s="131" t="s">
        <v>214</v>
      </c>
      <c r="C222" s="132" t="s">
        <v>212</v>
      </c>
      <c r="D222" s="27">
        <v>442405140.87</v>
      </c>
      <c r="E222" s="10">
        <f t="shared" si="92"/>
        <v>3.6357265016856898E-2</v>
      </c>
      <c r="F222" s="21">
        <v>124.57</v>
      </c>
      <c r="G222" s="21">
        <v>126.67</v>
      </c>
      <c r="H222" s="61">
        <v>266</v>
      </c>
      <c r="I222" s="28">
        <v>0</v>
      </c>
      <c r="J222" s="28">
        <v>0.37159999999999999</v>
      </c>
      <c r="K222" s="27">
        <v>443417848.45999998</v>
      </c>
      <c r="L222" s="10">
        <f t="shared" si="93"/>
        <v>3.5907825956841943E-2</v>
      </c>
      <c r="M222" s="21">
        <v>124.96</v>
      </c>
      <c r="N222" s="21">
        <v>126.96</v>
      </c>
      <c r="O222" s="61">
        <v>266</v>
      </c>
      <c r="P222" s="28">
        <v>0</v>
      </c>
      <c r="Q222" s="28">
        <v>0.37159999999999999</v>
      </c>
      <c r="R222" s="77">
        <f t="shared" si="94"/>
        <v>2.2890954386480698E-3</v>
      </c>
      <c r="S222" s="77">
        <f t="shared" si="95"/>
        <v>2.2894134364884505E-3</v>
      </c>
      <c r="T222" s="77">
        <f t="shared" si="96"/>
        <v>0</v>
      </c>
      <c r="U222" s="77">
        <f t="shared" si="97"/>
        <v>0</v>
      </c>
      <c r="V222" s="79">
        <f t="shared" si="98"/>
        <v>0</v>
      </c>
    </row>
    <row r="223" spans="1:22">
      <c r="A223" s="157">
        <v>11</v>
      </c>
      <c r="B223" s="131" t="s">
        <v>215</v>
      </c>
      <c r="C223" s="132" t="s">
        <v>212</v>
      </c>
      <c r="D223" s="27">
        <v>5042825356.5900002</v>
      </c>
      <c r="E223" s="10">
        <f t="shared" si="92"/>
        <v>0.4144240674118741</v>
      </c>
      <c r="F223" s="21">
        <v>36.04</v>
      </c>
      <c r="G223" s="21">
        <v>36.24</v>
      </c>
      <c r="H223" s="61">
        <v>282</v>
      </c>
      <c r="I223" s="28">
        <v>5.5999999999999999E-3</v>
      </c>
      <c r="J223" s="28">
        <v>0.32590000000000002</v>
      </c>
      <c r="K223" s="27">
        <v>5109719273.9099998</v>
      </c>
      <c r="L223" s="10">
        <f t="shared" si="93"/>
        <v>0.41378332201355311</v>
      </c>
      <c r="M223" s="21">
        <v>36.33</v>
      </c>
      <c r="N223" s="21">
        <v>36.53</v>
      </c>
      <c r="O223" s="61">
        <v>282</v>
      </c>
      <c r="P223" s="28">
        <v>-1.4E-3</v>
      </c>
      <c r="Q223" s="28">
        <v>0.3241</v>
      </c>
      <c r="R223" s="77">
        <f t="shared" si="94"/>
        <v>1.3265166368012775E-2</v>
      </c>
      <c r="S223" s="77">
        <f t="shared" si="95"/>
        <v>8.0022075055187405E-3</v>
      </c>
      <c r="T223" s="77">
        <f t="shared" si="96"/>
        <v>0</v>
      </c>
      <c r="U223" s="77">
        <f t="shared" si="97"/>
        <v>-7.0000000000000001E-3</v>
      </c>
      <c r="V223" s="79">
        <f t="shared" si="98"/>
        <v>-1.8000000000000238E-3</v>
      </c>
    </row>
    <row r="224" spans="1:22">
      <c r="A224" s="157">
        <v>12</v>
      </c>
      <c r="B224" s="131" t="s">
        <v>216</v>
      </c>
      <c r="C224" s="132" t="s">
        <v>212</v>
      </c>
      <c r="D224" s="29">
        <v>65642033.299999997</v>
      </c>
      <c r="E224" s="10">
        <f t="shared" si="92"/>
        <v>5.3945232106485256E-3</v>
      </c>
      <c r="F224" s="21">
        <v>38.380000000000003</v>
      </c>
      <c r="G224" s="21">
        <v>38.58</v>
      </c>
      <c r="H224" s="61">
        <v>58</v>
      </c>
      <c r="I224" s="28">
        <v>0</v>
      </c>
      <c r="J224" s="28">
        <v>0.81130000000000002</v>
      </c>
      <c r="K224" s="29">
        <v>65635252.020000003</v>
      </c>
      <c r="L224" s="10">
        <f t="shared" si="93"/>
        <v>5.3151202964718362E-3</v>
      </c>
      <c r="M224" s="21">
        <v>38.450000000000003</v>
      </c>
      <c r="N224" s="21">
        <v>38.65</v>
      </c>
      <c r="O224" s="61">
        <v>58</v>
      </c>
      <c r="P224" s="28">
        <v>0</v>
      </c>
      <c r="Q224" s="28">
        <v>0.81130000000000002</v>
      </c>
      <c r="R224" s="77">
        <f t="shared" si="94"/>
        <v>-1.0330697662885684E-4</v>
      </c>
      <c r="S224" s="77">
        <f t="shared" si="95"/>
        <v>1.8144116122343257E-3</v>
      </c>
      <c r="T224" s="77">
        <f t="shared" si="96"/>
        <v>0</v>
      </c>
      <c r="U224" s="77">
        <f t="shared" si="97"/>
        <v>0</v>
      </c>
      <c r="V224" s="79">
        <f t="shared" si="98"/>
        <v>0</v>
      </c>
    </row>
    <row r="225" spans="1:22">
      <c r="A225" s="127"/>
      <c r="B225" s="127"/>
      <c r="C225" s="128" t="s">
        <v>217</v>
      </c>
      <c r="D225" s="70">
        <f>SUM(D213:D224)</f>
        <v>12168273401.887646</v>
      </c>
      <c r="E225" s="24"/>
      <c r="F225" s="24"/>
      <c r="G225" s="22"/>
      <c r="H225" s="70">
        <f>SUM(H213:H224)</f>
        <v>2327</v>
      </c>
      <c r="I225" s="23"/>
      <c r="J225" s="23"/>
      <c r="K225" s="70">
        <f>SUM(K213:K224)</f>
        <v>12348780151.517647</v>
      </c>
      <c r="L225" s="24"/>
      <c r="M225" s="24"/>
      <c r="N225" s="22"/>
      <c r="O225" s="70">
        <f>SUM(O213:O224)</f>
        <v>2327</v>
      </c>
      <c r="P225" s="23"/>
      <c r="Q225" s="23"/>
      <c r="R225" s="77">
        <f t="shared" si="94"/>
        <v>1.4834212190038344E-2</v>
      </c>
      <c r="S225" s="77" t="e">
        <f t="shared" si="95"/>
        <v>#DIV/0!</v>
      </c>
      <c r="T225" s="77">
        <f t="shared" si="96"/>
        <v>0</v>
      </c>
      <c r="U225" s="77">
        <f t="shared" si="97"/>
        <v>0</v>
      </c>
      <c r="V225" s="79">
        <f t="shared" si="98"/>
        <v>0</v>
      </c>
    </row>
    <row r="226" spans="1:22">
      <c r="A226" s="84"/>
      <c r="B226" s="84"/>
      <c r="C226" s="85" t="s">
        <v>218</v>
      </c>
      <c r="D226" s="86">
        <f>SUM(D205,D210,D225)</f>
        <v>3523416043457.1968</v>
      </c>
      <c r="E226" s="87"/>
      <c r="F226" s="87"/>
      <c r="G226" s="88"/>
      <c r="H226" s="86">
        <f>SUM(H205,H210,H225)</f>
        <v>770635</v>
      </c>
      <c r="I226" s="89"/>
      <c r="J226" s="89"/>
      <c r="K226" s="86">
        <f>SUM(K205,K210,K225)</f>
        <v>3575688711973.8921</v>
      </c>
      <c r="L226" s="87"/>
      <c r="M226" s="87"/>
      <c r="N226" s="88"/>
      <c r="O226" s="86">
        <f>SUM(O205,O210,O225)</f>
        <v>765058</v>
      </c>
      <c r="P226" s="90"/>
      <c r="Q226" s="86"/>
      <c r="R226" s="91"/>
      <c r="S226" s="92"/>
      <c r="T226" s="92"/>
      <c r="U226" s="93"/>
      <c r="V226" s="93"/>
    </row>
    <row r="227" spans="1:22">
      <c r="A227" s="105" t="s">
        <v>247</v>
      </c>
      <c r="B227" s="106" t="s">
        <v>292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</row>
    <row r="229" spans="1:22">
      <c r="B229" s="109"/>
      <c r="C229" s="109"/>
      <c r="D229" s="108"/>
      <c r="K229" s="108"/>
    </row>
    <row r="230" spans="1:22">
      <c r="B230" s="121"/>
      <c r="C230" s="122"/>
      <c r="D230" s="123"/>
      <c r="F230" s="124"/>
      <c r="G230" s="124"/>
      <c r="I230" s="125"/>
      <c r="J230" s="126"/>
    </row>
    <row r="233" spans="1:22">
      <c r="B233" s="109"/>
    </row>
  </sheetData>
  <sheetProtection password="CA3B" sheet="1" objects="1" scenarios="1"/>
  <mergeCells count="33"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  <mergeCell ref="A183:V183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6:V176"/>
    <mergeCell ref="A177:V177"/>
    <mergeCell ref="A182:V182"/>
    <mergeCell ref="A211:V211"/>
    <mergeCell ref="A212:V212"/>
    <mergeCell ref="A184:V184"/>
    <mergeCell ref="A187:V187"/>
    <mergeCell ref="A188:V188"/>
    <mergeCell ref="A206:U206"/>
    <mergeCell ref="A207:V207"/>
    <mergeCell ref="A202:V202"/>
    <mergeCell ref="A201:V201"/>
  </mergeCells>
  <pageMargins left="0.7" right="0.7" top="0.75" bottom="0.75" header="0.3" footer="0.3"/>
  <pageSetup paperSize="9" orientation="portrait" horizontalDpi="300" verticalDpi="300" r:id="rId1"/>
  <ignoredErrors>
    <ignoredError sqref="L87 E87 E69 L44 E44" formula="1"/>
    <ignoredError sqref="S143 S23 T35 S62 S101 S135 T153 S175 S181 S204 S225 T208:T2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5" sqref="G5"/>
    </sheetView>
  </sheetViews>
  <sheetFormatPr defaultRowHeight="15"/>
  <cols>
    <col min="1" max="1" width="34" customWidth="1"/>
    <col min="2" max="2" width="16.85546875" customWidth="1"/>
    <col min="3" max="3" width="17.42578125" customWidth="1"/>
  </cols>
  <sheetData>
    <row r="1" spans="1:5">
      <c r="A1" s="97"/>
      <c r="B1" s="97"/>
      <c r="C1" s="97"/>
      <c r="D1" s="97"/>
    </row>
    <row r="2" spans="1:5" ht="49.5">
      <c r="A2" s="139" t="s">
        <v>219</v>
      </c>
      <c r="B2" s="145" t="s">
        <v>290</v>
      </c>
      <c r="C2" s="145" t="s">
        <v>293</v>
      </c>
      <c r="D2" s="95"/>
    </row>
    <row r="3" spans="1:5" ht="16.5">
      <c r="A3" s="146" t="s">
        <v>14</v>
      </c>
      <c r="B3" s="142">
        <f t="shared" ref="B3:C10" si="0">B13</f>
        <v>27.785128483915297</v>
      </c>
      <c r="C3" s="142">
        <f t="shared" si="0"/>
        <v>27.732432482203997</v>
      </c>
      <c r="D3" s="95"/>
    </row>
    <row r="4" spans="1:5" ht="17.25" customHeight="1">
      <c r="A4" s="141" t="s">
        <v>46</v>
      </c>
      <c r="B4" s="144">
        <f t="shared" si="0"/>
        <v>1307.6229551246593</v>
      </c>
      <c r="C4" s="144">
        <f t="shared" si="0"/>
        <v>1334.2851216017298</v>
      </c>
      <c r="D4" s="95"/>
    </row>
    <row r="5" spans="1:5" ht="19.5" customHeight="1">
      <c r="A5" s="141" t="s">
        <v>220</v>
      </c>
      <c r="B5" s="142">
        <f t="shared" si="0"/>
        <v>218.5205205612252</v>
      </c>
      <c r="C5" s="142">
        <f t="shared" si="0"/>
        <v>218.02772577340812</v>
      </c>
      <c r="D5" s="95"/>
    </row>
    <row r="6" spans="1:5" ht="16.5">
      <c r="A6" s="141" t="s">
        <v>127</v>
      </c>
      <c r="B6" s="144">
        <f t="shared" si="0"/>
        <v>1642.4826183090815</v>
      </c>
      <c r="C6" s="144">
        <f t="shared" si="0"/>
        <v>1668.2302494912401</v>
      </c>
      <c r="D6" s="95"/>
    </row>
    <row r="7" spans="1:5" ht="16.5">
      <c r="A7" s="141" t="s">
        <v>221</v>
      </c>
      <c r="B7" s="142">
        <f t="shared" si="0"/>
        <v>97.137104575276979</v>
      </c>
      <c r="C7" s="142">
        <f t="shared" si="0"/>
        <v>97.204373692430323</v>
      </c>
      <c r="D7" s="95"/>
    </row>
    <row r="8" spans="1:5" ht="16.5">
      <c r="A8" s="141" t="s">
        <v>151</v>
      </c>
      <c r="B8" s="143">
        <f t="shared" si="0"/>
        <v>50.358393707296287</v>
      </c>
      <c r="C8" s="143">
        <f t="shared" si="0"/>
        <v>50.669138356323991</v>
      </c>
      <c r="D8" s="95"/>
    </row>
    <row r="9" spans="1:5" ht="16.5">
      <c r="A9" s="141" t="s">
        <v>175</v>
      </c>
      <c r="B9" s="142">
        <f t="shared" si="0"/>
        <v>5.2914806109799999</v>
      </c>
      <c r="C9" s="142">
        <f t="shared" si="0"/>
        <v>5.3331586472600003</v>
      </c>
      <c r="D9" s="95"/>
    </row>
    <row r="10" spans="1:5" ht="16.5">
      <c r="A10" s="141" t="s">
        <v>222</v>
      </c>
      <c r="B10" s="142">
        <f t="shared" si="0"/>
        <v>51.554659950165174</v>
      </c>
      <c r="C10" s="142">
        <f t="shared" si="0"/>
        <v>51.328033417638181</v>
      </c>
      <c r="D10" s="95"/>
    </row>
    <row r="11" spans="1:5" ht="16.5">
      <c r="A11" s="147"/>
      <c r="B11" s="148"/>
      <c r="C11" s="148"/>
      <c r="D11" s="95"/>
    </row>
    <row r="12" spans="1:5">
      <c r="A12" s="95"/>
      <c r="B12" s="95"/>
      <c r="C12" s="95"/>
      <c r="D12" s="95"/>
    </row>
    <row r="13" spans="1:5">
      <c r="A13" s="149" t="s">
        <v>14</v>
      </c>
      <c r="B13" s="150">
        <f>'Weekly Valuation'!D23/1000000000</f>
        <v>27.785128483915297</v>
      </c>
      <c r="C13" s="151">
        <f>'Weekly Valuation'!K23/1000000000</f>
        <v>27.732432482203997</v>
      </c>
      <c r="D13" s="95"/>
      <c r="E13" s="97"/>
    </row>
    <row r="14" spans="1:5">
      <c r="A14" s="152" t="s">
        <v>46</v>
      </c>
      <c r="B14" s="150">
        <f>'Weekly Valuation'!D62/1000000000</f>
        <v>1307.6229551246593</v>
      </c>
      <c r="C14" s="153">
        <f>'Weekly Valuation'!K62/1000000000</f>
        <v>1334.2851216017298</v>
      </c>
      <c r="D14" s="95"/>
      <c r="E14" s="97"/>
    </row>
    <row r="15" spans="1:5">
      <c r="A15" s="152" t="s">
        <v>220</v>
      </c>
      <c r="B15" s="150">
        <f>'Weekly Valuation'!D101/1000000000</f>
        <v>218.5205205612252</v>
      </c>
      <c r="C15" s="151">
        <f>'Weekly Valuation'!K101/1000000000</f>
        <v>218.02772577340812</v>
      </c>
      <c r="D15" s="95"/>
      <c r="E15" s="97"/>
    </row>
    <row r="16" spans="1:5">
      <c r="A16" s="152" t="s">
        <v>127</v>
      </c>
      <c r="B16" s="150">
        <f>'Weekly Valuation'!D135/1000000000</f>
        <v>1642.4826183090815</v>
      </c>
      <c r="C16" s="153">
        <f>'Weekly Valuation'!K135/1000000000</f>
        <v>1668.2302494912401</v>
      </c>
      <c r="D16" s="95"/>
      <c r="E16" s="97"/>
    </row>
    <row r="17" spans="1:5">
      <c r="A17" s="152" t="s">
        <v>221</v>
      </c>
      <c r="B17" s="150">
        <f>'Weekly Valuation'!D143/1000000000</f>
        <v>97.137104575276979</v>
      </c>
      <c r="C17" s="151">
        <f>'Weekly Valuation'!K143/1000000000</f>
        <v>97.204373692430323</v>
      </c>
      <c r="D17" s="95"/>
      <c r="E17" s="97"/>
    </row>
    <row r="18" spans="1:5">
      <c r="A18" s="152" t="s">
        <v>151</v>
      </c>
      <c r="B18" s="150">
        <f>'Weekly Valuation'!D175/1000000000</f>
        <v>50.358393707296287</v>
      </c>
      <c r="C18" s="154">
        <f>'Weekly Valuation'!K175/1000000000</f>
        <v>50.669138356323991</v>
      </c>
      <c r="D18" s="95"/>
      <c r="E18" s="97"/>
    </row>
    <row r="19" spans="1:5">
      <c r="A19" s="152" t="s">
        <v>175</v>
      </c>
      <c r="B19" s="150">
        <f>'Weekly Valuation'!D181/1000000000</f>
        <v>5.2914806109799999</v>
      </c>
      <c r="C19" s="151">
        <f>'Weekly Valuation'!K181/1000000000</f>
        <v>5.3331586472600003</v>
      </c>
      <c r="D19" s="95"/>
      <c r="E19" s="97"/>
    </row>
    <row r="20" spans="1:5">
      <c r="A20" s="152" t="s">
        <v>222</v>
      </c>
      <c r="B20" s="150">
        <f>'Weekly Valuation'!D204/1000000000</f>
        <v>51.554659950165174</v>
      </c>
      <c r="C20" s="151">
        <f>'Weekly Valuation'!K204/1000000000</f>
        <v>51.328033417638181</v>
      </c>
      <c r="D20" s="95"/>
      <c r="E20" s="97"/>
    </row>
    <row r="21" spans="1:5" ht="16.5">
      <c r="A21" s="147"/>
      <c r="B21" s="95"/>
      <c r="C21" s="155"/>
      <c r="D21" s="95"/>
      <c r="E21" s="97"/>
    </row>
    <row r="22" spans="1:5" ht="16.5">
      <c r="A22" s="147"/>
      <c r="B22" s="95"/>
      <c r="C22" s="148"/>
      <c r="D22" s="95"/>
      <c r="E22" s="97"/>
    </row>
    <row r="23" spans="1:5" ht="16.5">
      <c r="A23" s="111"/>
      <c r="B23" s="102"/>
      <c r="C23" s="138"/>
      <c r="D23" s="97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7" sqref="I7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39" t="s">
        <v>219</v>
      </c>
      <c r="B1" s="140">
        <v>45548</v>
      </c>
      <c r="C1" s="95"/>
      <c r="D1" s="97"/>
    </row>
    <row r="2" spans="1:6" ht="16.5">
      <c r="A2" s="141" t="s">
        <v>175</v>
      </c>
      <c r="B2" s="142">
        <f>'Weekly Valuation'!K181</f>
        <v>5333158647.2600002</v>
      </c>
      <c r="C2" s="95"/>
      <c r="D2" s="97"/>
    </row>
    <row r="3" spans="1:6" ht="16.5">
      <c r="A3" s="141" t="s">
        <v>14</v>
      </c>
      <c r="B3" s="142">
        <f>'Weekly Valuation'!K23</f>
        <v>27732432482.203999</v>
      </c>
      <c r="C3" s="95"/>
      <c r="D3" s="97"/>
    </row>
    <row r="4" spans="1:6" ht="16.5">
      <c r="A4" s="141" t="s">
        <v>151</v>
      </c>
      <c r="B4" s="143">
        <f>'Weekly Valuation'!K175</f>
        <v>50669138356.32399</v>
      </c>
      <c r="C4" s="95"/>
      <c r="D4" s="97"/>
    </row>
    <row r="5" spans="1:6" ht="16.5">
      <c r="A5" s="141" t="s">
        <v>222</v>
      </c>
      <c r="B5" s="142">
        <f>'Weekly Valuation'!K204</f>
        <v>51328033417.638184</v>
      </c>
      <c r="C5" s="95"/>
      <c r="D5" s="97"/>
    </row>
    <row r="6" spans="1:6" ht="16.5">
      <c r="A6" s="141" t="s">
        <v>221</v>
      </c>
      <c r="B6" s="142">
        <f>'Weekly Valuation'!K143</f>
        <v>97204373692.430328</v>
      </c>
      <c r="C6" s="95"/>
      <c r="D6" s="97"/>
    </row>
    <row r="7" spans="1:6" ht="16.5">
      <c r="A7" s="141" t="s">
        <v>220</v>
      </c>
      <c r="B7" s="142">
        <f>'Weekly Valuation'!K101</f>
        <v>218027725773.40811</v>
      </c>
      <c r="C7" s="95"/>
      <c r="D7" s="97"/>
    </row>
    <row r="8" spans="1:6" ht="16.5">
      <c r="A8" s="141" t="s">
        <v>46</v>
      </c>
      <c r="B8" s="144">
        <f>'Weekly Valuation'!K62</f>
        <v>1334285121601.7297</v>
      </c>
      <c r="C8" s="95"/>
      <c r="D8" s="97"/>
    </row>
    <row r="9" spans="1:6" ht="16.5">
      <c r="A9" s="141" t="s">
        <v>127</v>
      </c>
      <c r="B9" s="144">
        <f>'Weekly Valuation'!K135</f>
        <v>1668230249491.24</v>
      </c>
      <c r="C9" s="95"/>
      <c r="D9" s="97"/>
      <c r="F9" t="s">
        <v>281</v>
      </c>
    </row>
    <row r="10" spans="1:6">
      <c r="A10" s="95"/>
      <c r="B10" s="95"/>
      <c r="C10" s="95"/>
      <c r="D10" s="97"/>
    </row>
    <row r="11" spans="1:6" ht="16.5">
      <c r="A11" s="111"/>
      <c r="B11" s="117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38"/>
      <c r="B15" s="138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</row>
    <row r="18" spans="1:17" ht="16.5">
      <c r="A18" s="114"/>
      <c r="B18" s="102"/>
      <c r="C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83" t="s">
        <v>294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03"/>
    </row>
    <row r="33" spans="1:17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E8" sqref="E8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230</v>
      </c>
      <c r="B2" s="134">
        <v>45499</v>
      </c>
      <c r="C2" s="134">
        <v>45506</v>
      </c>
      <c r="D2" s="134">
        <v>45513</v>
      </c>
      <c r="E2" s="134">
        <v>45520</v>
      </c>
      <c r="F2" s="134">
        <v>45527</v>
      </c>
      <c r="G2" s="134">
        <v>45534</v>
      </c>
      <c r="H2" s="134">
        <v>45541</v>
      </c>
      <c r="I2" s="134">
        <v>45548</v>
      </c>
      <c r="J2" s="95"/>
      <c r="K2" s="97"/>
      <c r="L2" s="97"/>
      <c r="M2" s="97"/>
    </row>
    <row r="3" spans="1:13">
      <c r="A3" s="133" t="s">
        <v>231</v>
      </c>
      <c r="B3" s="135">
        <f t="shared" ref="B3:I3" si="0">B4</f>
        <v>3212.3863205334346</v>
      </c>
      <c r="C3" s="135">
        <f t="shared" si="0"/>
        <v>3251.4108261292827</v>
      </c>
      <c r="D3" s="135">
        <f t="shared" si="0"/>
        <v>3244.6913921078954</v>
      </c>
      <c r="E3" s="135">
        <f t="shared" si="0"/>
        <v>3279.8332952209639</v>
      </c>
      <c r="F3" s="135">
        <f t="shared" si="0"/>
        <v>3320.1554533474555</v>
      </c>
      <c r="G3" s="135">
        <f t="shared" si="0"/>
        <v>3346.0742802577015</v>
      </c>
      <c r="H3" s="135">
        <f t="shared" si="0"/>
        <v>3400.7528613225991</v>
      </c>
      <c r="I3" s="135">
        <f t="shared" si="0"/>
        <v>3452.8102334622345</v>
      </c>
      <c r="J3" s="95"/>
      <c r="K3" s="97"/>
      <c r="L3" s="97"/>
      <c r="M3" s="97"/>
    </row>
    <row r="4" spans="1:13">
      <c r="A4" s="95"/>
      <c r="B4" s="136">
        <f>'NAV Trend'!C10/1000000000</f>
        <v>3212.3863205334346</v>
      </c>
      <c r="C4" s="136">
        <f>'NAV Trend'!D10/1000000000</f>
        <v>3251.4108261292827</v>
      </c>
      <c r="D4" s="136">
        <f>'NAV Trend'!E10/1000000000</f>
        <v>3244.6913921078954</v>
      </c>
      <c r="E4" s="136">
        <f>'NAV Trend'!F10/1000000000</f>
        <v>3279.8332952209639</v>
      </c>
      <c r="F4" s="136">
        <f>'NAV Trend'!G10/1000000000</f>
        <v>3320.1554533474555</v>
      </c>
      <c r="G4" s="136">
        <f>'NAV Trend'!H10/1000000000</f>
        <v>3346.0742802577015</v>
      </c>
      <c r="H4" s="137">
        <f>'NAV Trend'!I10/1000000000</f>
        <v>3400.7528613225991</v>
      </c>
      <c r="I4" s="137">
        <f>'NAV Trend'!J10/1000000000</f>
        <v>3452.8102334622345</v>
      </c>
      <c r="J4" s="95"/>
      <c r="K4" s="97"/>
      <c r="L4" s="97"/>
      <c r="M4" s="97"/>
    </row>
    <row r="5" spans="1:13">
      <c r="A5" s="97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activeCell="F10" sqref="F10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133" t="s">
        <v>230</v>
      </c>
      <c r="B2" s="134">
        <v>45499</v>
      </c>
      <c r="C2" s="134">
        <v>45506</v>
      </c>
      <c r="D2" s="134">
        <v>45513</v>
      </c>
      <c r="E2" s="134">
        <v>45520</v>
      </c>
      <c r="F2" s="134">
        <v>45527</v>
      </c>
      <c r="G2" s="134">
        <v>45534</v>
      </c>
      <c r="H2" s="134">
        <v>45541</v>
      </c>
      <c r="I2" s="134">
        <v>45548</v>
      </c>
      <c r="J2" s="95"/>
      <c r="K2" s="97"/>
      <c r="L2" s="97"/>
    </row>
    <row r="3" spans="1:12">
      <c r="A3" s="133" t="s">
        <v>262</v>
      </c>
      <c r="B3" s="135">
        <f t="shared" ref="B3:I3" si="0">B4</f>
        <v>12.157713481032657</v>
      </c>
      <c r="C3" s="135">
        <f t="shared" si="0"/>
        <v>12.159294190102655</v>
      </c>
      <c r="D3" s="135">
        <f t="shared" si="0"/>
        <v>12.203531382445654</v>
      </c>
      <c r="E3" s="135">
        <f t="shared" si="0"/>
        <v>12.119077784973646</v>
      </c>
      <c r="F3" s="135">
        <f t="shared" si="0"/>
        <v>12.021932386157646</v>
      </c>
      <c r="G3" s="135">
        <f t="shared" si="0"/>
        <v>12.190662825377647</v>
      </c>
      <c r="H3" s="135">
        <f t="shared" si="0"/>
        <v>12.168273401887646</v>
      </c>
      <c r="I3" s="135">
        <f t="shared" si="0"/>
        <v>12.348780151517646</v>
      </c>
      <c r="J3" s="95"/>
      <c r="K3" s="97"/>
      <c r="L3" s="97"/>
    </row>
    <row r="4" spans="1:12">
      <c r="A4" s="95"/>
      <c r="B4" s="136">
        <f>'NAV Trend'!C16/1000000000</f>
        <v>12.157713481032657</v>
      </c>
      <c r="C4" s="136">
        <f>'NAV Trend'!D16/1000000000</f>
        <v>12.159294190102655</v>
      </c>
      <c r="D4" s="136">
        <f>'NAV Trend'!E16/1000000000</f>
        <v>12.203531382445654</v>
      </c>
      <c r="E4" s="136">
        <f>'NAV Trend'!F16/1000000000</f>
        <v>12.119077784973646</v>
      </c>
      <c r="F4" s="136">
        <f>'NAV Trend'!G16/1000000000</f>
        <v>12.021932386157646</v>
      </c>
      <c r="G4" s="136">
        <f>'NAV Trend'!H16/1000000000</f>
        <v>12.190662825377647</v>
      </c>
      <c r="H4" s="136">
        <f>'NAV Trend'!I16/1000000000</f>
        <v>12.168273401887646</v>
      </c>
      <c r="I4" s="137">
        <f>'NAV Trend'!J16/1000000000</f>
        <v>12.348780151517646</v>
      </c>
      <c r="J4" s="95"/>
      <c r="K4" s="97"/>
      <c r="L4" s="97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219</v>
      </c>
      <c r="B1" s="44">
        <v>45492</v>
      </c>
      <c r="C1" s="44">
        <v>45499</v>
      </c>
      <c r="D1" s="44">
        <v>45506</v>
      </c>
      <c r="E1" s="44">
        <v>45513</v>
      </c>
      <c r="F1" s="44">
        <v>45520</v>
      </c>
      <c r="G1" s="44">
        <v>45527</v>
      </c>
      <c r="H1" s="44">
        <v>45534</v>
      </c>
      <c r="I1" s="44">
        <v>45541</v>
      </c>
      <c r="J1" s="44">
        <v>45548</v>
      </c>
    </row>
    <row r="2" spans="1:11" ht="16.5">
      <c r="A2" s="45" t="s">
        <v>14</v>
      </c>
      <c r="B2" s="120">
        <v>27374223550.790398</v>
      </c>
      <c r="C2" s="120">
        <v>26986311220.071198</v>
      </c>
      <c r="D2" s="120">
        <v>27041982230.700104</v>
      </c>
      <c r="E2" s="120">
        <v>27433680041.348602</v>
      </c>
      <c r="F2" s="120">
        <v>27391940327.104202</v>
      </c>
      <c r="G2" s="120">
        <v>27464171302.260002</v>
      </c>
      <c r="H2" s="120">
        <v>28027790368.7999</v>
      </c>
      <c r="I2" s="120">
        <v>27785128483.915298</v>
      </c>
      <c r="J2" s="120">
        <v>27732432482.203999</v>
      </c>
    </row>
    <row r="3" spans="1:11" ht="16.5">
      <c r="A3" s="45" t="s">
        <v>46</v>
      </c>
      <c r="B3" s="120">
        <v>1166722877285.0798</v>
      </c>
      <c r="C3" s="120">
        <v>1182826404297.3062</v>
      </c>
      <c r="D3" s="120">
        <v>1197584357066.3213</v>
      </c>
      <c r="E3" s="120">
        <v>1218572512276.3979</v>
      </c>
      <c r="F3" s="120">
        <v>1238391247596.4695</v>
      </c>
      <c r="G3" s="120">
        <v>1261933383053.9299</v>
      </c>
      <c r="H3" s="120">
        <v>1275703699629.3594</v>
      </c>
      <c r="I3" s="120">
        <v>1307622955124.6592</v>
      </c>
      <c r="J3" s="120">
        <v>1334285121601.7297</v>
      </c>
    </row>
    <row r="4" spans="1:11" ht="16.5">
      <c r="A4" s="45" t="s">
        <v>220</v>
      </c>
      <c r="B4" s="119">
        <v>231629021027.44598</v>
      </c>
      <c r="C4" s="119">
        <v>227274142538.3446</v>
      </c>
      <c r="D4" s="119">
        <v>222265413610.996</v>
      </c>
      <c r="E4" s="119">
        <v>220342612965.04529</v>
      </c>
      <c r="F4" s="119">
        <v>217819038959.14166</v>
      </c>
      <c r="G4" s="119">
        <v>216796049169.53281</v>
      </c>
      <c r="H4" s="119">
        <v>218570980192.58582</v>
      </c>
      <c r="I4" s="119">
        <v>218520520561.22519</v>
      </c>
      <c r="J4" s="119">
        <v>218027725773.40811</v>
      </c>
    </row>
    <row r="5" spans="1:11" ht="16.5">
      <c r="A5" s="45" t="s">
        <v>127</v>
      </c>
      <c r="B5" s="120">
        <v>1533129708414.949</v>
      </c>
      <c r="C5" s="120">
        <v>1572548889455.8511</v>
      </c>
      <c r="D5" s="120">
        <v>1602267920125.6169</v>
      </c>
      <c r="E5" s="120">
        <v>1574721850668.9399</v>
      </c>
      <c r="F5" s="120">
        <v>1593037556995.613</v>
      </c>
      <c r="G5" s="120">
        <v>1610214165564.0437</v>
      </c>
      <c r="H5" s="120">
        <v>1619684731793.4424</v>
      </c>
      <c r="I5" s="120">
        <v>1642482618309.0815</v>
      </c>
      <c r="J5" s="120">
        <v>1668230249491.24</v>
      </c>
    </row>
    <row r="6" spans="1:11" ht="16.5">
      <c r="A6" s="45" t="s">
        <v>221</v>
      </c>
      <c r="B6" s="46">
        <v>98890361757.442917</v>
      </c>
      <c r="C6" s="46">
        <v>98354700217.78096</v>
      </c>
      <c r="D6" s="46">
        <v>98122255921.538315</v>
      </c>
      <c r="E6" s="46">
        <v>98421099303.410858</v>
      </c>
      <c r="F6" s="46">
        <v>97679677536.488846</v>
      </c>
      <c r="G6" s="46">
        <v>97725390745.223068</v>
      </c>
      <c r="H6" s="46">
        <v>97021700017.900894</v>
      </c>
      <c r="I6" s="46">
        <v>97137104575.276978</v>
      </c>
      <c r="J6" s="46">
        <v>97204373692.430328</v>
      </c>
    </row>
    <row r="7" spans="1:11" ht="16.5">
      <c r="A7" s="45" t="s">
        <v>151</v>
      </c>
      <c r="B7" s="47">
        <v>49152903684.924065</v>
      </c>
      <c r="C7" s="47">
        <v>48792555116.379303</v>
      </c>
      <c r="D7" s="47">
        <v>48930496510.281784</v>
      </c>
      <c r="E7" s="47">
        <v>49553288389.12748</v>
      </c>
      <c r="F7" s="47">
        <v>49479509081.395515</v>
      </c>
      <c r="G7" s="47">
        <v>49723971071.59124</v>
      </c>
      <c r="H7" s="47">
        <v>50541815917.121063</v>
      </c>
      <c r="I7" s="47">
        <v>50358393707.296288</v>
      </c>
      <c r="J7" s="47">
        <v>50669138356.32399</v>
      </c>
    </row>
    <row r="8" spans="1:11" ht="16.5">
      <c r="A8" s="45" t="s">
        <v>175</v>
      </c>
      <c r="B8" s="46">
        <v>5245977844.9799995</v>
      </c>
      <c r="C8" s="46">
        <v>5211618372.9899998</v>
      </c>
      <c r="D8" s="46">
        <v>5230729086.9300003</v>
      </c>
      <c r="E8" s="46">
        <v>5343194037.2600002</v>
      </c>
      <c r="F8" s="46">
        <v>5322624044.9300003</v>
      </c>
      <c r="G8" s="46">
        <v>5264954956.3800001</v>
      </c>
      <c r="H8" s="46">
        <v>5284717995.9899998</v>
      </c>
      <c r="I8" s="46">
        <v>5291480610.9799995</v>
      </c>
      <c r="J8" s="46">
        <v>5333158647.2600002</v>
      </c>
    </row>
    <row r="9" spans="1:11" ht="16.5">
      <c r="A9" s="45" t="s">
        <v>222</v>
      </c>
      <c r="B9" s="46">
        <v>49695575045.307137</v>
      </c>
      <c r="C9" s="46">
        <v>50391699314.71109</v>
      </c>
      <c r="D9" s="46">
        <v>49967671576.897987</v>
      </c>
      <c r="E9" s="46">
        <v>50303154426.365845</v>
      </c>
      <c r="F9" s="46">
        <v>50711700679.821404</v>
      </c>
      <c r="G9" s="46">
        <v>51033367484.494461</v>
      </c>
      <c r="H9" s="46">
        <v>51238844342.502098</v>
      </c>
      <c r="I9" s="46">
        <v>51554659950.165176</v>
      </c>
      <c r="J9" s="46">
        <v>51328033417.638184</v>
      </c>
    </row>
    <row r="10" spans="1:11" ht="15.75">
      <c r="A10" s="48" t="s">
        <v>223</v>
      </c>
      <c r="B10" s="49">
        <f t="shared" ref="B10:I10" si="0">SUM(B2:B9)</f>
        <v>3161840648610.9189</v>
      </c>
      <c r="C10" s="49">
        <f t="shared" si="0"/>
        <v>3212386320533.4346</v>
      </c>
      <c r="D10" s="49">
        <f t="shared" si="0"/>
        <v>3251410826129.2827</v>
      </c>
      <c r="E10" s="49">
        <f t="shared" si="0"/>
        <v>3244691392107.8955</v>
      </c>
      <c r="F10" s="49">
        <f t="shared" si="0"/>
        <v>3279833295220.9639</v>
      </c>
      <c r="G10" s="49">
        <f t="shared" si="0"/>
        <v>3320155453347.4556</v>
      </c>
      <c r="H10" s="49">
        <f t="shared" si="0"/>
        <v>3346074280257.7017</v>
      </c>
      <c r="I10" s="49">
        <f t="shared" si="0"/>
        <v>3400752861322.5991</v>
      </c>
      <c r="J10" s="49">
        <f>SUM(J2:J9)</f>
        <v>3452810233462.2344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224</v>
      </c>
      <c r="B12" s="53" t="s">
        <v>225</v>
      </c>
      <c r="C12" s="54">
        <f>(B10+C10)/2</f>
        <v>3187113484572.1768</v>
      </c>
      <c r="D12" s="55">
        <f t="shared" ref="D12:J12" si="1">(C10+D10)/2</f>
        <v>3231898573331.3584</v>
      </c>
      <c r="E12" s="55">
        <f t="shared" si="1"/>
        <v>3248051109118.5889</v>
      </c>
      <c r="F12" s="55">
        <f t="shared" si="1"/>
        <v>3262262343664.4297</v>
      </c>
      <c r="G12" s="55">
        <f>(F10+G10)/2</f>
        <v>3299994374284.21</v>
      </c>
      <c r="H12" s="55">
        <f t="shared" si="1"/>
        <v>3333114866802.5786</v>
      </c>
      <c r="I12" s="55">
        <f t="shared" si="1"/>
        <v>3373413570790.1504</v>
      </c>
      <c r="J12" s="55">
        <f t="shared" si="1"/>
        <v>3426781547392.417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45492</v>
      </c>
      <c r="C15" s="44">
        <v>45499</v>
      </c>
      <c r="D15" s="44">
        <v>45506</v>
      </c>
      <c r="E15" s="44">
        <v>45513</v>
      </c>
      <c r="F15" s="44">
        <v>45520</v>
      </c>
      <c r="G15" s="44">
        <v>45527</v>
      </c>
      <c r="H15" s="44">
        <v>45534</v>
      </c>
      <c r="I15" s="44">
        <v>45541</v>
      </c>
      <c r="J15" s="44">
        <v>45548</v>
      </c>
      <c r="K15" s="97"/>
    </row>
    <row r="16" spans="1:11" ht="16.5">
      <c r="A16" s="116" t="s">
        <v>261</v>
      </c>
      <c r="B16" s="118">
        <v>12398936333.326033</v>
      </c>
      <c r="C16" s="118">
        <v>12157713481.032656</v>
      </c>
      <c r="D16" s="118">
        <v>12159294190.102655</v>
      </c>
      <c r="E16" s="118">
        <v>12203531382.445654</v>
      </c>
      <c r="F16" s="118">
        <v>12119077784.973646</v>
      </c>
      <c r="G16" s="118">
        <v>12021932386.157646</v>
      </c>
      <c r="H16" s="118">
        <v>12190662825.377647</v>
      </c>
      <c r="I16" s="118">
        <v>12168273401.887646</v>
      </c>
      <c r="J16" s="118">
        <v>12348780151.517647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2024-09-20T10:39:44Z</dcterms:modified>
</cp:coreProperties>
</file>