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Tunde Isaac\Weekly NAV\"/>
    </mc:Choice>
  </mc:AlternateContent>
  <bookViews>
    <workbookView xWindow="-120" yWindow="-120" windowWidth="20730" windowHeight="11160"/>
  </bookViews>
  <sheets>
    <sheet name="Weekly Valuation" sheetId="1" r:id="rId1"/>
    <sheet name="NAV Comparison" sheetId="2" r:id="rId2"/>
    <sheet name="Market Share" sheetId="3" r:id="rId3"/>
    <sheet name="8-Week Movement in NAV" sheetId="5" r:id="rId4"/>
    <sheet name="8-Week Movement in ETFs" sheetId="6" r:id="rId5"/>
    <sheet name="NAV Trend" sheetId="4" state="hidden" r:id="rId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163" i="1" l="1"/>
  <c r="U163" i="1"/>
  <c r="T163" i="1"/>
  <c r="S163" i="1"/>
  <c r="R163" i="1"/>
  <c r="N129" i="1"/>
  <c r="M129" i="1"/>
  <c r="N109" i="1"/>
  <c r="M109" i="1"/>
  <c r="K109" i="1"/>
  <c r="N115" i="1" l="1"/>
  <c r="M115" i="1"/>
  <c r="K115" i="1"/>
  <c r="N108" i="1"/>
  <c r="M108" i="1"/>
  <c r="K108" i="1"/>
  <c r="N130" i="1"/>
  <c r="M130" i="1"/>
  <c r="K130" i="1"/>
  <c r="N122" i="1"/>
  <c r="M122" i="1"/>
  <c r="K122" i="1"/>
  <c r="N107" i="1" l="1"/>
  <c r="M107" i="1"/>
  <c r="K107" i="1"/>
  <c r="N111" i="1" l="1"/>
  <c r="M111" i="1"/>
  <c r="K111" i="1"/>
  <c r="N127" i="1"/>
  <c r="M127" i="1"/>
  <c r="K127" i="1"/>
  <c r="N132" i="1" l="1"/>
  <c r="M132" i="1"/>
  <c r="K132" i="1"/>
  <c r="N119" i="1"/>
  <c r="M119" i="1"/>
  <c r="K119" i="1"/>
  <c r="N106" i="1"/>
  <c r="M106" i="1"/>
  <c r="K106" i="1"/>
  <c r="N118" i="1"/>
  <c r="M118" i="1"/>
  <c r="K118" i="1"/>
  <c r="N117" i="1" l="1"/>
  <c r="M117" i="1"/>
  <c r="K117" i="1"/>
  <c r="N126" i="1"/>
  <c r="M126" i="1"/>
  <c r="N123" i="1" l="1"/>
  <c r="M123" i="1"/>
  <c r="K123" i="1"/>
  <c r="N110" i="1" l="1"/>
  <c r="M110" i="1"/>
  <c r="K110" i="1"/>
  <c r="N128" i="1"/>
  <c r="M128" i="1"/>
  <c r="K128" i="1"/>
  <c r="N134" i="1" l="1"/>
  <c r="M134" i="1"/>
  <c r="K134" i="1"/>
  <c r="N105" i="1"/>
  <c r="M105" i="1"/>
  <c r="K105" i="1"/>
  <c r="N116" i="1" l="1"/>
  <c r="M116" i="1"/>
  <c r="K116" i="1"/>
  <c r="G134" i="1" l="1"/>
  <c r="F134" i="1"/>
  <c r="G132" i="1"/>
  <c r="F132" i="1"/>
  <c r="G130" i="1"/>
  <c r="F130" i="1"/>
  <c r="G129" i="1"/>
  <c r="F129" i="1"/>
  <c r="G128" i="1"/>
  <c r="F128" i="1"/>
  <c r="G127" i="1"/>
  <c r="F127" i="1"/>
  <c r="G126" i="1"/>
  <c r="F126" i="1"/>
  <c r="G123" i="1"/>
  <c r="F123" i="1"/>
  <c r="G122" i="1"/>
  <c r="F122" i="1"/>
  <c r="D134" i="1"/>
  <c r="D132" i="1"/>
  <c r="D130" i="1"/>
  <c r="D128" i="1"/>
  <c r="D127" i="1"/>
  <c r="D123" i="1"/>
  <c r="D122" i="1"/>
  <c r="G119" i="1"/>
  <c r="F119" i="1"/>
  <c r="G118" i="1"/>
  <c r="F118" i="1"/>
  <c r="G117" i="1"/>
  <c r="F117" i="1"/>
  <c r="G116" i="1"/>
  <c r="F116" i="1"/>
  <c r="G115" i="1"/>
  <c r="F115" i="1"/>
  <c r="G111" i="1"/>
  <c r="F111" i="1"/>
  <c r="G110" i="1"/>
  <c r="F110" i="1"/>
  <c r="G109" i="1"/>
  <c r="F109" i="1"/>
  <c r="G108" i="1"/>
  <c r="F108" i="1"/>
  <c r="G107" i="1"/>
  <c r="F107" i="1"/>
  <c r="G106" i="1"/>
  <c r="F106" i="1"/>
  <c r="G105" i="1"/>
  <c r="F105" i="1"/>
  <c r="D119" i="1"/>
  <c r="D118" i="1"/>
  <c r="D117" i="1"/>
  <c r="D116" i="1"/>
  <c r="D115" i="1"/>
  <c r="D111" i="1"/>
  <c r="D110" i="1"/>
  <c r="D109" i="1"/>
  <c r="D108" i="1"/>
  <c r="D107" i="1"/>
  <c r="D106" i="1"/>
  <c r="D105" i="1"/>
  <c r="R97" i="1" l="1"/>
  <c r="S97" i="1"/>
  <c r="T97" i="1"/>
  <c r="U97" i="1"/>
  <c r="V97" i="1"/>
  <c r="V44" i="1" l="1"/>
  <c r="U44" i="1"/>
  <c r="T44" i="1"/>
  <c r="S44" i="1"/>
  <c r="R44" i="1"/>
  <c r="H204" i="1" l="1"/>
  <c r="D204" i="1"/>
  <c r="R12" i="1" l="1"/>
  <c r="O204" i="1" l="1"/>
  <c r="K204" i="1"/>
  <c r="L203" i="1" s="1"/>
  <c r="E203" i="1"/>
  <c r="V203" i="1"/>
  <c r="U203" i="1"/>
  <c r="T203" i="1"/>
  <c r="S203" i="1"/>
  <c r="R203" i="1"/>
  <c r="D23" i="1" l="1"/>
  <c r="R192" i="1" l="1"/>
  <c r="S192" i="1"/>
  <c r="T192" i="1"/>
  <c r="U192" i="1"/>
  <c r="V192" i="1"/>
  <c r="R95" i="1" l="1"/>
  <c r="V119" i="1" l="1"/>
  <c r="U119" i="1"/>
  <c r="T119" i="1"/>
  <c r="S119" i="1"/>
  <c r="R119" i="1"/>
  <c r="V118" i="1"/>
  <c r="U118" i="1"/>
  <c r="T118" i="1"/>
  <c r="S118" i="1"/>
  <c r="R118" i="1"/>
  <c r="R148" i="1" l="1"/>
  <c r="R107" i="1"/>
  <c r="S86" i="1" l="1"/>
  <c r="R215" i="1" l="1"/>
  <c r="R216" i="1"/>
  <c r="V126" i="1" l="1"/>
  <c r="U126" i="1"/>
  <c r="T126" i="1"/>
  <c r="R126" i="1"/>
  <c r="S133" i="1"/>
  <c r="V133" i="1"/>
  <c r="U133" i="1"/>
  <c r="T133" i="1"/>
  <c r="R133" i="1"/>
  <c r="V52" i="1"/>
  <c r="U52" i="1"/>
  <c r="T52" i="1"/>
  <c r="S52" i="1"/>
  <c r="R52" i="1"/>
  <c r="S126" i="1" l="1"/>
  <c r="R219" i="1" l="1"/>
  <c r="R166" i="1"/>
  <c r="R105" i="1" l="1"/>
  <c r="R161" i="1"/>
  <c r="S161" i="1"/>
  <c r="T161" i="1"/>
  <c r="U161" i="1"/>
  <c r="V161" i="1"/>
  <c r="R83" i="1" l="1"/>
  <c r="V197" i="1"/>
  <c r="U197" i="1"/>
  <c r="T197" i="1"/>
  <c r="S197" i="1"/>
  <c r="R197" i="1"/>
  <c r="V196" i="1"/>
  <c r="U196" i="1"/>
  <c r="T196" i="1"/>
  <c r="S196" i="1"/>
  <c r="R196" i="1"/>
  <c r="R53" i="1" l="1"/>
  <c r="V53" i="1"/>
  <c r="U53" i="1"/>
  <c r="T53" i="1"/>
  <c r="S53" i="1"/>
  <c r="K62" i="1"/>
  <c r="E48" i="1" l="1"/>
  <c r="E49" i="1"/>
  <c r="L40" i="1"/>
  <c r="L52" i="1"/>
  <c r="E52" i="1"/>
  <c r="C14" i="2"/>
  <c r="L38" i="1"/>
  <c r="L59" i="1"/>
  <c r="E53" i="1"/>
  <c r="L53" i="1"/>
  <c r="U169" i="1" l="1"/>
  <c r="V169" i="1"/>
  <c r="R169" i="1"/>
  <c r="S169" i="1"/>
  <c r="T169" i="1"/>
  <c r="R55" i="1"/>
  <c r="V55" i="1"/>
  <c r="U55" i="1"/>
  <c r="T55" i="1"/>
  <c r="S55" i="1"/>
  <c r="V180" i="1" l="1"/>
  <c r="R109" i="1" l="1"/>
  <c r="S109" i="1"/>
  <c r="T109" i="1"/>
  <c r="U109" i="1"/>
  <c r="V109" i="1"/>
  <c r="R32" i="1"/>
  <c r="R71" i="1"/>
  <c r="S71" i="1"/>
  <c r="T71" i="1"/>
  <c r="U71" i="1"/>
  <c r="V71" i="1"/>
  <c r="V32" i="1"/>
  <c r="U32" i="1"/>
  <c r="T32" i="1"/>
  <c r="S32" i="1"/>
  <c r="T106" i="1" l="1"/>
  <c r="U106" i="1"/>
  <c r="V106" i="1"/>
  <c r="S106" i="1"/>
  <c r="R106" i="1"/>
  <c r="R90" i="1" l="1"/>
  <c r="O135" i="1" l="1"/>
  <c r="I10" i="4"/>
  <c r="H10" i="4"/>
  <c r="G10" i="4"/>
  <c r="F10" i="4"/>
  <c r="E10" i="4"/>
  <c r="D10" i="4"/>
  <c r="C10" i="4"/>
  <c r="B10" i="4"/>
  <c r="R10" i="1" l="1"/>
  <c r="S10" i="1"/>
  <c r="T10" i="1"/>
  <c r="U10" i="1"/>
  <c r="V10" i="1"/>
  <c r="R108" i="1"/>
  <c r="S108" i="1"/>
  <c r="T108" i="1"/>
  <c r="U108" i="1"/>
  <c r="V108" i="1"/>
  <c r="R160" i="1" l="1"/>
  <c r="S60" i="1" l="1"/>
  <c r="D143" i="1" l="1"/>
  <c r="I4" i="6"/>
  <c r="I3" i="6" s="1"/>
  <c r="H4" i="6"/>
  <c r="G4" i="6"/>
  <c r="G3" i="6" s="1"/>
  <c r="F4" i="6"/>
  <c r="E4" i="6"/>
  <c r="D4" i="6"/>
  <c r="C4" i="6"/>
  <c r="C3" i="6" s="1"/>
  <c r="B4" i="6"/>
  <c r="H3" i="6"/>
  <c r="F3" i="6"/>
  <c r="E3" i="6"/>
  <c r="D3" i="6"/>
  <c r="B3" i="6"/>
  <c r="R111" i="1" l="1"/>
  <c r="S111" i="1"/>
  <c r="T111" i="1"/>
  <c r="U111" i="1"/>
  <c r="V111" i="1"/>
  <c r="R112" i="1"/>
  <c r="S112" i="1"/>
  <c r="T112" i="1"/>
  <c r="U112" i="1"/>
  <c r="V112" i="1"/>
  <c r="R99" i="1" l="1"/>
  <c r="S99" i="1"/>
  <c r="T99" i="1"/>
  <c r="U99" i="1"/>
  <c r="V99" i="1"/>
  <c r="R60" i="1"/>
  <c r="V60" i="1"/>
  <c r="U60" i="1"/>
  <c r="T60" i="1"/>
  <c r="R191" i="1"/>
  <c r="R149" i="1" l="1"/>
  <c r="R128" i="1" l="1"/>
  <c r="S128" i="1"/>
  <c r="T128" i="1"/>
  <c r="U128" i="1"/>
  <c r="V128" i="1"/>
  <c r="R84" i="1"/>
  <c r="S84" i="1"/>
  <c r="T84" i="1"/>
  <c r="U84" i="1"/>
  <c r="V84" i="1"/>
  <c r="V209" i="1" l="1"/>
  <c r="T167" i="1"/>
  <c r="S167" i="1"/>
  <c r="R131" i="1" l="1"/>
  <c r="V162" i="1" l="1"/>
  <c r="T153" i="1" l="1"/>
  <c r="R147" i="1"/>
  <c r="S147" i="1"/>
  <c r="T147" i="1"/>
  <c r="U147" i="1"/>
  <c r="V147" i="1"/>
  <c r="R170" i="1"/>
  <c r="S170" i="1"/>
  <c r="T170" i="1"/>
  <c r="U170" i="1"/>
  <c r="V170" i="1"/>
  <c r="R127" i="1" l="1"/>
  <c r="S127" i="1"/>
  <c r="S193" i="1" l="1"/>
  <c r="V127" i="1"/>
  <c r="U127" i="1"/>
  <c r="T127" i="1"/>
  <c r="R73" i="1" l="1"/>
  <c r="V81" i="1" l="1"/>
  <c r="U81" i="1"/>
  <c r="T81" i="1"/>
  <c r="S81" i="1"/>
  <c r="R81" i="1"/>
  <c r="V87" i="1" l="1"/>
  <c r="U87" i="1"/>
  <c r="T87" i="1"/>
  <c r="S87" i="1"/>
  <c r="R87" i="1"/>
  <c r="B4" i="5" l="1"/>
  <c r="B3" i="5" s="1"/>
  <c r="C4" i="5"/>
  <c r="C3" i="5" s="1"/>
  <c r="D4" i="5"/>
  <c r="D3" i="5" s="1"/>
  <c r="E4" i="5"/>
  <c r="E3" i="5" s="1"/>
  <c r="F4" i="5"/>
  <c r="F3" i="5" s="1"/>
  <c r="G4" i="5"/>
  <c r="G3" i="5" s="1"/>
  <c r="H4" i="5"/>
  <c r="H3" i="5" s="1"/>
  <c r="V194" i="1"/>
  <c r="U194" i="1"/>
  <c r="T194" i="1"/>
  <c r="S194" i="1"/>
  <c r="R194" i="1"/>
  <c r="T34" i="1" l="1"/>
  <c r="S22" i="1" l="1"/>
  <c r="T22" i="1"/>
  <c r="V110" i="1" l="1"/>
  <c r="R110" i="1"/>
  <c r="S110" i="1"/>
  <c r="T110" i="1"/>
  <c r="U110" i="1"/>
  <c r="R13" i="1" l="1"/>
  <c r="R51" i="1" l="1"/>
  <c r="V51" i="1"/>
  <c r="U51" i="1"/>
  <c r="T51" i="1"/>
  <c r="S51" i="1"/>
  <c r="V139" i="1" l="1"/>
  <c r="U139" i="1"/>
  <c r="T139" i="1"/>
  <c r="S139" i="1"/>
  <c r="R139" i="1"/>
  <c r="R78" i="1" l="1"/>
  <c r="S186" i="1" l="1"/>
  <c r="D181" i="1" l="1"/>
  <c r="B19" i="2" s="1"/>
  <c r="B9" i="2" s="1"/>
  <c r="D135" i="1"/>
  <c r="E119" i="1" s="1"/>
  <c r="E126" i="1" l="1"/>
  <c r="E118" i="1"/>
  <c r="E109" i="1"/>
  <c r="E108" i="1"/>
  <c r="E106" i="1"/>
  <c r="B16" i="2"/>
  <c r="B6" i="2" s="1"/>
  <c r="E123" i="1"/>
  <c r="E128" i="1"/>
  <c r="E111" i="1"/>
  <c r="E127" i="1"/>
  <c r="R98" i="1"/>
  <c r="S98" i="1"/>
  <c r="T98" i="1"/>
  <c r="U98" i="1"/>
  <c r="V98" i="1"/>
  <c r="D225" i="1"/>
  <c r="D62" i="1"/>
  <c r="B20" i="2" l="1"/>
  <c r="B10" i="2" s="1"/>
  <c r="E197" i="1"/>
  <c r="E196" i="1"/>
  <c r="B14" i="2"/>
  <c r="B4" i="2" s="1"/>
  <c r="E139" i="1"/>
  <c r="B17" i="2"/>
  <c r="B7" i="2" s="1"/>
  <c r="E190" i="1"/>
  <c r="E191" i="1"/>
  <c r="E193" i="1"/>
  <c r="E194" i="1"/>
  <c r="E195" i="1"/>
  <c r="E198" i="1"/>
  <c r="E199" i="1"/>
  <c r="E200" i="1"/>
  <c r="R179" i="1"/>
  <c r="R89" i="1" l="1"/>
  <c r="S89" i="1"/>
  <c r="T89" i="1"/>
  <c r="V89" i="1"/>
  <c r="U89" i="1"/>
  <c r="B13" i="2" l="1"/>
  <c r="B3" i="2" l="1"/>
  <c r="E10" i="1"/>
  <c r="R124" i="1"/>
  <c r="R20" i="1" l="1"/>
  <c r="R214" i="1" l="1"/>
  <c r="S214" i="1"/>
  <c r="T214" i="1"/>
  <c r="U214" i="1"/>
  <c r="V214" i="1"/>
  <c r="S215" i="1"/>
  <c r="T215" i="1"/>
  <c r="U215" i="1"/>
  <c r="V215" i="1"/>
  <c r="S216" i="1"/>
  <c r="T216" i="1"/>
  <c r="U216" i="1"/>
  <c r="V216" i="1"/>
  <c r="R217" i="1"/>
  <c r="S217" i="1"/>
  <c r="T217" i="1"/>
  <c r="U217" i="1"/>
  <c r="V217" i="1"/>
  <c r="R218" i="1"/>
  <c r="S218" i="1"/>
  <c r="T218" i="1"/>
  <c r="U218" i="1"/>
  <c r="V218" i="1"/>
  <c r="S219" i="1"/>
  <c r="T219" i="1"/>
  <c r="U219" i="1"/>
  <c r="V219" i="1"/>
  <c r="R220" i="1"/>
  <c r="S220" i="1"/>
  <c r="T220" i="1"/>
  <c r="U220" i="1"/>
  <c r="V220" i="1"/>
  <c r="R221" i="1"/>
  <c r="S221" i="1"/>
  <c r="T221" i="1"/>
  <c r="U221" i="1"/>
  <c r="V221" i="1"/>
  <c r="R222" i="1"/>
  <c r="S222" i="1"/>
  <c r="T222" i="1"/>
  <c r="U222" i="1"/>
  <c r="V222" i="1"/>
  <c r="R223" i="1"/>
  <c r="S223" i="1"/>
  <c r="T223" i="1"/>
  <c r="U223" i="1"/>
  <c r="V223" i="1"/>
  <c r="R224" i="1"/>
  <c r="S224" i="1"/>
  <c r="T224" i="1"/>
  <c r="U224" i="1"/>
  <c r="V224" i="1"/>
  <c r="S225" i="1"/>
  <c r="U225" i="1"/>
  <c r="V225" i="1"/>
  <c r="V213" i="1"/>
  <c r="U213" i="1"/>
  <c r="T213" i="1"/>
  <c r="S213" i="1"/>
  <c r="R213" i="1"/>
  <c r="U209" i="1"/>
  <c r="T209" i="1"/>
  <c r="S209" i="1"/>
  <c r="R209" i="1"/>
  <c r="V208" i="1"/>
  <c r="U208" i="1"/>
  <c r="T208" i="1"/>
  <c r="S208" i="1"/>
  <c r="R208" i="1"/>
  <c r="R190" i="1"/>
  <c r="S190" i="1"/>
  <c r="T190" i="1"/>
  <c r="U190" i="1"/>
  <c r="V190" i="1"/>
  <c r="S191" i="1"/>
  <c r="T191" i="1"/>
  <c r="U191" i="1"/>
  <c r="V191" i="1"/>
  <c r="R193" i="1"/>
  <c r="T193" i="1"/>
  <c r="U193" i="1"/>
  <c r="V193" i="1"/>
  <c r="R195" i="1"/>
  <c r="S195" i="1"/>
  <c r="T195" i="1"/>
  <c r="U195" i="1"/>
  <c r="V195" i="1"/>
  <c r="R198" i="1"/>
  <c r="S198" i="1"/>
  <c r="T198" i="1"/>
  <c r="U198" i="1"/>
  <c r="V198" i="1"/>
  <c r="R199" i="1"/>
  <c r="S199" i="1"/>
  <c r="T199" i="1"/>
  <c r="U199" i="1"/>
  <c r="V199" i="1"/>
  <c r="R200" i="1"/>
  <c r="S200" i="1"/>
  <c r="T200" i="1"/>
  <c r="U200" i="1"/>
  <c r="V200" i="1"/>
  <c r="S204" i="1"/>
  <c r="U204" i="1"/>
  <c r="V204" i="1"/>
  <c r="V189" i="1"/>
  <c r="U189" i="1"/>
  <c r="T189" i="1"/>
  <c r="S189" i="1"/>
  <c r="R189" i="1"/>
  <c r="V186" i="1"/>
  <c r="U186" i="1"/>
  <c r="T186" i="1"/>
  <c r="R186" i="1"/>
  <c r="V185" i="1"/>
  <c r="U185" i="1"/>
  <c r="T185" i="1"/>
  <c r="S185" i="1"/>
  <c r="R185" i="1"/>
  <c r="S179" i="1"/>
  <c r="T179" i="1"/>
  <c r="U179" i="1"/>
  <c r="V179" i="1"/>
  <c r="R180" i="1"/>
  <c r="S180" i="1"/>
  <c r="T180" i="1"/>
  <c r="U180" i="1"/>
  <c r="S181" i="1"/>
  <c r="U181" i="1"/>
  <c r="V181" i="1"/>
  <c r="V178" i="1"/>
  <c r="U178" i="1"/>
  <c r="T178" i="1"/>
  <c r="S178" i="1"/>
  <c r="R178" i="1"/>
  <c r="S148" i="1"/>
  <c r="T148" i="1"/>
  <c r="U148" i="1"/>
  <c r="V148" i="1"/>
  <c r="S149" i="1"/>
  <c r="T149" i="1"/>
  <c r="U149" i="1"/>
  <c r="V149" i="1"/>
  <c r="R150" i="1"/>
  <c r="S150" i="1"/>
  <c r="T150" i="1"/>
  <c r="U150" i="1"/>
  <c r="R151" i="1"/>
  <c r="S151" i="1"/>
  <c r="T151" i="1"/>
  <c r="U151" i="1"/>
  <c r="V151" i="1"/>
  <c r="R152" i="1"/>
  <c r="S152" i="1"/>
  <c r="T152" i="1"/>
  <c r="U152" i="1"/>
  <c r="V152" i="1"/>
  <c r="R153" i="1"/>
  <c r="S153" i="1"/>
  <c r="U153" i="1"/>
  <c r="V153" i="1"/>
  <c r="R154" i="1"/>
  <c r="S154" i="1"/>
  <c r="T154" i="1"/>
  <c r="U154" i="1"/>
  <c r="V154" i="1"/>
  <c r="R155" i="1"/>
  <c r="S155" i="1"/>
  <c r="T155" i="1"/>
  <c r="U155" i="1"/>
  <c r="V155" i="1"/>
  <c r="R156" i="1"/>
  <c r="S156" i="1"/>
  <c r="T156" i="1"/>
  <c r="U156" i="1"/>
  <c r="V156" i="1"/>
  <c r="R157" i="1"/>
  <c r="S157" i="1"/>
  <c r="T157" i="1"/>
  <c r="U157" i="1"/>
  <c r="V157" i="1"/>
  <c r="R158" i="1"/>
  <c r="S158" i="1"/>
  <c r="T158" i="1"/>
  <c r="U158" i="1"/>
  <c r="V158" i="1"/>
  <c r="R159" i="1"/>
  <c r="S159" i="1"/>
  <c r="T159" i="1"/>
  <c r="U159" i="1"/>
  <c r="V159" i="1"/>
  <c r="S160" i="1"/>
  <c r="T160" i="1"/>
  <c r="U160" i="1"/>
  <c r="V160" i="1"/>
  <c r="R162" i="1"/>
  <c r="S162" i="1"/>
  <c r="T162" i="1"/>
  <c r="U162" i="1"/>
  <c r="R164" i="1"/>
  <c r="S164" i="1"/>
  <c r="T164" i="1"/>
  <c r="U164" i="1"/>
  <c r="V164" i="1"/>
  <c r="R165" i="1"/>
  <c r="S165" i="1"/>
  <c r="T165" i="1"/>
  <c r="U165" i="1"/>
  <c r="V165" i="1"/>
  <c r="S166" i="1"/>
  <c r="T166" i="1"/>
  <c r="U166" i="1"/>
  <c r="V166" i="1"/>
  <c r="R167" i="1"/>
  <c r="U167" i="1"/>
  <c r="V167" i="1"/>
  <c r="R168" i="1"/>
  <c r="S168" i="1"/>
  <c r="T168" i="1"/>
  <c r="U168" i="1"/>
  <c r="V168" i="1"/>
  <c r="R171" i="1"/>
  <c r="S171" i="1"/>
  <c r="T171" i="1"/>
  <c r="U171" i="1"/>
  <c r="V171" i="1"/>
  <c r="R172" i="1"/>
  <c r="S172" i="1"/>
  <c r="T172" i="1"/>
  <c r="U172" i="1"/>
  <c r="V172" i="1"/>
  <c r="R173" i="1"/>
  <c r="S173" i="1"/>
  <c r="T173" i="1"/>
  <c r="U173" i="1"/>
  <c r="V173" i="1"/>
  <c r="R174" i="1"/>
  <c r="S174" i="1"/>
  <c r="T174" i="1"/>
  <c r="U174" i="1"/>
  <c r="V174" i="1"/>
  <c r="S175" i="1"/>
  <c r="U175" i="1"/>
  <c r="V175" i="1"/>
  <c r="V146" i="1"/>
  <c r="U146" i="1"/>
  <c r="T146" i="1"/>
  <c r="S146" i="1"/>
  <c r="R146" i="1"/>
  <c r="R140" i="1"/>
  <c r="S140" i="1"/>
  <c r="T140" i="1"/>
  <c r="U140" i="1"/>
  <c r="V140" i="1"/>
  <c r="R141" i="1"/>
  <c r="S141" i="1"/>
  <c r="T141" i="1"/>
  <c r="U141" i="1"/>
  <c r="V141" i="1"/>
  <c r="R142" i="1"/>
  <c r="S142" i="1"/>
  <c r="T142" i="1"/>
  <c r="U142" i="1"/>
  <c r="V142" i="1"/>
  <c r="S143" i="1"/>
  <c r="U143" i="1"/>
  <c r="V143" i="1"/>
  <c r="V138" i="1"/>
  <c r="U138" i="1"/>
  <c r="T138" i="1"/>
  <c r="S138" i="1"/>
  <c r="R138" i="1"/>
  <c r="R123" i="1"/>
  <c r="S123" i="1"/>
  <c r="T123" i="1"/>
  <c r="U123" i="1"/>
  <c r="V123" i="1"/>
  <c r="S124" i="1"/>
  <c r="T124" i="1"/>
  <c r="U124" i="1"/>
  <c r="V124" i="1"/>
  <c r="R125" i="1"/>
  <c r="S125" i="1"/>
  <c r="T125" i="1"/>
  <c r="U125" i="1"/>
  <c r="V125" i="1"/>
  <c r="R129" i="1"/>
  <c r="S129" i="1"/>
  <c r="T129" i="1"/>
  <c r="U129" i="1"/>
  <c r="V129" i="1"/>
  <c r="R130" i="1"/>
  <c r="S130" i="1"/>
  <c r="T130" i="1"/>
  <c r="U130" i="1"/>
  <c r="V130" i="1"/>
  <c r="S131" i="1"/>
  <c r="T131" i="1"/>
  <c r="U131" i="1"/>
  <c r="V131" i="1"/>
  <c r="R132" i="1"/>
  <c r="S132" i="1"/>
  <c r="T132" i="1"/>
  <c r="U132" i="1"/>
  <c r="V132" i="1"/>
  <c r="R134" i="1"/>
  <c r="S134" i="1"/>
  <c r="T134" i="1"/>
  <c r="U134" i="1"/>
  <c r="V134" i="1"/>
  <c r="S135" i="1"/>
  <c r="U135" i="1"/>
  <c r="V135" i="1"/>
  <c r="V122" i="1"/>
  <c r="U122" i="1"/>
  <c r="T122" i="1"/>
  <c r="S122" i="1"/>
  <c r="R122" i="1"/>
  <c r="S107" i="1"/>
  <c r="T107" i="1"/>
  <c r="U107" i="1"/>
  <c r="V107" i="1"/>
  <c r="R113" i="1"/>
  <c r="S113" i="1"/>
  <c r="T113" i="1"/>
  <c r="U113" i="1"/>
  <c r="V113" i="1"/>
  <c r="R114" i="1"/>
  <c r="S114" i="1"/>
  <c r="T114" i="1"/>
  <c r="U114" i="1"/>
  <c r="V114" i="1"/>
  <c r="R115" i="1"/>
  <c r="S115" i="1"/>
  <c r="T115" i="1"/>
  <c r="U115" i="1"/>
  <c r="V115" i="1"/>
  <c r="R116" i="1"/>
  <c r="S116" i="1"/>
  <c r="T116" i="1"/>
  <c r="U116" i="1"/>
  <c r="V116" i="1"/>
  <c r="R117" i="1"/>
  <c r="S117" i="1"/>
  <c r="T117" i="1"/>
  <c r="U117" i="1"/>
  <c r="V117" i="1"/>
  <c r="V105" i="1"/>
  <c r="U105" i="1"/>
  <c r="T105" i="1"/>
  <c r="S105" i="1"/>
  <c r="R66" i="1"/>
  <c r="S66" i="1"/>
  <c r="T66" i="1"/>
  <c r="U66" i="1"/>
  <c r="V66" i="1"/>
  <c r="R67" i="1"/>
  <c r="S67" i="1"/>
  <c r="T67" i="1"/>
  <c r="U67" i="1"/>
  <c r="V67" i="1"/>
  <c r="R68" i="1"/>
  <c r="S68" i="1"/>
  <c r="T68" i="1"/>
  <c r="U68" i="1"/>
  <c r="V68" i="1"/>
  <c r="R69" i="1"/>
  <c r="S69" i="1"/>
  <c r="T69" i="1"/>
  <c r="U69" i="1"/>
  <c r="R70" i="1"/>
  <c r="S70" i="1"/>
  <c r="T70" i="1"/>
  <c r="U70" i="1"/>
  <c r="R72" i="1"/>
  <c r="S72" i="1"/>
  <c r="T72" i="1"/>
  <c r="U72" i="1"/>
  <c r="V72" i="1"/>
  <c r="S73" i="1"/>
  <c r="T73" i="1"/>
  <c r="U73" i="1"/>
  <c r="V73" i="1"/>
  <c r="R74" i="1"/>
  <c r="S74" i="1"/>
  <c r="T74" i="1"/>
  <c r="U74" i="1"/>
  <c r="V74" i="1"/>
  <c r="R75" i="1"/>
  <c r="S75" i="1"/>
  <c r="T75" i="1"/>
  <c r="U75" i="1"/>
  <c r="V75" i="1"/>
  <c r="R76" i="1"/>
  <c r="S76" i="1"/>
  <c r="T76" i="1"/>
  <c r="U76" i="1"/>
  <c r="V76" i="1"/>
  <c r="R77" i="1"/>
  <c r="S77" i="1"/>
  <c r="T77" i="1"/>
  <c r="U77" i="1"/>
  <c r="V77" i="1"/>
  <c r="S78" i="1"/>
  <c r="T78" i="1"/>
  <c r="U78" i="1"/>
  <c r="V78" i="1"/>
  <c r="R79" i="1"/>
  <c r="S79" i="1"/>
  <c r="T79" i="1"/>
  <c r="U79" i="1"/>
  <c r="V79" i="1"/>
  <c r="R80" i="1"/>
  <c r="S80" i="1"/>
  <c r="T80" i="1"/>
  <c r="U80" i="1"/>
  <c r="V80" i="1"/>
  <c r="R82" i="1"/>
  <c r="S82" i="1"/>
  <c r="T82" i="1"/>
  <c r="U82" i="1"/>
  <c r="V82" i="1"/>
  <c r="S83" i="1"/>
  <c r="T83" i="1"/>
  <c r="U83" i="1"/>
  <c r="V83" i="1"/>
  <c r="R85" i="1"/>
  <c r="S85" i="1"/>
  <c r="T85" i="1"/>
  <c r="U85" i="1"/>
  <c r="V85" i="1"/>
  <c r="R86" i="1"/>
  <c r="T86" i="1"/>
  <c r="U86" i="1"/>
  <c r="V86" i="1"/>
  <c r="R88" i="1"/>
  <c r="S88" i="1"/>
  <c r="T88" i="1"/>
  <c r="U88" i="1"/>
  <c r="V88" i="1"/>
  <c r="S90" i="1"/>
  <c r="T90" i="1"/>
  <c r="U90" i="1"/>
  <c r="V90" i="1"/>
  <c r="R91" i="1"/>
  <c r="S91" i="1"/>
  <c r="T91" i="1"/>
  <c r="U91" i="1"/>
  <c r="V91" i="1"/>
  <c r="R92" i="1"/>
  <c r="S92" i="1"/>
  <c r="T92" i="1"/>
  <c r="U92" i="1"/>
  <c r="V92" i="1"/>
  <c r="R93" i="1"/>
  <c r="S93" i="1"/>
  <c r="T93" i="1"/>
  <c r="U93" i="1"/>
  <c r="V93" i="1"/>
  <c r="R94" i="1"/>
  <c r="S94" i="1"/>
  <c r="T94" i="1"/>
  <c r="U94" i="1"/>
  <c r="V94" i="1"/>
  <c r="S95" i="1"/>
  <c r="T95" i="1"/>
  <c r="U95" i="1"/>
  <c r="V95" i="1"/>
  <c r="R96" i="1"/>
  <c r="S96" i="1"/>
  <c r="T96" i="1"/>
  <c r="U96" i="1"/>
  <c r="V96" i="1"/>
  <c r="R100" i="1"/>
  <c r="S100" i="1"/>
  <c r="T100" i="1"/>
  <c r="U100" i="1"/>
  <c r="V100" i="1"/>
  <c r="S101" i="1"/>
  <c r="U101" i="1"/>
  <c r="V101" i="1"/>
  <c r="V65" i="1"/>
  <c r="U65" i="1"/>
  <c r="T65" i="1"/>
  <c r="S65" i="1"/>
  <c r="R65" i="1"/>
  <c r="R27" i="1"/>
  <c r="S27" i="1"/>
  <c r="T27" i="1"/>
  <c r="U27" i="1"/>
  <c r="V27" i="1"/>
  <c r="R28" i="1"/>
  <c r="S28" i="1"/>
  <c r="T28" i="1"/>
  <c r="U28" i="1"/>
  <c r="V28" i="1"/>
  <c r="R29" i="1"/>
  <c r="S29" i="1"/>
  <c r="T29" i="1"/>
  <c r="U29" i="1"/>
  <c r="V29" i="1"/>
  <c r="R30" i="1"/>
  <c r="S30" i="1"/>
  <c r="T30" i="1"/>
  <c r="U30" i="1"/>
  <c r="V30" i="1"/>
  <c r="R31" i="1"/>
  <c r="S31" i="1"/>
  <c r="T31" i="1"/>
  <c r="U31" i="1"/>
  <c r="V31" i="1"/>
  <c r="R33" i="1"/>
  <c r="S33" i="1"/>
  <c r="T33" i="1"/>
  <c r="U33" i="1"/>
  <c r="V33" i="1"/>
  <c r="R34" i="1"/>
  <c r="S34" i="1"/>
  <c r="U34" i="1"/>
  <c r="V34" i="1"/>
  <c r="R35" i="1"/>
  <c r="S35" i="1"/>
  <c r="T35" i="1"/>
  <c r="U35" i="1"/>
  <c r="V35" i="1"/>
  <c r="R36" i="1"/>
  <c r="S36" i="1"/>
  <c r="T36" i="1"/>
  <c r="U36" i="1"/>
  <c r="V36" i="1"/>
  <c r="R37" i="1"/>
  <c r="S37" i="1"/>
  <c r="T37" i="1"/>
  <c r="U37" i="1"/>
  <c r="V37" i="1"/>
  <c r="R38" i="1"/>
  <c r="S38" i="1"/>
  <c r="T38" i="1"/>
  <c r="U38" i="1"/>
  <c r="V38" i="1"/>
  <c r="R39" i="1"/>
  <c r="S39" i="1"/>
  <c r="T39" i="1"/>
  <c r="U39" i="1"/>
  <c r="V39" i="1"/>
  <c r="R40" i="1"/>
  <c r="S40" i="1"/>
  <c r="T40" i="1"/>
  <c r="U40" i="1"/>
  <c r="V40" i="1"/>
  <c r="R41" i="1"/>
  <c r="S41" i="1"/>
  <c r="T41" i="1"/>
  <c r="U41" i="1"/>
  <c r="V41" i="1"/>
  <c r="R42" i="1"/>
  <c r="S42" i="1"/>
  <c r="T42" i="1"/>
  <c r="U42" i="1"/>
  <c r="V42" i="1"/>
  <c r="R43" i="1"/>
  <c r="S43" i="1"/>
  <c r="T43" i="1"/>
  <c r="U43" i="1"/>
  <c r="V43" i="1"/>
  <c r="R45" i="1"/>
  <c r="S45" i="1"/>
  <c r="T45" i="1"/>
  <c r="U45" i="1"/>
  <c r="V45" i="1"/>
  <c r="R46" i="1"/>
  <c r="S46" i="1"/>
  <c r="T46" i="1"/>
  <c r="U46" i="1"/>
  <c r="V46" i="1"/>
  <c r="R47" i="1"/>
  <c r="S47" i="1"/>
  <c r="T47" i="1"/>
  <c r="U47" i="1"/>
  <c r="V47" i="1"/>
  <c r="R48" i="1"/>
  <c r="S48" i="1"/>
  <c r="T48" i="1"/>
  <c r="U48" i="1"/>
  <c r="V48" i="1"/>
  <c r="R49" i="1"/>
  <c r="S49" i="1"/>
  <c r="T49" i="1"/>
  <c r="U49" i="1"/>
  <c r="V49" i="1"/>
  <c r="R50" i="1"/>
  <c r="S50" i="1"/>
  <c r="T50" i="1"/>
  <c r="U50" i="1"/>
  <c r="V50" i="1"/>
  <c r="R54" i="1"/>
  <c r="S54" i="1"/>
  <c r="T54" i="1"/>
  <c r="U54" i="1"/>
  <c r="V54" i="1"/>
  <c r="R56" i="1"/>
  <c r="S56" i="1"/>
  <c r="T56" i="1"/>
  <c r="U56" i="1"/>
  <c r="V56" i="1"/>
  <c r="R57" i="1"/>
  <c r="S57" i="1"/>
  <c r="T57" i="1"/>
  <c r="U57" i="1"/>
  <c r="V57" i="1"/>
  <c r="R58" i="1"/>
  <c r="S58" i="1"/>
  <c r="T58" i="1"/>
  <c r="U58" i="1"/>
  <c r="V58" i="1"/>
  <c r="R59" i="1"/>
  <c r="S59" i="1"/>
  <c r="T59" i="1"/>
  <c r="U59" i="1"/>
  <c r="V59" i="1"/>
  <c r="R61" i="1"/>
  <c r="S61" i="1"/>
  <c r="T61" i="1"/>
  <c r="U61" i="1"/>
  <c r="V61" i="1"/>
  <c r="S62" i="1"/>
  <c r="U62" i="1"/>
  <c r="V62" i="1"/>
  <c r="V26" i="1"/>
  <c r="U26" i="1"/>
  <c r="T26" i="1"/>
  <c r="S26" i="1"/>
  <c r="R26" i="1"/>
  <c r="R7" i="1"/>
  <c r="S7" i="1"/>
  <c r="T7" i="1"/>
  <c r="U7" i="1"/>
  <c r="V7" i="1"/>
  <c r="R8" i="1"/>
  <c r="S8" i="1"/>
  <c r="T8" i="1"/>
  <c r="U8" i="1"/>
  <c r="V8" i="1"/>
  <c r="R9" i="1"/>
  <c r="S9" i="1"/>
  <c r="T9" i="1"/>
  <c r="U9" i="1"/>
  <c r="V9" i="1"/>
  <c r="R11" i="1"/>
  <c r="S11" i="1"/>
  <c r="T11" i="1"/>
  <c r="U11" i="1"/>
  <c r="V11" i="1"/>
  <c r="S12" i="1"/>
  <c r="T12" i="1"/>
  <c r="U12" i="1"/>
  <c r="V12" i="1"/>
  <c r="S13" i="1"/>
  <c r="T13" i="1"/>
  <c r="U13" i="1"/>
  <c r="V13" i="1"/>
  <c r="R14" i="1"/>
  <c r="S14" i="1"/>
  <c r="T14" i="1"/>
  <c r="U14" i="1"/>
  <c r="V14" i="1"/>
  <c r="R15" i="1"/>
  <c r="S15" i="1"/>
  <c r="T15" i="1"/>
  <c r="U15" i="1"/>
  <c r="V15" i="1"/>
  <c r="R16" i="1"/>
  <c r="S16" i="1"/>
  <c r="T16" i="1"/>
  <c r="U16" i="1"/>
  <c r="V16" i="1"/>
  <c r="R17" i="1"/>
  <c r="S17" i="1"/>
  <c r="T17" i="1"/>
  <c r="U17" i="1"/>
  <c r="V17" i="1"/>
  <c r="R18" i="1"/>
  <c r="S18" i="1"/>
  <c r="T18" i="1"/>
  <c r="U18" i="1"/>
  <c r="V18" i="1"/>
  <c r="R19" i="1"/>
  <c r="S19" i="1"/>
  <c r="T19" i="1"/>
  <c r="U19" i="1"/>
  <c r="V19" i="1"/>
  <c r="S20" i="1"/>
  <c r="T20" i="1"/>
  <c r="U20" i="1"/>
  <c r="V20" i="1"/>
  <c r="R21" i="1"/>
  <c r="S21" i="1"/>
  <c r="T21" i="1"/>
  <c r="U21" i="1"/>
  <c r="V21" i="1"/>
  <c r="R22" i="1"/>
  <c r="U22" i="1"/>
  <c r="V22" i="1"/>
  <c r="S23" i="1"/>
  <c r="U23" i="1"/>
  <c r="V23" i="1"/>
  <c r="V6" i="1"/>
  <c r="U6" i="1"/>
  <c r="T6" i="1"/>
  <c r="V70" i="1" l="1"/>
  <c r="V150" i="1"/>
  <c r="O225" i="1" l="1"/>
  <c r="K225" i="1"/>
  <c r="L217" i="1" s="1"/>
  <c r="H225" i="1"/>
  <c r="K210" i="1"/>
  <c r="H210" i="1"/>
  <c r="D210" i="1"/>
  <c r="L192" i="1"/>
  <c r="H181" i="1"/>
  <c r="O181" i="1"/>
  <c r="K181" i="1"/>
  <c r="O175" i="1"/>
  <c r="K175" i="1"/>
  <c r="L163" i="1" s="1"/>
  <c r="H175" i="1"/>
  <c r="D175" i="1"/>
  <c r="E163" i="1" s="1"/>
  <c r="O143" i="1"/>
  <c r="K143" i="1"/>
  <c r="H143" i="1"/>
  <c r="T143" i="1" s="1"/>
  <c r="H135" i="1"/>
  <c r="K135" i="1"/>
  <c r="L119" i="1" s="1"/>
  <c r="O101" i="1"/>
  <c r="K101" i="1"/>
  <c r="H101" i="1"/>
  <c r="D101" i="1"/>
  <c r="E97" i="1" s="1"/>
  <c r="O62" i="1"/>
  <c r="H62" i="1"/>
  <c r="O23" i="1"/>
  <c r="H23" i="1"/>
  <c r="E161" i="1" l="1"/>
  <c r="E44" i="1"/>
  <c r="L79" i="1"/>
  <c r="L97" i="1"/>
  <c r="L164" i="1"/>
  <c r="L44" i="1"/>
  <c r="L126" i="1"/>
  <c r="L118" i="1"/>
  <c r="B5" i="3"/>
  <c r="L193" i="1"/>
  <c r="L82" i="1"/>
  <c r="L96" i="1"/>
  <c r="L133" i="1"/>
  <c r="B4" i="3"/>
  <c r="L156" i="1"/>
  <c r="L161" i="1"/>
  <c r="L162" i="1"/>
  <c r="L169" i="1"/>
  <c r="L147" i="1"/>
  <c r="L197" i="1"/>
  <c r="L196" i="1"/>
  <c r="E71" i="1"/>
  <c r="B15" i="2"/>
  <c r="B5" i="2" s="1"/>
  <c r="L71" i="1"/>
  <c r="C15" i="2"/>
  <c r="C5" i="2" s="1"/>
  <c r="B18" i="2"/>
  <c r="B8" i="2" s="1"/>
  <c r="E169" i="1"/>
  <c r="E55" i="1"/>
  <c r="L55" i="1"/>
  <c r="L106" i="1"/>
  <c r="L109" i="1"/>
  <c r="E32" i="1"/>
  <c r="L32" i="1"/>
  <c r="L167" i="1"/>
  <c r="L168" i="1"/>
  <c r="L170" i="1"/>
  <c r="E61" i="1"/>
  <c r="E60" i="1"/>
  <c r="C18" i="2"/>
  <c r="C8" i="2" s="1"/>
  <c r="C16" i="2"/>
  <c r="C6" i="2" s="1"/>
  <c r="L108" i="1"/>
  <c r="L139" i="1"/>
  <c r="C17" i="2"/>
  <c r="C7" i="2" s="1"/>
  <c r="B6" i="3"/>
  <c r="C19" i="2"/>
  <c r="C9" i="2" s="1"/>
  <c r="B2" i="3"/>
  <c r="C20" i="2"/>
  <c r="C10" i="2" s="1"/>
  <c r="B7" i="3"/>
  <c r="B8" i="3"/>
  <c r="C4" i="2"/>
  <c r="E99" i="1"/>
  <c r="B9" i="3"/>
  <c r="L84" i="1"/>
  <c r="L99" i="1"/>
  <c r="L60" i="1"/>
  <c r="L190" i="1"/>
  <c r="L191" i="1"/>
  <c r="L194" i="1"/>
  <c r="L195" i="1"/>
  <c r="L198" i="1"/>
  <c r="L199" i="1"/>
  <c r="L200" i="1"/>
  <c r="L127" i="1"/>
  <c r="L128" i="1"/>
  <c r="E81" i="1"/>
  <c r="E84" i="1"/>
  <c r="E168" i="1"/>
  <c r="E170" i="1"/>
  <c r="L91" i="1"/>
  <c r="L100" i="1"/>
  <c r="L81" i="1"/>
  <c r="E147" i="1"/>
  <c r="L111" i="1"/>
  <c r="L124" i="1"/>
  <c r="L189" i="1"/>
  <c r="E87" i="1"/>
  <c r="L87" i="1"/>
  <c r="L58" i="1"/>
  <c r="L37" i="1"/>
  <c r="L223" i="1"/>
  <c r="L224" i="1"/>
  <c r="E51" i="1"/>
  <c r="L50" i="1"/>
  <c r="L54" i="1"/>
  <c r="L51" i="1"/>
  <c r="L56" i="1"/>
  <c r="L105" i="1"/>
  <c r="L122" i="1"/>
  <c r="L171" i="1"/>
  <c r="L92" i="1"/>
  <c r="L68" i="1"/>
  <c r="L110" i="1"/>
  <c r="L26" i="1"/>
  <c r="T204" i="1"/>
  <c r="L98" i="1"/>
  <c r="E89" i="1"/>
  <c r="E98" i="1"/>
  <c r="T225" i="1"/>
  <c r="L89" i="1"/>
  <c r="T62" i="1"/>
  <c r="T181" i="1"/>
  <c r="R181" i="1"/>
  <c r="T101" i="1"/>
  <c r="T175" i="1"/>
  <c r="T23" i="1"/>
  <c r="R143" i="1"/>
  <c r="R225" i="1"/>
  <c r="T135" i="1"/>
  <c r="O205" i="1"/>
  <c r="O226" i="1" s="1"/>
  <c r="R175" i="1"/>
  <c r="R135" i="1"/>
  <c r="R101" i="1"/>
  <c r="L67" i="1"/>
  <c r="L69" i="1"/>
  <c r="L72" i="1"/>
  <c r="L74" i="1"/>
  <c r="L76" i="1"/>
  <c r="L78" i="1"/>
  <c r="L80" i="1"/>
  <c r="L83" i="1"/>
  <c r="L86" i="1"/>
  <c r="L90" i="1"/>
  <c r="L94" i="1"/>
  <c r="L66" i="1"/>
  <c r="L70" i="1"/>
  <c r="L73" i="1"/>
  <c r="L75" i="1"/>
  <c r="L77" i="1"/>
  <c r="L85" i="1"/>
  <c r="L88" i="1"/>
  <c r="L93" i="1"/>
  <c r="L95" i="1"/>
  <c r="E28" i="1"/>
  <c r="E30" i="1"/>
  <c r="E33" i="1"/>
  <c r="E35" i="1"/>
  <c r="E37" i="1"/>
  <c r="E39" i="1"/>
  <c r="E41" i="1"/>
  <c r="E43" i="1"/>
  <c r="E46" i="1"/>
  <c r="E50" i="1"/>
  <c r="E56" i="1"/>
  <c r="E58" i="1"/>
  <c r="E27" i="1"/>
  <c r="E29" i="1"/>
  <c r="E31" i="1"/>
  <c r="E34" i="1"/>
  <c r="E36" i="1"/>
  <c r="E38" i="1"/>
  <c r="E40" i="1"/>
  <c r="E42" i="1"/>
  <c r="E45" i="1"/>
  <c r="E47" i="1"/>
  <c r="E54" i="1"/>
  <c r="E57" i="1"/>
  <c r="E59" i="1"/>
  <c r="E26" i="1"/>
  <c r="R204" i="1"/>
  <c r="H205" i="1"/>
  <c r="H226" i="1" s="1"/>
  <c r="J10" i="4"/>
  <c r="I12" i="4"/>
  <c r="H12" i="4"/>
  <c r="G12" i="4"/>
  <c r="F12" i="4"/>
  <c r="E12" i="4"/>
  <c r="C12" i="4"/>
  <c r="E221" i="1"/>
  <c r="L222" i="1"/>
  <c r="L221" i="1"/>
  <c r="L219" i="1"/>
  <c r="L218" i="1"/>
  <c r="L215" i="1"/>
  <c r="L214" i="1"/>
  <c r="L213" i="1"/>
  <c r="L208" i="1"/>
  <c r="E208" i="1"/>
  <c r="L186" i="1"/>
  <c r="L178" i="1"/>
  <c r="E180" i="1"/>
  <c r="E174" i="1"/>
  <c r="E171" i="1"/>
  <c r="L160" i="1"/>
  <c r="L158" i="1"/>
  <c r="L155" i="1"/>
  <c r="L152" i="1"/>
  <c r="L150" i="1"/>
  <c r="L146" i="1"/>
  <c r="L141" i="1"/>
  <c r="E142" i="1"/>
  <c r="L142" i="1"/>
  <c r="E96" i="1"/>
  <c r="E95" i="1"/>
  <c r="E93" i="1"/>
  <c r="E91" i="1"/>
  <c r="E88" i="1"/>
  <c r="E85" i="1"/>
  <c r="E82" i="1"/>
  <c r="E79" i="1"/>
  <c r="E77" i="1"/>
  <c r="E75" i="1"/>
  <c r="E73" i="1"/>
  <c r="E70" i="1"/>
  <c r="E68" i="1"/>
  <c r="E66" i="1"/>
  <c r="L57" i="1"/>
  <c r="R62" i="1"/>
  <c r="L34" i="1"/>
  <c r="K23" i="1"/>
  <c r="L16" i="1" s="1"/>
  <c r="E15" i="1"/>
  <c r="S6" i="1"/>
  <c r="R6" i="1"/>
  <c r="L10" i="1" l="1"/>
  <c r="C13" i="2"/>
  <c r="C3" i="2" s="1"/>
  <c r="B3" i="3"/>
  <c r="J12" i="4"/>
  <c r="I4" i="5"/>
  <c r="I3" i="5" s="1"/>
  <c r="L7" i="1"/>
  <c r="L8" i="1"/>
  <c r="L9" i="1"/>
  <c r="L11" i="1"/>
  <c r="L12" i="1"/>
  <c r="L13" i="1"/>
  <c r="L14" i="1"/>
  <c r="L15" i="1"/>
  <c r="L17" i="1"/>
  <c r="L18" i="1"/>
  <c r="L19" i="1"/>
  <c r="L20" i="1"/>
  <c r="L21" i="1"/>
  <c r="L22" i="1"/>
  <c r="E8" i="1"/>
  <c r="E6" i="1"/>
  <c r="E11" i="1"/>
  <c r="E9" i="1"/>
  <c r="E20" i="1"/>
  <c r="R23" i="1"/>
  <c r="L6" i="1"/>
  <c r="L42" i="1"/>
  <c r="L138" i="1"/>
  <c r="L148" i="1"/>
  <c r="L151" i="1"/>
  <c r="L154" i="1"/>
  <c r="L159" i="1"/>
  <c r="L165" i="1"/>
  <c r="E19" i="1"/>
  <c r="L65" i="1"/>
  <c r="E69" i="1"/>
  <c r="E138" i="1"/>
  <c r="E146" i="1"/>
  <c r="E148" i="1"/>
  <c r="E149" i="1"/>
  <c r="E154" i="1"/>
  <c r="E155" i="1"/>
  <c r="E156" i="1"/>
  <c r="E157" i="1"/>
  <c r="E164" i="1"/>
  <c r="E167" i="1"/>
  <c r="E173" i="1"/>
  <c r="E12" i="1"/>
  <c r="E14" i="1"/>
  <c r="E17" i="1"/>
  <c r="E21" i="1"/>
  <c r="L30" i="1"/>
  <c r="L39" i="1"/>
  <c r="L46" i="1"/>
  <c r="K205" i="1"/>
  <c r="L140" i="1"/>
  <c r="E150" i="1"/>
  <c r="E151" i="1"/>
  <c r="E152" i="1"/>
  <c r="E153" i="1"/>
  <c r="E158" i="1"/>
  <c r="E159" i="1"/>
  <c r="E160" i="1"/>
  <c r="E162" i="1"/>
  <c r="E165" i="1"/>
  <c r="E166" i="1"/>
  <c r="E172" i="1"/>
  <c r="L185" i="1"/>
  <c r="L115" i="1"/>
  <c r="L114" i="1"/>
  <c r="L35" i="1"/>
  <c r="L47" i="1"/>
  <c r="E141" i="1"/>
  <c r="L173" i="1"/>
  <c r="L180" i="1"/>
  <c r="E216" i="1"/>
  <c r="E220" i="1"/>
  <c r="E224" i="1"/>
  <c r="D12" i="4"/>
  <c r="E107" i="1"/>
  <c r="L41" i="1"/>
  <c r="L31" i="1"/>
  <c r="L43" i="1"/>
  <c r="L149" i="1"/>
  <c r="L153" i="1"/>
  <c r="L157" i="1"/>
  <c r="E179" i="1"/>
  <c r="E189" i="1"/>
  <c r="E209" i="1"/>
  <c r="L216" i="1"/>
  <c r="L220" i="1"/>
  <c r="L29" i="1"/>
  <c r="E7" i="1"/>
  <c r="E18" i="1"/>
  <c r="E22" i="1"/>
  <c r="L28" i="1"/>
  <c r="L49" i="1"/>
  <c r="E65" i="1"/>
  <c r="E74" i="1"/>
  <c r="E78" i="1"/>
  <c r="E83" i="1"/>
  <c r="E90" i="1"/>
  <c r="E94" i="1"/>
  <c r="E100" i="1"/>
  <c r="E140" i="1"/>
  <c r="L166" i="1"/>
  <c r="L172" i="1"/>
  <c r="L179" i="1"/>
  <c r="L209" i="1"/>
  <c r="R210" i="1"/>
  <c r="E215" i="1"/>
  <c r="E219" i="1"/>
  <c r="E223" i="1"/>
  <c r="E178" i="1"/>
  <c r="E186" i="1"/>
  <c r="E214" i="1"/>
  <c r="E218" i="1"/>
  <c r="E222" i="1"/>
  <c r="L48" i="1"/>
  <c r="L61" i="1"/>
  <c r="L27" i="1"/>
  <c r="L36" i="1"/>
  <c r="E185" i="1"/>
  <c r="E13" i="1"/>
  <c r="E16" i="1"/>
  <c r="L33" i="1"/>
  <c r="L45" i="1"/>
  <c r="E67" i="1"/>
  <c r="E72" i="1"/>
  <c r="E76" i="1"/>
  <c r="E80" i="1"/>
  <c r="E86" i="1"/>
  <c r="E92" i="1"/>
  <c r="L174" i="1"/>
  <c r="E213" i="1"/>
  <c r="E217" i="1"/>
  <c r="L125" i="1" l="1"/>
  <c r="L107" i="1"/>
  <c r="L112" i="1"/>
  <c r="L130" i="1"/>
  <c r="L113" i="1"/>
  <c r="K226" i="1"/>
  <c r="L23" i="1"/>
  <c r="L175" i="1"/>
  <c r="L62" i="1"/>
  <c r="L143" i="1"/>
  <c r="L101" i="1"/>
  <c r="L135" i="1"/>
  <c r="L204" i="1"/>
  <c r="L181" i="1"/>
  <c r="L117" i="1"/>
  <c r="L116" i="1"/>
  <c r="L134" i="1"/>
  <c r="L129" i="1"/>
  <c r="L131" i="1"/>
  <c r="L132" i="1"/>
  <c r="L123" i="1"/>
  <c r="E132" i="1"/>
  <c r="E129" i="1"/>
  <c r="E116" i="1"/>
  <c r="E113" i="1"/>
  <c r="E114" i="1"/>
  <c r="E124" i="1"/>
  <c r="E115" i="1"/>
  <c r="D205" i="1"/>
  <c r="E134" i="1"/>
  <c r="E105" i="1"/>
  <c r="E117" i="1"/>
  <c r="E112" i="1"/>
  <c r="E131" i="1"/>
  <c r="E130" i="1"/>
  <c r="E125" i="1"/>
  <c r="E122" i="1"/>
  <c r="E135" i="1" l="1"/>
  <c r="R205" i="1"/>
  <c r="E62" i="1"/>
  <c r="E175" i="1"/>
  <c r="D226" i="1"/>
  <c r="E101" i="1"/>
  <c r="E23" i="1"/>
  <c r="E204" i="1"/>
  <c r="E143" i="1"/>
  <c r="E181" i="1"/>
</calcChain>
</file>

<file path=xl/sharedStrings.xml><?xml version="1.0" encoding="utf-8"?>
<sst xmlns="http://schemas.openxmlformats.org/spreadsheetml/2006/main" count="469" uniqueCount="296">
  <si>
    <t>% Change (Current from Previous)</t>
  </si>
  <si>
    <t>Difference</t>
  </si>
  <si>
    <t>S/N</t>
  </si>
  <si>
    <t>FUND</t>
  </si>
  <si>
    <t>FUND MANAGER</t>
  </si>
  <si>
    <t>NAV (N)</t>
  </si>
  <si>
    <t>Bid Price (N)</t>
  </si>
  <si>
    <t>Offer Price (N)</t>
  </si>
  <si>
    <t>Yield (WTD)</t>
  </si>
  <si>
    <t>Yield  (YTD)</t>
  </si>
  <si>
    <t>NAV (%)</t>
  </si>
  <si>
    <t>Unit Price (%)</t>
  </si>
  <si>
    <t>Yield (%) WYD</t>
  </si>
  <si>
    <t>Yield (%) YTD</t>
  </si>
  <si>
    <t>EQUITY BASED FUNDS</t>
  </si>
  <si>
    <t>Afrinvest Equity Fund</t>
  </si>
  <si>
    <t>Afrinvest Asset Mgt Ltd.</t>
  </si>
  <si>
    <t>Anchoria Equity Fund</t>
  </si>
  <si>
    <t>Anchoria Asset Management Limited</t>
  </si>
  <si>
    <t>ARM Aggressive Growth Fund</t>
  </si>
  <si>
    <t>Asset &amp; Resources Mgt. Co. Ltd</t>
  </si>
  <si>
    <t>AXA Mansard Equity Income Fund</t>
  </si>
  <si>
    <t>AXA Mansard Investments Limited</t>
  </si>
  <si>
    <t>Cowry Equity Fund</t>
  </si>
  <si>
    <t>Cowry Treasurers Limited</t>
  </si>
  <si>
    <t>FBN Nigeria Smart Beta Equity Fund</t>
  </si>
  <si>
    <t>FBNQuest Asset Management Limited</t>
  </si>
  <si>
    <t>Frontier Fund</t>
  </si>
  <si>
    <t>SCM Capital Limited</t>
  </si>
  <si>
    <t>Futureview Equity Fund</t>
  </si>
  <si>
    <t>Futureview Asset Management Limited</t>
  </si>
  <si>
    <t>Guaranty Trust Fund Managers</t>
  </si>
  <si>
    <t>Legacy Equity Fund</t>
  </si>
  <si>
    <t>First City Asset Management Limited</t>
  </si>
  <si>
    <t>Meristem Equity Market Fund</t>
  </si>
  <si>
    <t>Meristem Wealth Management Limited</t>
  </si>
  <si>
    <t>PACAM Equity Fund</t>
  </si>
  <si>
    <t>PAC Asset Management Limited</t>
  </si>
  <si>
    <t>Paramount Equity Fund</t>
  </si>
  <si>
    <t>Chapel Hill Denham Mgt. Limited</t>
  </si>
  <si>
    <t>Stanbic IBTC Aggressive Fund (Sub Fund)</t>
  </si>
  <si>
    <t>Stanbic IBTC Asset Mgt. Limited</t>
  </si>
  <si>
    <t>Stanbic IBTC Nigerian Equity Fund</t>
  </si>
  <si>
    <t>United Capital Equity Fund</t>
  </si>
  <si>
    <t>United Capital Asset Mgt. Ltd</t>
  </si>
  <si>
    <t>Sub-Total</t>
  </si>
  <si>
    <t>MONEY MARKET FUNDS</t>
  </si>
  <si>
    <t>Afrinvest Plutus Fund</t>
  </si>
  <si>
    <t>AIICO Money Market Fund</t>
  </si>
  <si>
    <t>AIICO Capital Ltd</t>
  </si>
  <si>
    <t>Anchoria Money Market Fund</t>
  </si>
  <si>
    <t>ARM Money Market Fund</t>
  </si>
  <si>
    <t>AXA Mansard Money Market Fund</t>
  </si>
  <si>
    <t>Chapel Hill Denham Money Market Fund</t>
  </si>
  <si>
    <t>Coral Money Market Fund</t>
  </si>
  <si>
    <t>FSDH Asset Management Ltd</t>
  </si>
  <si>
    <t>Cordros Money Market Fund</t>
  </si>
  <si>
    <t>Cordros Asset Management Limited</t>
  </si>
  <si>
    <t>Core Investment Money Market Fund</t>
  </si>
  <si>
    <t>Core Asset Management Limited</t>
  </si>
  <si>
    <t>Coronation Money Market Fund</t>
  </si>
  <si>
    <t>Coronation Asset Management Ltd</t>
  </si>
  <si>
    <t>EDC Money Market Fund Class A</t>
  </si>
  <si>
    <t>EDC Fund Management Limited</t>
  </si>
  <si>
    <t>EDC Money Market Fund Class B</t>
  </si>
  <si>
    <t>Emerging Africa Money Market Fund</t>
  </si>
  <si>
    <t>Emerging Africa Asset Management Limited</t>
  </si>
  <si>
    <t>FBN Money Market Fund</t>
  </si>
  <si>
    <t>First Ally Money Market Fund</t>
  </si>
  <si>
    <t>First Ally Asset Management Limited</t>
  </si>
  <si>
    <t>GDL Money Market Fund</t>
  </si>
  <si>
    <t>Growth &amp; Development Asset Management Limited</t>
  </si>
  <si>
    <t>Greenwich Plus Money Market Fund</t>
  </si>
  <si>
    <t>Greenwich Asset Management Limited</t>
  </si>
  <si>
    <t>Legacy Money Market Fund</t>
  </si>
  <si>
    <t>Meristem Money Market Fund</t>
  </si>
  <si>
    <t>Norrenberger Money Market Fund</t>
  </si>
  <si>
    <t>Norrenberger Investment &amp; Capital Mgt. Ltd.</t>
  </si>
  <si>
    <t>Nova Prime Money Market Fund</t>
  </si>
  <si>
    <t xml:space="preserve">Novambl Asset Management </t>
  </si>
  <si>
    <t>PACAM Money Market Fund</t>
  </si>
  <si>
    <t>Stanbic IBTC Money Market Fund</t>
  </si>
  <si>
    <t>Trustbanc Money Market Fund</t>
  </si>
  <si>
    <t>Trustbanc Asset Management Limited</t>
  </si>
  <si>
    <t>United Capital Money Market Fund</t>
  </si>
  <si>
    <t>ValuAlliance Money Market  Fund</t>
  </si>
  <si>
    <t>ValuAlliance Asset Management Limited</t>
  </si>
  <si>
    <t>Vetiva Money Market Fund</t>
  </si>
  <si>
    <t>Vetiva Fund Managers</t>
  </si>
  <si>
    <t>Zenith Money Market Fund</t>
  </si>
  <si>
    <t>Zenith Asset Management Ltd</t>
  </si>
  <si>
    <t>BOND/FIXED INCOME FUNDS</t>
  </si>
  <si>
    <t>Anchoria Fixed Income Fund</t>
  </si>
  <si>
    <t>ARM Fixed Income Fund</t>
  </si>
  <si>
    <t>ARM Short Term Bond Fund</t>
  </si>
  <si>
    <t>AVA GAM Fixed Income Fund</t>
  </si>
  <si>
    <t>AVA Global Asset Managers Limited</t>
  </si>
  <si>
    <t>CardinalStone Fixed Income Alpha Fund</t>
  </si>
  <si>
    <t>CardinalStone Asset Mgt. Limited</t>
  </si>
  <si>
    <t>CEAT Fixed Income Fund</t>
  </si>
  <si>
    <t>Capital Express Asset and Trust Limited</t>
  </si>
  <si>
    <t>Coral Income Fund</t>
  </si>
  <si>
    <t>Cordros Fixed Income Fund</t>
  </si>
  <si>
    <t>Coronation Fixed Income Fund</t>
  </si>
  <si>
    <t xml:space="preserve">Coronation Asset Management </t>
  </si>
  <si>
    <t>Cowry Fixed Income Fund</t>
  </si>
  <si>
    <t>DLM Fixed Income Fund</t>
  </si>
  <si>
    <t>DLM Asset Management Limited</t>
  </si>
  <si>
    <t>EDC Fixed Income Fund</t>
  </si>
  <si>
    <t>Emerging Africa Bond Fund</t>
  </si>
  <si>
    <t>FBN Bond Fund</t>
  </si>
  <si>
    <t>GDL Income Fund</t>
  </si>
  <si>
    <t>Lead Fixed Income Fund</t>
  </si>
  <si>
    <t>Lead Asset Management Limited</t>
  </si>
  <si>
    <t>Legacy Debt Fund</t>
  </si>
  <si>
    <t>Nigeria Bond Fund</t>
  </si>
  <si>
    <t>Nigeria International Debt Fund</t>
  </si>
  <si>
    <t>PACAM Fixed Income Fund</t>
  </si>
  <si>
    <t>SFS Fixed Income Fund</t>
  </si>
  <si>
    <t>SFS Capital Nigeria Ltd</t>
  </si>
  <si>
    <t>Stanbic IBTC Absolute Fund (Sub Fund)</t>
  </si>
  <si>
    <t>Stanbic IBTC Bond Fund</t>
  </si>
  <si>
    <t>Stanbic IBTC Conservative Fund (Sub Fund)</t>
  </si>
  <si>
    <t>Stanbic IBTC Enhanced Short-Term Fixed Income Fund</t>
  </si>
  <si>
    <t>Stanbic IBTC Guaranteed Investment Fund</t>
  </si>
  <si>
    <t>United Capital Fixed Income Fund</t>
  </si>
  <si>
    <t>Zenith Income Fund</t>
  </si>
  <si>
    <t>DOLLAR FUNDS</t>
  </si>
  <si>
    <t>Afrinvest Dollar Fund</t>
  </si>
  <si>
    <t>ARM Eurobond Fund</t>
  </si>
  <si>
    <t>Emerging Africa Eurobond Fund</t>
  </si>
  <si>
    <t>FBN Dollar Fund (Retail)</t>
  </si>
  <si>
    <t>FBN Specialized Dollar Fund</t>
  </si>
  <si>
    <t>Futureview Dollar Fund</t>
  </si>
  <si>
    <t>Legacy USD Bond Fund</t>
  </si>
  <si>
    <t>Norrenberger Dollar Fund</t>
  </si>
  <si>
    <t>PACAM Eurobond Fund</t>
  </si>
  <si>
    <t>EDC Dollar Fund</t>
  </si>
  <si>
    <t>AVA GAM Fixed Income Dollar Fund</t>
  </si>
  <si>
    <t>AXA Mansard Dollar Bond Fund</t>
  </si>
  <si>
    <t>Cordros Dollar Fund</t>
  </si>
  <si>
    <t>FSDH Dollar Fund</t>
  </si>
  <si>
    <t>Nigeria Dollar Income Fund</t>
  </si>
  <si>
    <t>Nova Dollar Fixed Income Fund</t>
  </si>
  <si>
    <t>Stanbic IBTC Dollar Fund</t>
  </si>
  <si>
    <t>United Capital Global Fixed Income Fund</t>
  </si>
  <si>
    <t>REAL ESTATE INVESTMENT TRUSTS</t>
  </si>
  <si>
    <t>Nigeria Real Estate Investment Trust</t>
  </si>
  <si>
    <t>SFS Real Estate Investment Trust Fund</t>
  </si>
  <si>
    <t>Union Homes REITS</t>
  </si>
  <si>
    <t>UPDC Real Estate Investment Trust</t>
  </si>
  <si>
    <t>BALANCED FUNDS</t>
  </si>
  <si>
    <t>AIICO Balanced Fund</t>
  </si>
  <si>
    <t>ARM Discovery Balanced Fund</t>
  </si>
  <si>
    <t>Balanced Strategy Fund</t>
  </si>
  <si>
    <t>Capital Express Balanced Fund</t>
  </si>
  <si>
    <t>Coral Balanced Fund</t>
  </si>
  <si>
    <t>Cordros Milestone Fund</t>
  </si>
  <si>
    <t>Core Value Mixed Fund</t>
  </si>
  <si>
    <t>Coronation Balanced Fund</t>
  </si>
  <si>
    <t>Cowry Balanced Fund</t>
  </si>
  <si>
    <t>EDC Balanced Fund</t>
  </si>
  <si>
    <t>Emerging Africa Balanced-Diversity Fund</t>
  </si>
  <si>
    <t>FBN Balanced Fund</t>
  </si>
  <si>
    <t>GDL Canary Growth Fund</t>
  </si>
  <si>
    <t>Greenwich Balanced Fund</t>
  </si>
  <si>
    <t>Lead Balanced Fund</t>
  </si>
  <si>
    <t>Nigeria Energy Sector Fund</t>
  </si>
  <si>
    <t>Nova Hybrid Balanced Fund</t>
  </si>
  <si>
    <t>PACAM Balanced Fund</t>
  </si>
  <si>
    <t>Stanbic IBTC Balanced Fund</t>
  </si>
  <si>
    <t>United Capital Balanced Fund</t>
  </si>
  <si>
    <t>United Capital Wealth for Women Fund</t>
  </si>
  <si>
    <t>ValuAlliance Value Fund</t>
  </si>
  <si>
    <t>Women's Balanced Fund</t>
  </si>
  <si>
    <t>ETHICAL FUNDS</t>
  </si>
  <si>
    <t>ARM Ethical Fund</t>
  </si>
  <si>
    <t>ESG Impact Fund</t>
  </si>
  <si>
    <t>Zenith Asset Management Ltd.</t>
  </si>
  <si>
    <t>Stanbic IBTC Ethical Fund</t>
  </si>
  <si>
    <t>SHARI'AH COMPLIANT FUNDS</t>
  </si>
  <si>
    <t>Lotus Halal Investment Fund</t>
  </si>
  <si>
    <t>Lotus Capital Limited</t>
  </si>
  <si>
    <t>Stanbic IBTC Imaan Fund</t>
  </si>
  <si>
    <t>CapitalTrust Halal Fixed Income Fund</t>
  </si>
  <si>
    <t>CapitalTrust Investments &amp; Asset Management Ltd.</t>
  </si>
  <si>
    <t>Cordros Halal Fixed Income Fund</t>
  </si>
  <si>
    <t>EDC Halal Fund</t>
  </si>
  <si>
    <t>FBN Halal Fund</t>
  </si>
  <si>
    <t>Lotus Capital Fixed Income Fund</t>
  </si>
  <si>
    <t>Norrenberger Islamic Fund</t>
  </si>
  <si>
    <t>Stanbic IBTC Shariah Fixed Income Fund</t>
  </si>
  <si>
    <t>United Capital Sukuk Fund</t>
  </si>
  <si>
    <t>Marble Halal Commodities Fund</t>
  </si>
  <si>
    <t xml:space="preserve">Marble Capital Limited </t>
  </si>
  <si>
    <t>Mutual Funds Total</t>
  </si>
  <si>
    <t>INFRASTRUCTURE FUNDS</t>
  </si>
  <si>
    <t>Nigeria Infrastructure Debt Fund (NIDF)</t>
  </si>
  <si>
    <t>Chapel Hill Denham Management Limited</t>
  </si>
  <si>
    <t>United Capital Infrastructure Fund</t>
  </si>
  <si>
    <t>Infrastructure Funds Total</t>
  </si>
  <si>
    <t>EXCHANGE TRADED FUNDS</t>
  </si>
  <si>
    <t>Greenwich ALPHA ETF</t>
  </si>
  <si>
    <t>Lotus Capital Halal ETF</t>
  </si>
  <si>
    <t>Meristem Growth ETF</t>
  </si>
  <si>
    <t>Meristem Value ETF</t>
  </si>
  <si>
    <t>New Gold ETF</t>
  </si>
  <si>
    <t>New Gold Managers (Proprietary) Ltd</t>
  </si>
  <si>
    <t>SIAML ETF 40</t>
  </si>
  <si>
    <t>Stanbic IBTC Asset Mgt.Limited</t>
  </si>
  <si>
    <t>Stanbic IBTC ETF 30 Fund</t>
  </si>
  <si>
    <t>VCG ETF</t>
  </si>
  <si>
    <t>Vetiva Fund Managers Limited</t>
  </si>
  <si>
    <t>VETBANK ETF</t>
  </si>
  <si>
    <t>Vetiva S &amp; P Nig. Sovereign Bond ETF</t>
  </si>
  <si>
    <t>VG 30 ETF</t>
  </si>
  <si>
    <t>VI ETF</t>
  </si>
  <si>
    <t>ETF Total</t>
  </si>
  <si>
    <t>Grand Total</t>
  </si>
  <si>
    <t>FUNDS</t>
  </si>
  <si>
    <t>BONDS/FIXED INCOME FUNDS</t>
  </si>
  <si>
    <t>REAL ESTATE INVESTMENT TRUST</t>
  </si>
  <si>
    <t>SHARI'AH COMPLAINT FUNDS</t>
  </si>
  <si>
    <t>TOTAL</t>
  </si>
  <si>
    <t>MOVING AVERAGE:</t>
  </si>
  <si>
    <t>-</t>
  </si>
  <si>
    <t>Unitholders</t>
  </si>
  <si>
    <t>EUROBONDS</t>
  </si>
  <si>
    <t>FIXED INCOME</t>
  </si>
  <si>
    <t>EQUITIES</t>
  </si>
  <si>
    <t>DATE</t>
  </si>
  <si>
    <t>TOTAL NAV</t>
  </si>
  <si>
    <t>Uniholders</t>
  </si>
  <si>
    <t>Radix Horizon Fund</t>
  </si>
  <si>
    <t>Radix Capital Partners Limited</t>
  </si>
  <si>
    <t>Guaranty Trust Equity Income Fund</t>
  </si>
  <si>
    <t>Guaranty Trust Money Market Fund</t>
  </si>
  <si>
    <t>Guaranty Trust Balanced Fund</t>
  </si>
  <si>
    <t>Utica Custodian Assured Fixed Income Fund</t>
  </si>
  <si>
    <t>Utica Capital Limited</t>
  </si>
  <si>
    <t>Cowry Eurobond Fund</t>
  </si>
  <si>
    <t>Marble Halal Fixed Income Fund</t>
  </si>
  <si>
    <t>Housing Solution Fund</t>
  </si>
  <si>
    <t>Fundco Capital Managers Limited</t>
  </si>
  <si>
    <t>Page Money Market Fund</t>
  </si>
  <si>
    <t>Page Asset Management Limited</t>
  </si>
  <si>
    <t>FSDH Halal Fund</t>
  </si>
  <si>
    <t>Note:</t>
  </si>
  <si>
    <t>Guaranty Trust Fixed Income Fund</t>
  </si>
  <si>
    <t>Norrenberger Turbo Fund (NTF)</t>
  </si>
  <si>
    <t>Lead Dollar Fixed Income Fund</t>
  </si>
  <si>
    <t>Alpha Morgan Capital Managers Limited</t>
  </si>
  <si>
    <t>Alpha Morgan Balanced Fund</t>
  </si>
  <si>
    <t>The Nigeria Football Fund</t>
  </si>
  <si>
    <t>GTI Asset Management &amp; Trust Limited</t>
  </si>
  <si>
    <t>Meristem Fixed Income Fund</t>
  </si>
  <si>
    <t>Meristem Dollar Fund</t>
  </si>
  <si>
    <t>Zedcrest Money Market Fund</t>
  </si>
  <si>
    <t>Zedcrest Investment Managers Limited</t>
  </si>
  <si>
    <t>Zedcrest Fixed Income Fund</t>
  </si>
  <si>
    <t>Zedcrest Dollar Fund</t>
  </si>
  <si>
    <t>EXCHANGE TRADED FUNDS (ETFs)</t>
  </si>
  <si>
    <t>ETFs AGGREGATE</t>
  </si>
  <si>
    <t>CardinalStone Equity Fund</t>
  </si>
  <si>
    <t>CardinalStone Dollar Fund</t>
  </si>
  <si>
    <t>AIICO Eurobond Fund</t>
  </si>
  <si>
    <t>Comercio Partners Asset Management Limited</t>
  </si>
  <si>
    <t>Comercio Partners Money Market Fund</t>
  </si>
  <si>
    <t>Comercio Partners Fixed Income Fund</t>
  </si>
  <si>
    <t>Comercio Partners Dollar Fund</t>
  </si>
  <si>
    <t>STL Asset Management Limited</t>
  </si>
  <si>
    <t>STL Money Market Fund</t>
  </si>
  <si>
    <t>STL Balanced Fund</t>
  </si>
  <si>
    <t>RT Briscoe Savings &amp; Investment Fund</t>
  </si>
  <si>
    <t>GTI Balanced Fund</t>
  </si>
  <si>
    <t>Guaranty Dollar Fund</t>
  </si>
  <si>
    <t>RMB Nigeria Asset Management Ltd.</t>
  </si>
  <si>
    <t>RMBN Money Market Fund</t>
  </si>
  <si>
    <t>RMBN Dollar Fixed Income Fund</t>
  </si>
  <si>
    <t>Emerging Africa Halal Fund</t>
  </si>
  <si>
    <t>United Capital Nigerian Eurobond Fund</t>
  </si>
  <si>
    <t>dayo</t>
  </si>
  <si>
    <t>BALANCED</t>
  </si>
  <si>
    <t>Lotus Waqf (Endowment) Fund</t>
  </si>
  <si>
    <t>NAV, Unit Price and Yield as at Week Ended August 30, 2024</t>
  </si>
  <si>
    <t>GTI  Money Market Fund</t>
  </si>
  <si>
    <t>United Capital Stable Income Fund</t>
  </si>
  <si>
    <t>Week Ended August 30, 2024</t>
  </si>
  <si>
    <t>WEEKLY VALUATION REPORT OF COLLECTIVE INVESTMENT SCHEMES AS AT WEEK ENDED FRIDAY, SEPTEMBER 6, 2024</t>
  </si>
  <si>
    <t>NAV, Unit Price and Yield as at Week Ended September 6, 2024</t>
  </si>
  <si>
    <r>
      <t>US$/NG</t>
    </r>
    <r>
      <rPr>
        <strike/>
        <sz val="6"/>
        <color theme="0"/>
        <rFont val="Times New Roman"/>
        <family val="1"/>
      </rPr>
      <t>N</t>
    </r>
    <r>
      <rPr>
        <sz val="6"/>
        <color theme="0"/>
        <rFont val="Times New Roman"/>
        <family val="1"/>
      </rPr>
      <t xml:space="preserve"> I&amp;E as at 6th September, 2024 = N1,629.645</t>
    </r>
  </si>
  <si>
    <t>Hillcrest Balanced Fund</t>
  </si>
  <si>
    <t>Hillcrest Capital Management Limited</t>
  </si>
  <si>
    <t>% to Total</t>
  </si>
  <si>
    <t>Week Ended September 6, 2024</t>
  </si>
  <si>
    <t>The chart above shows that the Dollar Fund category (Eurobonds and Fixed Income) has the highest share of the Aggregate Net Asset Value (NAV) at 48.30%, followed by Money Market Fund with 38.45%, Bond/Fixed Income Fund at 6.43%, Real Estate Investment Trust at 2.86%.  Next is Shari'ah Compliant Fund at 1.52%, Balanced Fund at 1.48%, Equity Fund at 0.82% and Ethical Fund at 0.16%.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</si>
</sst>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-* #,##0.00_-;\-* #,##0.00_-;_-* &quot;-&quot;??_-;_-@_-"/>
    <numFmt numFmtId="165" formatCode="0.0%"/>
    <numFmt numFmtId="166" formatCode="_(* #,##0.000_);_(* \(#,##0.000\);_(* &quot;-&quot;??_);_(@_)"/>
  </numFmts>
  <fonts count="5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Arial Narrow"/>
      <family val="2"/>
    </font>
    <font>
      <b/>
      <sz val="8"/>
      <name val="Arial Narrow"/>
      <family val="2"/>
    </font>
    <font>
      <sz val="8"/>
      <color theme="1"/>
      <name val="Arial Narrow"/>
      <family val="2"/>
    </font>
    <font>
      <b/>
      <sz val="10"/>
      <name val="Arial Narrow"/>
      <family val="2"/>
    </font>
    <font>
      <sz val="8"/>
      <name val="Arial Narrow"/>
      <family val="2"/>
    </font>
    <font>
      <sz val="10"/>
      <color theme="1"/>
      <name val="Arial Narrow"/>
      <family val="2"/>
    </font>
    <font>
      <i/>
      <sz val="8"/>
      <name val="Arial Narrow"/>
      <family val="2"/>
    </font>
    <font>
      <b/>
      <sz val="12"/>
      <color theme="1"/>
      <name val="Arial Narrow"/>
      <family val="2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sz val="11"/>
      <name val="Arial Narrow"/>
      <family val="2"/>
    </font>
    <font>
      <b/>
      <sz val="12"/>
      <name val="Arial Narrow"/>
      <family val="2"/>
    </font>
    <font>
      <sz val="8"/>
      <color rgb="FF000000"/>
      <name val="Arial Narrow"/>
      <family val="2"/>
    </font>
    <font>
      <b/>
      <sz val="12"/>
      <color rgb="FF000000"/>
      <name val="Times New Roman"/>
      <family val="1"/>
    </font>
    <font>
      <b/>
      <sz val="18"/>
      <color theme="0"/>
      <name val="Ebrima"/>
    </font>
    <font>
      <sz val="10"/>
      <name val="Arial Narrow"/>
      <family val="2"/>
    </font>
    <font>
      <sz val="11"/>
      <color theme="0"/>
      <name val="Calibri"/>
      <family val="2"/>
      <scheme val="minor"/>
    </font>
    <font>
      <b/>
      <sz val="8"/>
      <color rgb="FFFF0000"/>
      <name val="Arial Narrow"/>
      <family val="2"/>
    </font>
    <font>
      <sz val="10"/>
      <color rgb="FF000000"/>
      <name val="Times New Roman"/>
      <family val="1"/>
    </font>
    <font>
      <sz val="11"/>
      <name val="Calibri"/>
      <family val="2"/>
      <scheme val="minor"/>
    </font>
    <font>
      <sz val="10"/>
      <color theme="1"/>
      <name val="Futura Bk BT"/>
      <family val="2"/>
    </font>
    <font>
      <sz val="10"/>
      <color rgb="FFFF0000"/>
      <name val="Arial Narrow"/>
      <family val="2"/>
    </font>
    <font>
      <b/>
      <sz val="6"/>
      <color theme="0"/>
      <name val="Times New Roman"/>
      <family val="1"/>
    </font>
    <font>
      <sz val="6"/>
      <color theme="0"/>
      <name val="Times New Roman"/>
      <family val="1"/>
    </font>
    <font>
      <strike/>
      <sz val="6"/>
      <color theme="0"/>
      <name val="Times New Roman"/>
      <family val="1"/>
    </font>
    <font>
      <sz val="10"/>
      <name val="Arial"/>
      <family val="2"/>
    </font>
    <font>
      <sz val="10"/>
      <color rgb="FF000000"/>
      <name val="Arial"/>
      <family val="2"/>
    </font>
    <font>
      <sz val="11"/>
      <color theme="1"/>
      <name val="Aptos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b/>
      <sz val="11"/>
      <name val="Arial Narrow"/>
      <family val="2"/>
    </font>
    <font>
      <sz val="12"/>
      <color rgb="FF000000"/>
      <name val="Calibri"/>
      <family val="2"/>
      <scheme val="minor"/>
    </font>
    <font>
      <sz val="8"/>
      <color rgb="FFFF0000"/>
      <name val="Arial Narrow"/>
      <family val="2"/>
    </font>
    <font>
      <b/>
      <sz val="11"/>
      <color theme="1"/>
      <name val="Aptos"/>
      <family val="2"/>
    </font>
    <font>
      <sz val="6"/>
      <color theme="0"/>
      <name val="Arial Narrow"/>
      <family val="2"/>
    </font>
    <font>
      <sz val="6"/>
      <color theme="0"/>
      <name val="Calibri"/>
      <family val="2"/>
      <scheme val="minor"/>
    </font>
    <font>
      <b/>
      <sz val="12"/>
      <color theme="0"/>
      <name val="Arial Narrow"/>
      <family val="2"/>
    </font>
    <font>
      <b/>
      <sz val="11"/>
      <color theme="0"/>
      <name val="Arial Narrow"/>
      <family val="2"/>
    </font>
    <font>
      <sz val="11"/>
      <color theme="0"/>
      <name val="Arial Narrow"/>
      <family val="2"/>
    </font>
    <font>
      <b/>
      <sz val="8"/>
      <color theme="0"/>
      <name val="Arial Narrow"/>
      <family val="2"/>
    </font>
    <font>
      <sz val="8"/>
      <color theme="0"/>
      <name val="Arial"/>
      <family val="2"/>
    </font>
  </fonts>
  <fills count="4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1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2" fillId="0" borderId="0"/>
    <xf numFmtId="43" fontId="1" fillId="0" borderId="0" applyFont="0" applyFill="0" applyBorder="0" applyAlignment="0" applyProtection="0"/>
    <xf numFmtId="0" fontId="27" fillId="0" borderId="0"/>
    <xf numFmtId="43" fontId="29" fillId="0" borderId="0" applyFont="0" applyFill="0" applyBorder="0" applyAlignment="0" applyProtection="0"/>
    <xf numFmtId="0" fontId="30" fillId="0" borderId="10" applyNumberFormat="0" applyFill="0" applyAlignment="0" applyProtection="0"/>
    <xf numFmtId="0" fontId="31" fillId="0" borderId="11" applyNumberFormat="0" applyFill="0" applyAlignment="0" applyProtection="0"/>
    <xf numFmtId="0" fontId="32" fillId="0" borderId="12" applyNumberFormat="0" applyFill="0" applyAlignment="0" applyProtection="0"/>
    <xf numFmtId="0" fontId="32" fillId="0" borderId="0" applyNumberFormat="0" applyFill="0" applyBorder="0" applyAlignment="0" applyProtection="0"/>
    <xf numFmtId="0" fontId="33" fillId="14" borderId="0" applyNumberFormat="0" applyBorder="0" applyAlignment="0" applyProtection="0"/>
    <xf numFmtId="0" fontId="34" fillId="15" borderId="0" applyNumberFormat="0" applyBorder="0" applyAlignment="0" applyProtection="0"/>
    <xf numFmtId="0" fontId="35" fillId="17" borderId="13" applyNumberFormat="0" applyAlignment="0" applyProtection="0"/>
    <xf numFmtId="0" fontId="36" fillId="18" borderId="14" applyNumberFormat="0" applyAlignment="0" applyProtection="0"/>
    <xf numFmtId="0" fontId="37" fillId="18" borderId="13" applyNumberFormat="0" applyAlignment="0" applyProtection="0"/>
    <xf numFmtId="0" fontId="38" fillId="0" borderId="15" applyNumberFormat="0" applyFill="0" applyAlignment="0" applyProtection="0"/>
    <xf numFmtId="0" fontId="39" fillId="19" borderId="16" applyNumberFormat="0" applyAlignment="0" applyProtection="0"/>
    <xf numFmtId="0" fontId="40" fillId="0" borderId="0" applyNumberFormat="0" applyFill="0" applyBorder="0" applyAlignment="0" applyProtection="0"/>
    <xf numFmtId="0" fontId="1" fillId="20" borderId="17" applyNumberFormat="0" applyFont="0" applyAlignment="0" applyProtection="0"/>
    <xf numFmtId="0" fontId="41" fillId="0" borderId="0" applyNumberFormat="0" applyFill="0" applyBorder="0" applyAlignment="0" applyProtection="0"/>
    <xf numFmtId="0" fontId="42" fillId="0" borderId="18" applyNumberFormat="0" applyFill="0" applyAlignment="0" applyProtection="0"/>
    <xf numFmtId="0" fontId="18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8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8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8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8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8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43" fillId="0" borderId="0" applyNumberFormat="0" applyFill="0" applyBorder="0" applyAlignment="0" applyProtection="0"/>
    <xf numFmtId="0" fontId="44" fillId="16" borderId="0" applyNumberFormat="0" applyBorder="0" applyAlignment="0" applyProtection="0"/>
    <xf numFmtId="0" fontId="18" fillId="24" borderId="0" applyNumberFormat="0" applyBorder="0" applyAlignment="0" applyProtection="0"/>
    <xf numFmtId="0" fontId="18" fillId="28" borderId="0" applyNumberFormat="0" applyBorder="0" applyAlignment="0" applyProtection="0"/>
    <xf numFmtId="0" fontId="18" fillId="32" borderId="0" applyNumberFormat="0" applyBorder="0" applyAlignment="0" applyProtection="0"/>
    <xf numFmtId="0" fontId="18" fillId="36" borderId="0" applyNumberFormat="0" applyBorder="0" applyAlignment="0" applyProtection="0"/>
    <xf numFmtId="0" fontId="18" fillId="40" borderId="0" applyNumberFormat="0" applyBorder="0" applyAlignment="0" applyProtection="0"/>
    <xf numFmtId="0" fontId="18" fillId="44" borderId="0" applyNumberFormat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</cellStyleXfs>
  <cellXfs count="181">
    <xf numFmtId="0" fontId="0" fillId="0" borderId="0" xfId="0"/>
    <xf numFmtId="0" fontId="2" fillId="2" borderId="5" xfId="0" applyFont="1" applyFill="1" applyBorder="1"/>
    <xf numFmtId="164" fontId="6" fillId="3" borderId="5" xfId="3" applyFont="1" applyFill="1" applyBorder="1"/>
    <xf numFmtId="10" fontId="6" fillId="2" borderId="5" xfId="2" applyNumberFormat="1" applyFont="1" applyFill="1" applyBorder="1" applyAlignment="1">
      <alignment horizontal="center"/>
    </xf>
    <xf numFmtId="4" fontId="6" fillId="3" borderId="5" xfId="0" applyNumberFormat="1" applyFont="1" applyFill="1" applyBorder="1"/>
    <xf numFmtId="10" fontId="6" fillId="5" borderId="5" xfId="2" applyNumberFormat="1" applyFont="1" applyFill="1" applyBorder="1" applyAlignment="1">
      <alignment horizontal="center"/>
    </xf>
    <xf numFmtId="10" fontId="4" fillId="5" borderId="5" xfId="2" applyNumberFormat="1" applyFont="1" applyFill="1" applyBorder="1" applyAlignment="1">
      <alignment horizontal="center"/>
    </xf>
    <xf numFmtId="164" fontId="6" fillId="3" borderId="5" xfId="1" applyFont="1" applyFill="1" applyBorder="1"/>
    <xf numFmtId="4" fontId="6" fillId="3" borderId="5" xfId="0" applyNumberFormat="1" applyFont="1" applyFill="1" applyBorder="1" applyAlignment="1">
      <alignment horizontal="right"/>
    </xf>
    <xf numFmtId="164" fontId="6" fillId="3" borderId="5" xfId="3" applyFont="1" applyFill="1" applyBorder="1" applyAlignment="1">
      <alignment horizontal="right"/>
    </xf>
    <xf numFmtId="10" fontId="6" fillId="2" borderId="5" xfId="2" applyNumberFormat="1" applyFont="1" applyFill="1" applyBorder="1" applyAlignment="1">
      <alignment horizontal="center" vertical="top" wrapText="1"/>
    </xf>
    <xf numFmtId="4" fontId="6" fillId="3" borderId="5" xfId="1" applyNumberFormat="1" applyFont="1" applyFill="1" applyBorder="1" applyAlignment="1">
      <alignment horizontal="right"/>
    </xf>
    <xf numFmtId="10" fontId="6" fillId="5" borderId="5" xfId="2" applyNumberFormat="1" applyFont="1" applyFill="1" applyBorder="1" applyAlignment="1">
      <alignment horizontal="center" wrapText="1"/>
    </xf>
    <xf numFmtId="164" fontId="6" fillId="3" borderId="5" xfId="3" applyFont="1" applyFill="1" applyBorder="1" applyAlignment="1">
      <alignment horizontal="right" wrapText="1"/>
    </xf>
    <xf numFmtId="2" fontId="6" fillId="3" borderId="5" xfId="0" applyNumberFormat="1" applyFont="1" applyFill="1" applyBorder="1"/>
    <xf numFmtId="164" fontId="6" fillId="3" borderId="5" xfId="3" applyFont="1" applyFill="1" applyBorder="1" applyAlignment="1">
      <alignment wrapText="1"/>
    </xf>
    <xf numFmtId="10" fontId="6" fillId="2" borderId="5" xfId="2" applyNumberFormat="1" applyFont="1" applyFill="1" applyBorder="1" applyAlignment="1">
      <alignment horizontal="center" wrapText="1"/>
    </xf>
    <xf numFmtId="4" fontId="6" fillId="3" borderId="5" xfId="3" applyNumberFormat="1" applyFont="1" applyFill="1" applyBorder="1" applyAlignment="1">
      <alignment horizontal="right"/>
    </xf>
    <xf numFmtId="4" fontId="6" fillId="3" borderId="5" xfId="3" applyNumberFormat="1" applyFont="1" applyFill="1" applyBorder="1" applyAlignment="1">
      <alignment horizontal="right" wrapText="1"/>
    </xf>
    <xf numFmtId="0" fontId="7" fillId="3" borderId="5" xfId="0" applyFont="1" applyFill="1" applyBorder="1"/>
    <xf numFmtId="10" fontId="6" fillId="5" borderId="5" xfId="2" quotePrefix="1" applyNumberFormat="1" applyFont="1" applyFill="1" applyBorder="1" applyAlignment="1">
      <alignment horizontal="center"/>
    </xf>
    <xf numFmtId="4" fontId="6" fillId="3" borderId="5" xfId="3" applyNumberFormat="1" applyFont="1" applyFill="1" applyBorder="1" applyAlignment="1">
      <alignment horizontal="right" vertical="top" wrapText="1"/>
    </xf>
    <xf numFmtId="4" fontId="6" fillId="7" borderId="5" xfId="1" applyNumberFormat="1" applyFont="1" applyFill="1" applyBorder="1" applyAlignment="1">
      <alignment horizontal="right" vertical="top" wrapText="1"/>
    </xf>
    <xf numFmtId="4" fontId="6" fillId="7" borderId="5" xfId="1" applyNumberFormat="1" applyFont="1" applyFill="1" applyBorder="1" applyAlignment="1">
      <alignment horizontal="center" vertical="top" wrapText="1"/>
    </xf>
    <xf numFmtId="164" fontId="8" fillId="7" borderId="5" xfId="1" applyFont="1" applyFill="1" applyBorder="1" applyAlignment="1">
      <alignment horizontal="right" vertical="top" wrapText="1"/>
    </xf>
    <xf numFmtId="10" fontId="4" fillId="7" borderId="5" xfId="2" applyNumberFormat="1" applyFont="1" applyFill="1" applyBorder="1" applyAlignment="1">
      <alignment horizontal="center" vertical="top" wrapText="1"/>
    </xf>
    <xf numFmtId="165" fontId="4" fillId="7" borderId="5" xfId="2" applyNumberFormat="1" applyFont="1" applyFill="1" applyBorder="1" applyAlignment="1">
      <alignment horizontal="center" vertical="top" wrapText="1"/>
    </xf>
    <xf numFmtId="164" fontId="6" fillId="3" borderId="5" xfId="3" applyFont="1" applyFill="1" applyBorder="1" applyAlignment="1">
      <alignment horizontal="right" vertical="top" wrapText="1"/>
    </xf>
    <xf numFmtId="10" fontId="6" fillId="5" borderId="5" xfId="2" applyNumberFormat="1" applyFont="1" applyFill="1" applyBorder="1" applyAlignment="1">
      <alignment horizontal="center" vertical="top" wrapText="1"/>
    </xf>
    <xf numFmtId="164" fontId="6" fillId="3" borderId="5" xfId="1" applyFont="1" applyFill="1" applyBorder="1" applyAlignment="1">
      <alignment horizontal="right" vertical="top" wrapText="1"/>
    </xf>
    <xf numFmtId="10" fontId="6" fillId="3" borderId="5" xfId="2" applyNumberFormat="1" applyFont="1" applyFill="1" applyBorder="1" applyAlignment="1">
      <alignment horizontal="center" vertical="top" wrapText="1"/>
    </xf>
    <xf numFmtId="4" fontId="6" fillId="3" borderId="5" xfId="1" applyNumberFormat="1" applyFont="1" applyFill="1" applyBorder="1" applyAlignment="1">
      <alignment vertical="top" wrapText="1"/>
    </xf>
    <xf numFmtId="10" fontId="6" fillId="5" borderId="5" xfId="1" applyNumberFormat="1" applyFont="1" applyFill="1" applyBorder="1" applyAlignment="1">
      <alignment horizontal="center"/>
    </xf>
    <xf numFmtId="4" fontId="6" fillId="5" borderId="5" xfId="1" applyNumberFormat="1" applyFont="1" applyFill="1" applyBorder="1" applyAlignment="1">
      <alignment horizontal="center"/>
    </xf>
    <xf numFmtId="4" fontId="6" fillId="3" borderId="5" xfId="1" applyNumberFormat="1" applyFont="1" applyFill="1" applyBorder="1" applyAlignment="1">
      <alignment horizontal="right" vertical="top" wrapText="1"/>
    </xf>
    <xf numFmtId="4" fontId="6" fillId="5" borderId="5" xfId="1" applyNumberFormat="1" applyFont="1" applyFill="1" applyBorder="1" applyAlignment="1">
      <alignment horizontal="center" vertical="top" wrapText="1"/>
    </xf>
    <xf numFmtId="43" fontId="6" fillId="3" borderId="5" xfId="0" applyNumberFormat="1" applyFont="1" applyFill="1" applyBorder="1"/>
    <xf numFmtId="43" fontId="6" fillId="5" borderId="5" xfId="0" applyNumberFormat="1" applyFont="1" applyFill="1" applyBorder="1" applyAlignment="1">
      <alignment horizontal="center"/>
    </xf>
    <xf numFmtId="0" fontId="6" fillId="7" borderId="5" xfId="0" applyFont="1" applyFill="1" applyBorder="1" applyAlignment="1">
      <alignment horizontal="right" vertical="center"/>
    </xf>
    <xf numFmtId="10" fontId="6" fillId="7" borderId="5" xfId="1" applyNumberFormat="1" applyFont="1" applyFill="1" applyBorder="1" applyAlignment="1">
      <alignment horizontal="right" vertical="center" wrapText="1"/>
    </xf>
    <xf numFmtId="4" fontId="6" fillId="7" borderId="5" xfId="1" applyNumberFormat="1" applyFont="1" applyFill="1" applyBorder="1" applyAlignment="1">
      <alignment horizontal="right" vertical="center" wrapText="1"/>
    </xf>
    <xf numFmtId="9" fontId="6" fillId="7" borderId="5" xfId="2" applyFont="1" applyFill="1" applyBorder="1" applyAlignment="1">
      <alignment horizontal="center" vertical="center" wrapText="1"/>
    </xf>
    <xf numFmtId="4" fontId="6" fillId="7" borderId="5" xfId="1" applyNumberFormat="1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right"/>
    </xf>
    <xf numFmtId="16" fontId="10" fillId="3" borderId="5" xfId="0" applyNumberFormat="1" applyFont="1" applyFill="1" applyBorder="1"/>
    <xf numFmtId="0" fontId="10" fillId="0" borderId="5" xfId="0" applyFont="1" applyBorder="1" applyAlignment="1">
      <alignment horizontal="right"/>
    </xf>
    <xf numFmtId="4" fontId="11" fillId="3" borderId="5" xfId="0" applyNumberFormat="1" applyFont="1" applyFill="1" applyBorder="1"/>
    <xf numFmtId="164" fontId="12" fillId="3" borderId="5" xfId="1" applyFont="1" applyFill="1" applyBorder="1" applyAlignment="1">
      <alignment horizontal="right" vertical="top" wrapText="1"/>
    </xf>
    <xf numFmtId="0" fontId="13" fillId="4" borderId="5" xfId="0" applyFont="1" applyFill="1" applyBorder="1" applyAlignment="1">
      <alignment horizontal="right"/>
    </xf>
    <xf numFmtId="43" fontId="13" fillId="4" borderId="5" xfId="0" applyNumberFormat="1" applyFont="1" applyFill="1" applyBorder="1"/>
    <xf numFmtId="0" fontId="11" fillId="0" borderId="0" xfId="0" applyFont="1"/>
    <xf numFmtId="164" fontId="11" fillId="0" borderId="0" xfId="1" applyFont="1"/>
    <xf numFmtId="0" fontId="9" fillId="9" borderId="5" xfId="0" applyFont="1" applyFill="1" applyBorder="1" applyAlignment="1">
      <alignment horizontal="right"/>
    </xf>
    <xf numFmtId="43" fontId="9" fillId="9" borderId="5" xfId="0" quotePrefix="1" applyNumberFormat="1" applyFont="1" applyFill="1" applyBorder="1" applyAlignment="1">
      <alignment horizontal="center"/>
    </xf>
    <xf numFmtId="43" fontId="9" fillId="9" borderId="5" xfId="0" applyNumberFormat="1" applyFont="1" applyFill="1" applyBorder="1"/>
    <xf numFmtId="164" fontId="9" fillId="9" borderId="5" xfId="1" applyFont="1" applyFill="1" applyBorder="1"/>
    <xf numFmtId="164" fontId="3" fillId="3" borderId="5" xfId="1" applyFont="1" applyFill="1" applyBorder="1" applyAlignment="1">
      <alignment horizontal="right" vertical="top" wrapText="1"/>
    </xf>
    <xf numFmtId="164" fontId="3" fillId="3" borderId="5" xfId="1" applyFont="1" applyFill="1" applyBorder="1" applyAlignment="1">
      <alignment horizontal="right"/>
    </xf>
    <xf numFmtId="164" fontId="6" fillId="5" borderId="5" xfId="1" applyFont="1" applyFill="1" applyBorder="1" applyAlignment="1">
      <alignment horizontal="center"/>
    </xf>
    <xf numFmtId="164" fontId="6" fillId="5" borderId="5" xfId="1" applyFont="1" applyFill="1" applyBorder="1" applyAlignment="1">
      <alignment horizontal="center" wrapText="1"/>
    </xf>
    <xf numFmtId="164" fontId="4" fillId="5" borderId="5" xfId="1" applyFont="1" applyFill="1" applyBorder="1" applyAlignment="1">
      <alignment horizontal="center"/>
    </xf>
    <xf numFmtId="164" fontId="6" fillId="5" borderId="5" xfId="1" applyFont="1" applyFill="1" applyBorder="1" applyAlignment="1">
      <alignment horizontal="center" vertical="top" wrapText="1"/>
    </xf>
    <xf numFmtId="164" fontId="6" fillId="5" borderId="5" xfId="1" quotePrefix="1" applyFont="1" applyFill="1" applyBorder="1" applyAlignment="1">
      <alignment horizontal="center"/>
    </xf>
    <xf numFmtId="164" fontId="3" fillId="5" borderId="5" xfId="1" applyFont="1" applyFill="1" applyBorder="1" applyAlignment="1">
      <alignment horizontal="center"/>
    </xf>
    <xf numFmtId="0" fontId="3" fillId="0" borderId="5" xfId="0" applyFont="1" applyBorder="1" applyAlignment="1">
      <alignment horizontal="right"/>
    </xf>
    <xf numFmtId="0" fontId="3" fillId="7" borderId="5" xfId="0" applyFont="1" applyFill="1" applyBorder="1" applyAlignment="1">
      <alignment horizontal="right" vertical="center"/>
    </xf>
    <xf numFmtId="164" fontId="3" fillId="7" borderId="5" xfId="1" applyFont="1" applyFill="1" applyBorder="1" applyAlignment="1">
      <alignment horizontal="right" vertical="center" wrapText="1"/>
    </xf>
    <xf numFmtId="164" fontId="0" fillId="0" borderId="0" xfId="1" applyFont="1"/>
    <xf numFmtId="0" fontId="3" fillId="3" borderId="5" xfId="0" applyFont="1" applyFill="1" applyBorder="1" applyAlignment="1">
      <alignment horizontal="right"/>
    </xf>
    <xf numFmtId="164" fontId="3" fillId="3" borderId="5" xfId="1" applyFont="1" applyFill="1" applyBorder="1"/>
    <xf numFmtId="164" fontId="3" fillId="7" borderId="5" xfId="1" applyFont="1" applyFill="1" applyBorder="1" applyAlignment="1">
      <alignment horizontal="right" vertical="top" wrapText="1"/>
    </xf>
    <xf numFmtId="0" fontId="6" fillId="3" borderId="5" xfId="0" applyFont="1" applyFill="1" applyBorder="1" applyAlignment="1">
      <alignment horizontal="center" wrapText="1"/>
    </xf>
    <xf numFmtId="0" fontId="2" fillId="4" borderId="5" xfId="0" applyFont="1" applyFill="1" applyBorder="1" applyAlignment="1">
      <alignment vertical="top" wrapText="1"/>
    </xf>
    <xf numFmtId="0" fontId="2" fillId="4" borderId="5" xfId="0" applyFont="1" applyFill="1" applyBorder="1" applyAlignment="1">
      <alignment horizontal="center" vertical="top"/>
    </xf>
    <xf numFmtId="0" fontId="2" fillId="4" borderId="5" xfId="0" applyFont="1" applyFill="1" applyBorder="1" applyAlignment="1">
      <alignment horizontal="center" vertical="top" wrapText="1"/>
    </xf>
    <xf numFmtId="164" fontId="2" fillId="4" borderId="5" xfId="1" applyFont="1" applyFill="1" applyBorder="1" applyAlignment="1">
      <alignment horizontal="center" vertical="top"/>
    </xf>
    <xf numFmtId="10" fontId="6" fillId="4" borderId="5" xfId="2" applyNumberFormat="1" applyFont="1" applyFill="1" applyBorder="1" applyAlignment="1">
      <alignment horizontal="center" vertical="top" wrapText="1"/>
    </xf>
    <xf numFmtId="10" fontId="4" fillId="4" borderId="5" xfId="2" applyNumberFormat="1" applyFont="1" applyFill="1" applyBorder="1" applyAlignment="1">
      <alignment horizontal="center" vertical="top" wrapText="1"/>
    </xf>
    <xf numFmtId="0" fontId="3" fillId="4" borderId="5" xfId="0" applyFont="1" applyFill="1" applyBorder="1" applyAlignment="1">
      <alignment vertical="top" wrapText="1"/>
    </xf>
    <xf numFmtId="10" fontId="4" fillId="4" borderId="5" xfId="1" applyNumberFormat="1" applyFont="1" applyFill="1" applyBorder="1" applyAlignment="1">
      <alignment horizontal="center" vertical="top" wrapText="1"/>
    </xf>
    <xf numFmtId="0" fontId="4" fillId="3" borderId="5" xfId="0" applyFont="1" applyFill="1" applyBorder="1" applyAlignment="1">
      <alignment horizontal="center" wrapText="1"/>
    </xf>
    <xf numFmtId="0" fontId="6" fillId="3" borderId="5" xfId="0" applyFont="1" applyFill="1" applyBorder="1" applyAlignment="1">
      <alignment horizontal="center"/>
    </xf>
    <xf numFmtId="0" fontId="6" fillId="7" borderId="5" xfId="0" applyFont="1" applyFill="1" applyBorder="1" applyAlignment="1">
      <alignment horizontal="center" wrapText="1"/>
    </xf>
    <xf numFmtId="10" fontId="4" fillId="7" borderId="5" xfId="1" applyNumberFormat="1" applyFont="1" applyFill="1" applyBorder="1" applyAlignment="1">
      <alignment horizontal="center" vertical="top" wrapText="1"/>
    </xf>
    <xf numFmtId="0" fontId="6" fillId="8" borderId="5" xfId="0" applyFont="1" applyFill="1" applyBorder="1" applyAlignment="1">
      <alignment horizontal="right" vertical="top" wrapText="1"/>
    </xf>
    <xf numFmtId="0" fontId="5" fillId="8" borderId="5" xfId="0" applyFont="1" applyFill="1" applyBorder="1" applyAlignment="1">
      <alignment horizontal="right" vertical="top" wrapText="1"/>
    </xf>
    <xf numFmtId="164" fontId="5" fillId="8" borderId="5" xfId="1" applyFont="1" applyFill="1" applyBorder="1" applyAlignment="1">
      <alignment horizontal="right" vertical="top" wrapText="1"/>
    </xf>
    <xf numFmtId="164" fontId="17" fillId="8" borderId="5" xfId="1" applyFont="1" applyFill="1" applyBorder="1" applyAlignment="1">
      <alignment horizontal="right" vertical="top" wrapText="1"/>
    </xf>
    <xf numFmtId="4" fontId="17" fillId="8" borderId="5" xfId="0" applyNumberFormat="1" applyFont="1" applyFill="1" applyBorder="1" applyAlignment="1">
      <alignment horizontal="right"/>
    </xf>
    <xf numFmtId="9" fontId="17" fillId="8" borderId="5" xfId="2" applyFont="1" applyFill="1" applyBorder="1" applyAlignment="1">
      <alignment horizontal="center"/>
    </xf>
    <xf numFmtId="4" fontId="17" fillId="8" borderId="5" xfId="0" applyNumberFormat="1" applyFont="1" applyFill="1" applyBorder="1" applyAlignment="1">
      <alignment horizontal="center"/>
    </xf>
    <xf numFmtId="10" fontId="17" fillId="8" borderId="5" xfId="2" applyNumberFormat="1" applyFont="1" applyFill="1" applyBorder="1" applyAlignment="1">
      <alignment horizontal="center" vertical="top" wrapText="1"/>
    </xf>
    <xf numFmtId="165" fontId="17" fillId="8" borderId="5" xfId="2" applyNumberFormat="1" applyFont="1" applyFill="1" applyBorder="1" applyAlignment="1">
      <alignment horizontal="center" vertical="top" wrapText="1"/>
    </xf>
    <xf numFmtId="165" fontId="6" fillId="8" borderId="5" xfId="2" applyNumberFormat="1" applyFont="1" applyFill="1" applyBorder="1" applyAlignment="1">
      <alignment horizontal="center" vertical="top" wrapText="1"/>
    </xf>
    <xf numFmtId="4" fontId="6" fillId="3" borderId="9" xfId="0" applyNumberFormat="1" applyFont="1" applyFill="1" applyBorder="1" applyAlignment="1">
      <alignment horizontal="right" wrapText="1"/>
    </xf>
    <xf numFmtId="0" fontId="18" fillId="0" borderId="0" xfId="0" applyFont="1"/>
    <xf numFmtId="10" fontId="19" fillId="2" borderId="5" xfId="2" applyNumberFormat="1" applyFont="1" applyFill="1" applyBorder="1" applyAlignment="1">
      <alignment horizontal="center" vertical="top" wrapText="1"/>
    </xf>
    <xf numFmtId="0" fontId="21" fillId="0" borderId="0" xfId="0" applyFont="1"/>
    <xf numFmtId="10" fontId="20" fillId="10" borderId="0" xfId="0" applyNumberFormat="1" applyFont="1" applyFill="1" applyAlignment="1">
      <alignment horizontal="right" vertical="center" wrapText="1"/>
    </xf>
    <xf numFmtId="2" fontId="0" fillId="0" borderId="0" xfId="0" applyNumberFormat="1"/>
    <xf numFmtId="4" fontId="15" fillId="10" borderId="0" xfId="0" applyNumberFormat="1" applyFont="1" applyFill="1" applyAlignment="1">
      <alignment horizontal="right" vertical="center" wrapText="1"/>
    </xf>
    <xf numFmtId="0" fontId="0" fillId="0" borderId="0" xfId="0" quotePrefix="1"/>
    <xf numFmtId="4" fontId="12" fillId="3" borderId="0" xfId="0" applyNumberFormat="1" applyFont="1" applyFill="1"/>
    <xf numFmtId="0" fontId="11" fillId="3" borderId="0" xfId="0" applyFont="1" applyFill="1" applyAlignment="1">
      <alignment wrapText="1"/>
    </xf>
    <xf numFmtId="164" fontId="14" fillId="0" borderId="0" xfId="1" applyFont="1"/>
    <xf numFmtId="0" fontId="24" fillId="12" borderId="0" xfId="0" applyFont="1" applyFill="1" applyAlignment="1">
      <alignment horizontal="right" vertical="center"/>
    </xf>
    <xf numFmtId="0" fontId="25" fillId="12" borderId="0" xfId="0" applyFont="1" applyFill="1" applyAlignment="1">
      <alignment horizontal="left"/>
    </xf>
    <xf numFmtId="0" fontId="18" fillId="12" borderId="0" xfId="0" applyFont="1" applyFill="1"/>
    <xf numFmtId="43" fontId="0" fillId="0" borderId="0" xfId="0" applyNumberFormat="1"/>
    <xf numFmtId="0" fontId="28" fillId="0" borderId="0" xfId="0" applyFont="1"/>
    <xf numFmtId="4" fontId="0" fillId="0" borderId="0" xfId="0" applyNumberFormat="1"/>
    <xf numFmtId="0" fontId="45" fillId="0" borderId="0" xfId="0" applyFont="1" applyAlignment="1">
      <alignment horizontal="right"/>
    </xf>
    <xf numFmtId="166" fontId="0" fillId="0" borderId="0" xfId="0" applyNumberFormat="1"/>
    <xf numFmtId="4" fontId="46" fillId="0" borderId="0" xfId="0" applyNumberFormat="1" applyFont="1"/>
    <xf numFmtId="4" fontId="12" fillId="3" borderId="0" xfId="0" applyNumberFormat="1" applyFont="1" applyFill="1" applyAlignment="1">
      <alignment horizontal="right"/>
    </xf>
    <xf numFmtId="0" fontId="47" fillId="3" borderId="5" xfId="0" applyFont="1" applyFill="1" applyBorder="1" applyAlignment="1">
      <alignment horizontal="center" wrapText="1"/>
    </xf>
    <xf numFmtId="0" fontId="45" fillId="0" borderId="5" xfId="0" applyFont="1" applyBorder="1" applyAlignment="1">
      <alignment horizontal="right"/>
    </xf>
    <xf numFmtId="164" fontId="21" fillId="0" borderId="0" xfId="1" applyFont="1"/>
    <xf numFmtId="164" fontId="12" fillId="0" borderId="0" xfId="1" applyFont="1"/>
    <xf numFmtId="4" fontId="12" fillId="3" borderId="5" xfId="0" applyNumberFormat="1" applyFont="1" applyFill="1" applyBorder="1"/>
    <xf numFmtId="4" fontId="12" fillId="3" borderId="5" xfId="0" applyNumberFormat="1" applyFont="1" applyFill="1" applyBorder="1" applyAlignment="1">
      <alignment horizontal="right"/>
    </xf>
    <xf numFmtId="0" fontId="42" fillId="0" borderId="0" xfId="0" applyFont="1"/>
    <xf numFmtId="0" fontId="47" fillId="3" borderId="0" xfId="0" applyFont="1" applyFill="1" applyAlignment="1">
      <alignment wrapText="1"/>
    </xf>
    <xf numFmtId="43" fontId="42" fillId="0" borderId="0" xfId="7" applyFont="1" applyBorder="1"/>
    <xf numFmtId="2" fontId="42" fillId="0" borderId="0" xfId="0" applyNumberFormat="1" applyFont="1"/>
    <xf numFmtId="10" fontId="42" fillId="0" borderId="0" xfId="2" applyNumberFormat="1" applyFont="1" applyBorder="1"/>
    <xf numFmtId="10" fontId="48" fillId="0" borderId="0" xfId="2" applyNumberFormat="1" applyFont="1" applyBorder="1"/>
    <xf numFmtId="0" fontId="6" fillId="7" borderId="19" xfId="0" applyFont="1" applyFill="1" applyBorder="1" applyAlignment="1">
      <alignment horizontal="right"/>
    </xf>
    <xf numFmtId="0" fontId="3" fillId="7" borderId="19" xfId="0" applyFont="1" applyFill="1" applyBorder="1" applyAlignment="1">
      <alignment horizontal="right"/>
    </xf>
    <xf numFmtId="0" fontId="4" fillId="3" borderId="5" xfId="0" applyFont="1" applyFill="1" applyBorder="1"/>
    <xf numFmtId="0" fontId="47" fillId="3" borderId="5" xfId="0" applyFont="1" applyFill="1" applyBorder="1"/>
    <xf numFmtId="4" fontId="6" fillId="3" borderId="5" xfId="0" applyNumberFormat="1" applyFont="1" applyFill="1" applyBorder="1" applyAlignment="1">
      <alignment wrapText="1"/>
    </xf>
    <xf numFmtId="0" fontId="6" fillId="3" borderId="5" xfId="0" applyFont="1" applyFill="1" applyBorder="1" applyAlignment="1">
      <alignment wrapText="1"/>
    </xf>
    <xf numFmtId="0" fontId="39" fillId="0" borderId="0" xfId="0" applyFont="1"/>
    <xf numFmtId="16" fontId="49" fillId="3" borderId="0" xfId="0" applyNumberFormat="1" applyFont="1" applyFill="1"/>
    <xf numFmtId="164" fontId="50" fillId="0" borderId="0" xfId="1" applyFont="1"/>
    <xf numFmtId="43" fontId="50" fillId="0" borderId="0" xfId="0" applyNumberFormat="1" applyFont="1"/>
    <xf numFmtId="4" fontId="50" fillId="0" borderId="0" xfId="0" applyNumberFormat="1" applyFont="1"/>
    <xf numFmtId="164" fontId="12" fillId="3" borderId="0" xfId="1" applyFont="1" applyFill="1" applyBorder="1" applyAlignment="1">
      <alignment horizontal="right" vertical="top" wrapText="1"/>
    </xf>
    <xf numFmtId="0" fontId="6" fillId="3" borderId="5" xfId="0" applyFont="1" applyFill="1" applyBorder="1" applyAlignment="1">
      <alignment horizontal="center" wrapText="1"/>
    </xf>
    <xf numFmtId="0" fontId="51" fillId="0" borderId="5" xfId="0" applyFont="1" applyBorder="1" applyAlignment="1">
      <alignment horizontal="right"/>
    </xf>
    <xf numFmtId="16" fontId="52" fillId="3" borderId="5" xfId="0" applyNumberFormat="1" applyFont="1" applyFill="1" applyBorder="1"/>
    <xf numFmtId="0" fontId="52" fillId="0" borderId="5" xfId="0" applyFont="1" applyBorder="1" applyAlignment="1">
      <alignment horizontal="right"/>
    </xf>
    <xf numFmtId="4" fontId="53" fillId="3" borderId="5" xfId="0" applyNumberFormat="1" applyFont="1" applyFill="1" applyBorder="1"/>
    <xf numFmtId="164" fontId="53" fillId="3" borderId="5" xfId="1" applyFont="1" applyFill="1" applyBorder="1" applyAlignment="1">
      <alignment horizontal="right" vertical="top" wrapText="1"/>
    </xf>
    <xf numFmtId="4" fontId="53" fillId="3" borderId="5" xfId="0" applyNumberFormat="1" applyFont="1" applyFill="1" applyBorder="1" applyAlignment="1">
      <alignment horizontal="right"/>
    </xf>
    <xf numFmtId="16" fontId="52" fillId="3" borderId="5" xfId="0" applyNumberFormat="1" applyFont="1" applyFill="1" applyBorder="1" applyAlignment="1">
      <alignment horizontal="center" wrapText="1"/>
    </xf>
    <xf numFmtId="0" fontId="52" fillId="0" borderId="5" xfId="0" applyFont="1" applyBorder="1" applyAlignment="1">
      <alignment horizontal="right" wrapText="1"/>
    </xf>
    <xf numFmtId="0" fontId="52" fillId="0" borderId="0" xfId="0" applyFont="1" applyAlignment="1">
      <alignment horizontal="right"/>
    </xf>
    <xf numFmtId="4" fontId="53" fillId="3" borderId="0" xfId="0" applyNumberFormat="1" applyFont="1" applyFill="1"/>
    <xf numFmtId="0" fontId="54" fillId="0" borderId="5" xfId="0" applyFont="1" applyBorder="1" applyAlignment="1">
      <alignment horizontal="right" wrapText="1"/>
    </xf>
    <xf numFmtId="164" fontId="55" fillId="0" borderId="5" xfId="1" applyFont="1" applyBorder="1"/>
    <xf numFmtId="4" fontId="55" fillId="3" borderId="5" xfId="0" applyNumberFormat="1" applyFont="1" applyFill="1" applyBorder="1"/>
    <xf numFmtId="0" fontId="54" fillId="0" borderId="5" xfId="0" applyFont="1" applyBorder="1" applyAlignment="1">
      <alignment horizontal="right"/>
    </xf>
    <xf numFmtId="4" fontId="55" fillId="3" borderId="5" xfId="0" applyNumberFormat="1" applyFont="1" applyFill="1" applyBorder="1" applyAlignment="1">
      <alignment horizontal="right"/>
    </xf>
    <xf numFmtId="164" fontId="55" fillId="3" borderId="5" xfId="1" applyFont="1" applyFill="1" applyBorder="1" applyAlignment="1">
      <alignment horizontal="right" vertical="top" wrapText="1"/>
    </xf>
    <xf numFmtId="4" fontId="53" fillId="3" borderId="0" xfId="0" applyNumberFormat="1" applyFont="1" applyFill="1" applyAlignment="1">
      <alignment horizontal="right"/>
    </xf>
    <xf numFmtId="0" fontId="6" fillId="3" borderId="5" xfId="0" applyFont="1" applyFill="1" applyBorder="1" applyAlignment="1">
      <alignment horizontal="center" wrapText="1"/>
    </xf>
    <xf numFmtId="0" fontId="6" fillId="3" borderId="5" xfId="0" applyFont="1" applyFill="1" applyBorder="1" applyAlignment="1">
      <alignment horizontal="center" wrapText="1"/>
    </xf>
    <xf numFmtId="49" fontId="6" fillId="0" borderId="5" xfId="0" applyNumberFormat="1" applyFont="1" applyBorder="1" applyAlignment="1">
      <alignment wrapText="1"/>
    </xf>
    <xf numFmtId="0" fontId="6" fillId="3" borderId="5" xfId="0" applyFont="1" applyFill="1" applyBorder="1" applyAlignment="1">
      <alignment horizontal="center" wrapText="1"/>
    </xf>
    <xf numFmtId="4" fontId="6" fillId="0" borderId="5" xfId="0" applyNumberFormat="1" applyFont="1" applyBorder="1" applyAlignment="1">
      <alignment wrapText="1"/>
    </xf>
    <xf numFmtId="0" fontId="6" fillId="3" borderId="5" xfId="0" applyFont="1" applyFill="1" applyBorder="1" applyAlignment="1">
      <alignment horizontal="center" wrapText="1"/>
    </xf>
    <xf numFmtId="0" fontId="4" fillId="3" borderId="5" xfId="0" applyFont="1" applyFill="1" applyBorder="1" applyAlignment="1">
      <alignment horizontal="center"/>
    </xf>
    <xf numFmtId="0" fontId="13" fillId="11" borderId="5" xfId="0" applyFont="1" applyFill="1" applyBorder="1" applyAlignment="1">
      <alignment horizontal="center"/>
    </xf>
    <xf numFmtId="0" fontId="5" fillId="6" borderId="5" xfId="0" applyFont="1" applyFill="1" applyBorder="1" applyAlignment="1">
      <alignment horizontal="center" wrapText="1"/>
    </xf>
    <xf numFmtId="0" fontId="6" fillId="3" borderId="5" xfId="0" applyFont="1" applyFill="1" applyBorder="1" applyAlignment="1">
      <alignment horizontal="center" wrapText="1"/>
    </xf>
    <xf numFmtId="0" fontId="6" fillId="3" borderId="6" xfId="0" applyFont="1" applyFill="1" applyBorder="1" applyAlignment="1">
      <alignment horizontal="center" wrapText="1"/>
    </xf>
    <xf numFmtId="0" fontId="6" fillId="3" borderId="7" xfId="0" applyFont="1" applyFill="1" applyBorder="1" applyAlignment="1">
      <alignment horizontal="center" wrapText="1"/>
    </xf>
    <xf numFmtId="0" fontId="6" fillId="3" borderId="8" xfId="0" applyFont="1" applyFill="1" applyBorder="1" applyAlignment="1">
      <alignment horizontal="center" wrapText="1"/>
    </xf>
    <xf numFmtId="0" fontId="16" fillId="12" borderId="1" xfId="0" applyFont="1" applyFill="1" applyBorder="1" applyAlignment="1">
      <alignment horizontal="center"/>
    </xf>
    <xf numFmtId="0" fontId="16" fillId="12" borderId="2" xfId="0" applyFont="1" applyFill="1" applyBorder="1" applyAlignment="1">
      <alignment horizontal="center"/>
    </xf>
    <xf numFmtId="0" fontId="16" fillId="12" borderId="3" xfId="0" applyFont="1" applyFill="1" applyBorder="1" applyAlignment="1">
      <alignment horizontal="center"/>
    </xf>
    <xf numFmtId="0" fontId="16" fillId="1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 vertical="top" wrapText="1"/>
    </xf>
    <xf numFmtId="0" fontId="4" fillId="3" borderId="5" xfId="0" applyFont="1" applyFill="1" applyBorder="1" applyAlignment="1">
      <alignment horizontal="center" vertical="top" wrapText="1"/>
    </xf>
    <xf numFmtId="0" fontId="2" fillId="2" borderId="6" xfId="0" applyFont="1" applyFill="1" applyBorder="1" applyAlignment="1">
      <alignment horizontal="center" vertical="top" wrapText="1"/>
    </xf>
    <xf numFmtId="0" fontId="2" fillId="2" borderId="7" xfId="0" applyFont="1" applyFill="1" applyBorder="1" applyAlignment="1">
      <alignment horizontal="center" vertical="top" wrapText="1"/>
    </xf>
    <xf numFmtId="0" fontId="2" fillId="2" borderId="8" xfId="0" applyFont="1" applyFill="1" applyBorder="1" applyAlignment="1">
      <alignment horizontal="center" vertical="top" wrapText="1"/>
    </xf>
    <xf numFmtId="0" fontId="23" fillId="13" borderId="0" xfId="0" applyFont="1" applyFill="1" applyAlignment="1">
      <alignment horizontal="center" wrapText="1"/>
    </xf>
    <xf numFmtId="0" fontId="6" fillId="3" borderId="5" xfId="0" applyFont="1" applyFill="1" applyBorder="1" applyAlignment="1">
      <alignment horizontal="left" wrapText="1"/>
    </xf>
  </cellXfs>
  <cellStyles count="61">
    <cellStyle name="20% - Accent1" xfId="26" builtinId="30" customBuiltin="1"/>
    <cellStyle name="20% - Accent2" xfId="29" builtinId="34" customBuiltin="1"/>
    <cellStyle name="20% - Accent3" xfId="32" builtinId="38" customBuiltin="1"/>
    <cellStyle name="20% - Accent4" xfId="35" builtinId="42" customBuiltin="1"/>
    <cellStyle name="20% - Accent5" xfId="38" builtinId="46" customBuiltin="1"/>
    <cellStyle name="20% - Accent6" xfId="41" builtinId="50" customBuiltin="1"/>
    <cellStyle name="40% - Accent1" xfId="27" builtinId="31" customBuiltin="1"/>
    <cellStyle name="40% - Accent2" xfId="30" builtinId="35" customBuiltin="1"/>
    <cellStyle name="40% - Accent3" xfId="33" builtinId="39" customBuiltin="1"/>
    <cellStyle name="40% - Accent4" xfId="36" builtinId="43" customBuiltin="1"/>
    <cellStyle name="40% - Accent5" xfId="39" builtinId="47" customBuiltin="1"/>
    <cellStyle name="40% - Accent6" xfId="42" builtinId="51" customBuiltin="1"/>
    <cellStyle name="60% - Accent1 2" xfId="48"/>
    <cellStyle name="60% - Accent2 2" xfId="49"/>
    <cellStyle name="60% - Accent3 2" xfId="50"/>
    <cellStyle name="60% - Accent4 2" xfId="51"/>
    <cellStyle name="60% - Accent5 2" xfId="52"/>
    <cellStyle name="60% - Accent6 2" xfId="53"/>
    <cellStyle name="Accent1" xfId="25" builtinId="29" customBuiltin="1"/>
    <cellStyle name="Accent2" xfId="28" builtinId="33" customBuiltin="1"/>
    <cellStyle name="Accent3" xfId="31" builtinId="37" customBuiltin="1"/>
    <cellStyle name="Accent4" xfId="34" builtinId="41" customBuiltin="1"/>
    <cellStyle name="Accent5" xfId="37" builtinId="45" customBuiltin="1"/>
    <cellStyle name="Accent6" xfId="40" builtinId="49" customBuiltin="1"/>
    <cellStyle name="Bad" xfId="15" builtinId="27" customBuiltin="1"/>
    <cellStyle name="Calculation" xfId="18" builtinId="22" customBuiltin="1"/>
    <cellStyle name="Check Cell" xfId="20" builtinId="23" customBuiltin="1"/>
    <cellStyle name="Comma" xfId="1" builtinId="3"/>
    <cellStyle name="Comma 10" xfId="60"/>
    <cellStyle name="Comma 10 13" xfId="3"/>
    <cellStyle name="Comma 2" xfId="7"/>
    <cellStyle name="Comma 2 2" xfId="43"/>
    <cellStyle name="Comma 3" xfId="54"/>
    <cellStyle name="Comma 3 2" xfId="4"/>
    <cellStyle name="Comma 3 2 2" xfId="44"/>
    <cellStyle name="Comma 4" xfId="9"/>
    <cellStyle name="Comma 5" xfId="55"/>
    <cellStyle name="Comma 6" xfId="57"/>
    <cellStyle name="Comma 8" xfId="59"/>
    <cellStyle name="Explanatory Text" xfId="23" builtinId="53" customBuiltin="1"/>
    <cellStyle name="Good" xfId="14" builtinId="26" customBuiltin="1"/>
    <cellStyle name="Heading 1" xfId="10" builtinId="16" customBuiltin="1"/>
    <cellStyle name="Heading 2" xfId="11" builtinId="17" customBuiltin="1"/>
    <cellStyle name="Heading 3" xfId="12" builtinId="18" customBuiltin="1"/>
    <cellStyle name="Heading 4" xfId="13" builtinId="19" customBuiltin="1"/>
    <cellStyle name="Input" xfId="16" builtinId="20" customBuiltin="1"/>
    <cellStyle name="Linked Cell" xfId="19" builtinId="24" customBuiltin="1"/>
    <cellStyle name="Neutral 2" xfId="47"/>
    <cellStyle name="Normal" xfId="0" builtinId="0"/>
    <cellStyle name="Normal 2" xfId="8"/>
    <cellStyle name="Normal 2 2" xfId="45"/>
    <cellStyle name="Normal 27 2" xfId="6"/>
    <cellStyle name="Note" xfId="22" builtinId="10" customBuiltin="1"/>
    <cellStyle name="Output" xfId="17" builtinId="21" customBuiltin="1"/>
    <cellStyle name="Percent" xfId="2" builtinId="5"/>
    <cellStyle name="Percent 2 2" xfId="5"/>
    <cellStyle name="Percent 5" xfId="56"/>
    <cellStyle name="Percent 6" xfId="58"/>
    <cellStyle name="Title 2" xfId="46"/>
    <cellStyle name="Total" xfId="24" builtinId="25" customBuiltin="1"/>
    <cellStyle name="Warning Text" xfId="21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100" baseline="0">
                <a:solidFill>
                  <a:schemeClr val="dk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GB" sz="1800">
                <a:solidFill>
                  <a:schemeClr val="dk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NAV BY CLASS OF FUNDS (N'Bn)</a:t>
            </a:r>
            <a:endParaRPr lang="en-GB" sz="1800">
              <a:solidFill>
                <a:sysClr val="windowText" lastClr="0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</c:rich>
      </c:tx>
      <c:layout/>
      <c:overlay val="0"/>
      <c:spPr>
        <a:solidFill>
          <a:schemeClr val="lt1"/>
        </a:solidFill>
        <a:ln w="12700" cap="flat" cmpd="sng" algn="ctr">
          <a:solidFill>
            <a:schemeClr val="accent3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100" baseline="0">
              <a:solidFill>
                <a:schemeClr val="dk1"/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0352501734696957E-2"/>
          <c:y val="0.12704985666184501"/>
          <c:w val="0.94540908679518509"/>
          <c:h val="0.7332719507050277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'NAV Comparison'!$B$2</c:f>
              <c:strCache>
                <c:ptCount val="1"/>
                <c:pt idx="0">
                  <c:v>Week Ended August 30, 2024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solidFill>
                <a:schemeClr val="lt1"/>
              </a:solidFill>
              <a:ln w="12700" cap="flat" cmpd="sng" algn="ctr">
                <a:solidFill>
                  <a:schemeClr val="accent6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'NAV Comparison'!$A$3:$A$10</c:f>
              <c:strCache>
                <c:ptCount val="8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</c:v>
                </c:pt>
                <c:pt idx="5">
                  <c:v>BALANCED FUNDS</c:v>
                </c:pt>
                <c:pt idx="6">
                  <c:v>ETHICAL FUNDS</c:v>
                </c:pt>
                <c:pt idx="7">
                  <c:v>SHARI'AH COMPLAINT FUNDS</c:v>
                </c:pt>
              </c:strCache>
            </c:strRef>
          </c:cat>
          <c:val>
            <c:numRef>
              <c:f>'NAV Comparison'!$B$3:$B$10</c:f>
              <c:numCache>
                <c:formatCode>#,##0.00</c:formatCode>
                <c:ptCount val="8"/>
                <c:pt idx="0">
                  <c:v>28.027790368799899</c:v>
                </c:pt>
                <c:pt idx="1">
                  <c:v>1275.7036996293593</c:v>
                </c:pt>
                <c:pt idx="2">
                  <c:v>218.57098019258581</c:v>
                </c:pt>
                <c:pt idx="3">
                  <c:v>1619.6847317934423</c:v>
                </c:pt>
                <c:pt idx="4">
                  <c:v>97.021700017900898</c:v>
                </c:pt>
                <c:pt idx="5" formatCode="_-* #,##0.00_-;\-* #,##0.00_-;_-* &quot;-&quot;??_-;_-@_-">
                  <c:v>50.541815917121063</c:v>
                </c:pt>
                <c:pt idx="6">
                  <c:v>5.2847179959899995</c:v>
                </c:pt>
                <c:pt idx="7">
                  <c:v>51.238844342502098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60-45B9-A30A-C545D9245C39}"/>
            </c:ext>
          </c:extLst>
        </c:ser>
        <c:ser>
          <c:idx val="1"/>
          <c:order val="1"/>
          <c:tx>
            <c:strRef>
              <c:f>'NAV Comparison'!$C$2</c:f>
              <c:strCache>
                <c:ptCount val="1"/>
                <c:pt idx="0">
                  <c:v>Week Ended September 6, 2024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solidFill>
                <a:schemeClr val="lt1"/>
              </a:solidFill>
              <a:ln w="12700" cap="flat" cmpd="sng" algn="ctr">
                <a:solidFill>
                  <a:schemeClr val="accent6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'NAV Comparison'!$A$3:$A$10</c:f>
              <c:strCache>
                <c:ptCount val="8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</c:v>
                </c:pt>
                <c:pt idx="5">
                  <c:v>BALANCED FUNDS</c:v>
                </c:pt>
                <c:pt idx="6">
                  <c:v>ETHICAL FUNDS</c:v>
                </c:pt>
                <c:pt idx="7">
                  <c:v>SHARI'AH COMPLAINT FUNDS</c:v>
                </c:pt>
              </c:strCache>
            </c:strRef>
          </c:cat>
          <c:val>
            <c:numRef>
              <c:f>'NAV Comparison'!$C$3:$C$10</c:f>
              <c:numCache>
                <c:formatCode>#,##0.00</c:formatCode>
                <c:ptCount val="8"/>
                <c:pt idx="0">
                  <c:v>27.785128483915297</c:v>
                </c:pt>
                <c:pt idx="1">
                  <c:v>1307.6229551246593</c:v>
                </c:pt>
                <c:pt idx="2">
                  <c:v>218.5205205612252</c:v>
                </c:pt>
                <c:pt idx="3">
                  <c:v>1642.4826183090815</c:v>
                </c:pt>
                <c:pt idx="4">
                  <c:v>97.137104575276979</c:v>
                </c:pt>
                <c:pt idx="5" formatCode="_-* #,##0.00_-;\-* #,##0.00_-;_-* &quot;-&quot;??_-;_-@_-">
                  <c:v>50.358393707296287</c:v>
                </c:pt>
                <c:pt idx="6">
                  <c:v>5.2914806109799999</c:v>
                </c:pt>
                <c:pt idx="7">
                  <c:v>51.554659950165174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A60-45B9-A30A-C545D9245C3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0944175"/>
        <c:axId val="10939183"/>
      </c:barChart>
      <c:catAx>
        <c:axId val="109441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10939183"/>
        <c:crosses val="autoZero"/>
        <c:auto val="1"/>
        <c:lblAlgn val="ctr"/>
        <c:lblOffset val="100"/>
        <c:noMultiLvlLbl val="0"/>
      </c:catAx>
      <c:valAx>
        <c:axId val="109391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1094417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pattFill prst="pct40">
      <a:fgClr>
        <a:schemeClr val="accent1"/>
      </a:fgClr>
      <a:bgClr>
        <a:schemeClr val="bg1"/>
      </a:bgClr>
    </a:pattFill>
    <a:ln>
      <a:noFill/>
    </a:ln>
    <a:effectLst/>
  </c:spPr>
  <c:txPr>
    <a:bodyPr/>
    <a:lstStyle/>
    <a:p>
      <a:pPr>
        <a:defRPr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spc="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US" sz="200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PERCENTAGE MARKET</a:t>
            </a:r>
            <a:r>
              <a:rPr lang="en-US" sz="200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 SHARE OF FUNDS BY CLASS</a:t>
            </a:r>
          </a:p>
          <a:p>
            <a:pPr>
              <a:defRPr sz="200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US" sz="160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AS AT 6TH SEPTEMBER, 2024</a:t>
            </a:r>
            <a:endParaRPr lang="en-US" sz="16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</c:rich>
      </c:tx>
      <c:layout>
        <c:manualLayout>
          <c:xMode val="edge"/>
          <c:yMode val="edge"/>
          <c:x val="0.23407699914128496"/>
          <c:y val="3.1719518867076704E-2"/>
        </c:manualLayout>
      </c:layout>
      <c:overlay val="0"/>
      <c:spPr>
        <a:solidFill>
          <a:schemeClr val="dk1"/>
        </a:solidFill>
        <a:ln w="12700" cap="flat" cmpd="sng" algn="ctr">
          <a:solidFill>
            <a:schemeClr val="dk1">
              <a:shade val="15000"/>
            </a:schemeClr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spc="0" baseline="0">
              <a:solidFill>
                <a:schemeClr val="lt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title>
    <c:autoTitleDeleted val="0"/>
    <c:view3D>
      <c:rotX val="30"/>
      <c:rotY val="235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5552536576715378"/>
          <c:y val="0.14742728847951844"/>
          <c:w val="0.84316500743410161"/>
          <c:h val="0.81423920364184155"/>
        </c:manualLayout>
      </c:layout>
      <c:pie3DChart>
        <c:varyColors val="1"/>
        <c:ser>
          <c:idx val="0"/>
          <c:order val="0"/>
          <c:tx>
            <c:strRef>
              <c:f>'Market Share'!$B$1</c:f>
              <c:strCache>
                <c:ptCount val="1"/>
                <c:pt idx="0">
                  <c:v>6-Sep</c:v>
                </c:pt>
              </c:strCache>
            </c:strRef>
          </c:tx>
          <c:explosion val="1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34ED-4F83-A203-9FCC25B0DFA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34ED-4F83-A203-9FCC25B0DFAD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34ED-4F83-A203-9FCC25B0DFAD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34ED-4F83-A203-9FCC25B0DFAD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34ED-4F83-A203-9FCC25B0DFAD}"/>
              </c:ext>
            </c:extLst>
          </c:dPt>
          <c:dPt>
            <c:idx val="5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34ED-4F83-A203-9FCC25B0DFAD}"/>
              </c:ext>
            </c:extLst>
          </c:dPt>
          <c:dPt>
            <c:idx val="6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34ED-4F83-A203-9FCC25B0DFAD}"/>
              </c:ext>
            </c:extLst>
          </c:dPt>
          <c:dPt>
            <c:idx val="7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34ED-4F83-A203-9FCC25B0DFAD}"/>
              </c:ext>
            </c:extLst>
          </c:dPt>
          <c:dLbls>
            <c:dLbl>
              <c:idx val="0"/>
              <c:layout>
                <c:manualLayout>
                  <c:x val="-4.3124205825803251E-2"/>
                  <c:y val="0.1159985586080866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34ED-4F83-A203-9FCC25B0DFAD}"/>
                </c:ext>
              </c:extLst>
            </c:dLbl>
            <c:dLbl>
              <c:idx val="1"/>
              <c:layout>
                <c:manualLayout>
                  <c:x val="-8.3929154372232542E-2"/>
                  <c:y val="5.523740886099375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34ED-4F83-A203-9FCC25B0DFAD}"/>
                </c:ext>
              </c:extLst>
            </c:dLbl>
            <c:dLbl>
              <c:idx val="2"/>
              <c:layout>
                <c:manualLayout>
                  <c:x val="-2.6526971099187786E-2"/>
                  <c:y val="-9.756311755718939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34ED-4F83-A203-9FCC25B0DFAD}"/>
                </c:ext>
              </c:extLst>
            </c:dLbl>
            <c:dLbl>
              <c:idx val="3"/>
              <c:layout>
                <c:manualLayout>
                  <c:x val="-1.8232066883237173E-2"/>
                  <c:y val="3.176145796708884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34ED-4F83-A203-9FCC25B0DFAD}"/>
                </c:ext>
              </c:extLst>
            </c:dLbl>
            <c:dLbl>
              <c:idx val="4"/>
              <c:layout>
                <c:manualLayout>
                  <c:x val="-2.2105334402515702E-2"/>
                  <c:y val="-0.1021892063928384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34ED-4F83-A203-9FCC25B0DFAD}"/>
                </c:ext>
              </c:extLst>
            </c:dLbl>
            <c:dLbl>
              <c:idx val="5"/>
              <c:layout>
                <c:manualLayout>
                  <c:x val="0.17345977414073466"/>
                  <c:y val="7.180870146235146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34ED-4F83-A203-9FCC25B0DFAD}"/>
                </c:ext>
              </c:extLst>
            </c:dLbl>
            <c:dLbl>
              <c:idx val="6"/>
              <c:layout>
                <c:manualLayout>
                  <c:x val="-0.11676596925004035"/>
                  <c:y val="0.1159985586080868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34ED-4F83-A203-9FCC25B0DFAD}"/>
                </c:ext>
              </c:extLst>
            </c:dLbl>
            <c:dLbl>
              <c:idx val="7"/>
              <c:layout>
                <c:manualLayout>
                  <c:x val="-0.23297582723395927"/>
                  <c:y val="-0.3286625827229128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34ED-4F83-A203-9FCC25B0DFAD}"/>
                </c:ext>
              </c:extLst>
            </c:dLbl>
            <c:spPr>
              <a:gradFill rotWithShape="1">
                <a:gsLst>
                  <a:gs pos="0">
                    <a:schemeClr val="dk1">
                      <a:satMod val="103000"/>
                      <a:lumMod val="102000"/>
                      <a:tint val="94000"/>
                    </a:schemeClr>
                  </a:gs>
                  <a:gs pos="50000">
                    <a:schemeClr val="dk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dk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6350" cap="flat" cmpd="sng" algn="ctr">
                <a:solidFill>
                  <a:schemeClr val="dk1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lt1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25400" cap="flat" cmpd="sng" algn="ctr">
                  <a:solidFill>
                    <a:schemeClr val="tx1"/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'Market Share'!$A$2:$A$9</c:f>
              <c:strCache>
                <c:ptCount val="8"/>
                <c:pt idx="0">
                  <c:v>ETHICAL FUNDS</c:v>
                </c:pt>
                <c:pt idx="1">
                  <c:v>EQUITY BASED FUNDS</c:v>
                </c:pt>
                <c:pt idx="2">
                  <c:v>BALANCED FUNDS</c:v>
                </c:pt>
                <c:pt idx="3">
                  <c:v>SHARI'AH COMPLAINT FUNDS</c:v>
                </c:pt>
                <c:pt idx="4">
                  <c:v>REAL ESTATE INVESTMENT TRUST</c:v>
                </c:pt>
                <c:pt idx="5">
                  <c:v>BONDS/FIXED INCOME FUNDS</c:v>
                </c:pt>
                <c:pt idx="6">
                  <c:v>MONEY MARKET FUNDS</c:v>
                </c:pt>
                <c:pt idx="7">
                  <c:v>DOLLAR FUNDS</c:v>
                </c:pt>
              </c:strCache>
            </c:strRef>
          </c:cat>
          <c:val>
            <c:numRef>
              <c:f>'Market Share'!$B$2:$B$9</c:f>
              <c:numCache>
                <c:formatCode>#,##0.00</c:formatCode>
                <c:ptCount val="8"/>
                <c:pt idx="0">
                  <c:v>5291480610.9799995</c:v>
                </c:pt>
                <c:pt idx="1">
                  <c:v>27785128483.915298</c:v>
                </c:pt>
                <c:pt idx="2" formatCode="_-* #,##0.00_-;\-* #,##0.00_-;_-* &quot;-&quot;??_-;_-@_-">
                  <c:v>50358393707.296288</c:v>
                </c:pt>
                <c:pt idx="3">
                  <c:v>51554659950.165176</c:v>
                </c:pt>
                <c:pt idx="4">
                  <c:v>97137104575.276978</c:v>
                </c:pt>
                <c:pt idx="5">
                  <c:v>218520520561.22519</c:v>
                </c:pt>
                <c:pt idx="6">
                  <c:v>1307622955124.6592</c:v>
                </c:pt>
                <c:pt idx="7">
                  <c:v>1642482618309.0815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23-4F76-8609-5E1FC182E85C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pattFill prst="pct40">
      <a:fgClr>
        <a:schemeClr val="accent1"/>
      </a:fgClr>
      <a:bgClr>
        <a:schemeClr val="bg1"/>
      </a:bgClr>
    </a:pattFill>
    <a:ln w="9525" cap="flat" cmpd="sng" algn="ctr">
      <a:solidFill>
        <a:schemeClr val="tx1">
          <a:lumMod val="15000"/>
          <a:lumOff val="85000"/>
        </a:schemeClr>
      </a:solidFill>
      <a:round/>
    </a:ln>
    <a:effectLst>
      <a:outerShdw blurRad="50800" dist="50800" dir="5400000" algn="ctr" rotWithShape="0">
        <a:schemeClr val="accent3">
          <a:lumMod val="20000"/>
          <a:lumOff val="80000"/>
        </a:schemeClr>
      </a:outerShdw>
    </a:effec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bg1"/>
                </a:solidFill>
              </a:rPr>
              <a:t>8-WEEK MOVEMENT IN TOTAL NAV (N'Bn)</a:t>
            </a:r>
          </a:p>
        </c:rich>
      </c:tx>
      <c:layout>
        <c:manualLayout>
          <c:xMode val="edge"/>
          <c:yMode val="edge"/>
          <c:x val="0.25982501751573839"/>
          <c:y val="1.5686278384753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'8-Week Movement in NAV'!$A$3</c:f>
              <c:strCache>
                <c:ptCount val="1"/>
                <c:pt idx="0">
                  <c:v>TOTAL NAV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1"/>
                </a:solidFill>
                <a:prstDash val="sysDash"/>
              </a:ln>
              <a:effectLst/>
            </c:spPr>
            <c:trendlineType val="linear"/>
            <c:dispRSqr val="0"/>
            <c:dispEq val="0"/>
          </c:trendline>
          <c:cat>
            <c:numRef>
              <c:f>'8-Week Movement in NAV'!$B$2:$I$2</c:f>
              <c:numCache>
                <c:formatCode>d\-mmm</c:formatCode>
                <c:ptCount val="8"/>
                <c:pt idx="0">
                  <c:v>45492</c:v>
                </c:pt>
                <c:pt idx="1">
                  <c:v>45499</c:v>
                </c:pt>
                <c:pt idx="2">
                  <c:v>45506</c:v>
                </c:pt>
                <c:pt idx="3">
                  <c:v>45513</c:v>
                </c:pt>
                <c:pt idx="4">
                  <c:v>45520</c:v>
                </c:pt>
                <c:pt idx="5">
                  <c:v>45527</c:v>
                </c:pt>
                <c:pt idx="6">
                  <c:v>45534</c:v>
                </c:pt>
                <c:pt idx="7">
                  <c:v>45541</c:v>
                </c:pt>
              </c:numCache>
            </c:numRef>
          </c:cat>
          <c:val>
            <c:numRef>
              <c:f>'8-Week Movement in NAV'!$B$3:$I$3</c:f>
              <c:numCache>
                <c:formatCode>_-* #,##0.00_-;\-* #,##0.00_-;_-* "-"??_-;_-@_-</c:formatCode>
                <c:ptCount val="8"/>
                <c:pt idx="0">
                  <c:v>3161.8406486109188</c:v>
                </c:pt>
                <c:pt idx="1">
                  <c:v>3212.3863205334346</c:v>
                </c:pt>
                <c:pt idx="2">
                  <c:v>3251.4108261292827</c:v>
                </c:pt>
                <c:pt idx="3">
                  <c:v>3244.6913921078954</c:v>
                </c:pt>
                <c:pt idx="4">
                  <c:v>3279.8332952209639</c:v>
                </c:pt>
                <c:pt idx="5">
                  <c:v>3320.1554533474555</c:v>
                </c:pt>
                <c:pt idx="6">
                  <c:v>3346.0742802577015</c:v>
                </c:pt>
                <c:pt idx="7">
                  <c:v>3400.7528613225991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10-4FE7-8062-E0C712B572D6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917563183"/>
        <c:axId val="917583983"/>
      </c:lineChart>
      <c:dateAx>
        <c:axId val="917563183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7583983"/>
        <c:crosses val="autoZero"/>
        <c:auto val="1"/>
        <c:lblOffset val="100"/>
        <c:baseTimeUnit val="days"/>
      </c:dateAx>
      <c:valAx>
        <c:axId val="917583983"/>
        <c:scaling>
          <c:orientation val="minMax"/>
        </c:scaling>
        <c:delete val="0"/>
        <c:axPos val="l"/>
        <c:numFmt formatCode="_-* #,##0.00_-;\-* #,##0.00_-;_-* &quot;-&quot;??_-;_-@_-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756318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tx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spc="100" baseline="0">
                <a:solidFill>
                  <a:sysClr val="window" lastClr="FFFFFF">
                    <a:lumMod val="95000"/>
                  </a:sys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 sz="1600" b="1" i="0" u="none" strike="noStrike" kern="1200" cap="all" spc="120" normalizeH="0" baseline="0">
                <a:solidFill>
                  <a:schemeClr val="bg1"/>
                </a:solidFill>
              </a:rPr>
              <a:t>8-WEEK MOVEMENT IN </a:t>
            </a:r>
            <a:r>
              <a:rPr lang="en-US"/>
              <a:t>AGGREGATE </a:t>
            </a:r>
            <a:r>
              <a:rPr lang="en-US" sz="1400" b="1" i="0" u="none" strike="noStrike" kern="1200" spc="100" baseline="0">
                <a:solidFill>
                  <a:sysClr val="window" lastClr="FFFFFF">
                    <a:lumMod val="95000"/>
                  </a:sys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</a:rPr>
              <a:t>ETFs </a:t>
            </a:r>
            <a:r>
              <a:rPr lang="en-US" sz="1600" b="1" i="0" u="none" strike="noStrike" kern="1200" cap="all" spc="120" normalizeH="0" baseline="0">
                <a:solidFill>
                  <a:schemeClr val="bg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</a:rPr>
              <a:t>(N'Bn)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600" b="1" i="0" u="none" strike="noStrike" kern="1200" spc="100" baseline="0">
              <a:solidFill>
                <a:sysClr val="window" lastClr="FFFFFF">
                  <a:lumMod val="95000"/>
                </a:sys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'8-Week Movement in ETFs'!$A$3</c:f>
              <c:strCache>
                <c:ptCount val="1"/>
                <c:pt idx="0">
                  <c:v>ETFs AGGREGATE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'8-Week Movement in ETFs'!$B$2:$I$2</c:f>
              <c:numCache>
                <c:formatCode>d\-mmm</c:formatCode>
                <c:ptCount val="8"/>
                <c:pt idx="0">
                  <c:v>45492</c:v>
                </c:pt>
                <c:pt idx="1">
                  <c:v>45499</c:v>
                </c:pt>
                <c:pt idx="2">
                  <c:v>45506</c:v>
                </c:pt>
                <c:pt idx="3">
                  <c:v>45513</c:v>
                </c:pt>
                <c:pt idx="4">
                  <c:v>45520</c:v>
                </c:pt>
                <c:pt idx="5">
                  <c:v>45527</c:v>
                </c:pt>
                <c:pt idx="6">
                  <c:v>45534</c:v>
                </c:pt>
                <c:pt idx="7">
                  <c:v>45541</c:v>
                </c:pt>
              </c:numCache>
            </c:numRef>
          </c:cat>
          <c:val>
            <c:numRef>
              <c:f>'8-Week Movement in ETFs'!$B$3:$I$3</c:f>
              <c:numCache>
                <c:formatCode>_-* #,##0.00_-;\-* #,##0.00_-;_-* "-"??_-;_-@_-</c:formatCode>
                <c:ptCount val="8"/>
                <c:pt idx="0">
                  <c:v>12.398936333326033</c:v>
                </c:pt>
                <c:pt idx="1">
                  <c:v>12.157713481032657</c:v>
                </c:pt>
                <c:pt idx="2">
                  <c:v>12.159294190102655</c:v>
                </c:pt>
                <c:pt idx="3">
                  <c:v>12.203531382445654</c:v>
                </c:pt>
                <c:pt idx="4">
                  <c:v>12.119077784973646</c:v>
                </c:pt>
                <c:pt idx="5">
                  <c:v>12.021932386157646</c:v>
                </c:pt>
                <c:pt idx="6">
                  <c:v>12.190662825377647</c:v>
                </c:pt>
                <c:pt idx="7">
                  <c:v>12.168273401887646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B9-4B11-8A27-E544860A68AF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602158223"/>
        <c:axId val="602149103"/>
      </c:lineChart>
      <c:dateAx>
        <c:axId val="602158223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2149103"/>
        <c:crosses val="autoZero"/>
        <c:auto val="1"/>
        <c:lblOffset val="100"/>
        <c:baseTimeUnit val="days"/>
      </c:dateAx>
      <c:valAx>
        <c:axId val="6021491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-* #,##0.00_-;\-* #,##0.0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215822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567690</xdr:colOff>
      <xdr:row>23</xdr:row>
      <xdr:rowOff>127635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560295</xdr:colOff>
      <xdr:row>30</xdr:row>
      <xdr:rowOff>156883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588819</xdr:colOff>
      <xdr:row>18</xdr:row>
      <xdr:rowOff>181841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38099</xdr:colOff>
      <xdr:row>18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6845486-119B-33F4-4827-DA39EBDC88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0000"/>
  </sheetPr>
  <dimension ref="A1:AB233"/>
  <sheetViews>
    <sheetView tabSelected="1" zoomScaleNormal="100" workbookViewId="0">
      <pane ySplit="3" topLeftCell="A4" activePane="bottomLeft" state="frozen"/>
      <selection activeCell="H6" sqref="H6"/>
      <selection pane="bottomLeft" activeCell="A4" sqref="A4:V4"/>
    </sheetView>
  </sheetViews>
  <sheetFormatPr defaultRowHeight="15"/>
  <cols>
    <col min="1" max="1" width="7.140625" customWidth="1"/>
    <col min="2" max="2" width="39.140625" customWidth="1"/>
    <col min="3" max="3" width="36.140625" customWidth="1"/>
    <col min="4" max="4" width="21" customWidth="1"/>
    <col min="8" max="8" width="9.85546875" customWidth="1"/>
    <col min="11" max="11" width="20.5703125" customWidth="1"/>
    <col min="13" max="13" width="10" customWidth="1"/>
    <col min="14" max="14" width="10.140625" customWidth="1"/>
    <col min="15" max="15" width="9.85546875" customWidth="1"/>
    <col min="17" max="17" width="9.140625" customWidth="1"/>
    <col min="20" max="20" width="8.28515625" customWidth="1"/>
    <col min="24" max="24" width="18.85546875" customWidth="1"/>
    <col min="25" max="25" width="11.28515625" customWidth="1"/>
    <col min="26" max="26" width="15.85546875" customWidth="1"/>
    <col min="27" max="27" width="17.28515625" customWidth="1"/>
  </cols>
  <sheetData>
    <row r="1" spans="1:25" ht="26.25">
      <c r="A1" s="170" t="s">
        <v>288</v>
      </c>
      <c r="B1" s="171"/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  <c r="N1" s="172"/>
      <c r="O1" s="172"/>
      <c r="P1" s="172"/>
      <c r="Q1" s="172"/>
      <c r="R1" s="172"/>
      <c r="S1" s="172"/>
      <c r="T1" s="172"/>
      <c r="U1" s="172"/>
      <c r="V1" s="173"/>
    </row>
    <row r="2" spans="1:25" ht="15" customHeight="1">
      <c r="A2" s="1"/>
      <c r="B2" s="1"/>
      <c r="C2" s="1"/>
      <c r="D2" s="176" t="s">
        <v>284</v>
      </c>
      <c r="E2" s="177"/>
      <c r="F2" s="177"/>
      <c r="G2" s="177"/>
      <c r="H2" s="177"/>
      <c r="I2" s="177"/>
      <c r="J2" s="178"/>
      <c r="K2" s="176" t="s">
        <v>289</v>
      </c>
      <c r="L2" s="177"/>
      <c r="M2" s="177"/>
      <c r="N2" s="177"/>
      <c r="O2" s="177"/>
      <c r="P2" s="177"/>
      <c r="Q2" s="178"/>
      <c r="R2" s="176" t="s">
        <v>0</v>
      </c>
      <c r="S2" s="177"/>
      <c r="T2" s="178"/>
      <c r="U2" s="174" t="s">
        <v>1</v>
      </c>
      <c r="V2" s="174"/>
    </row>
    <row r="3" spans="1:25" ht="25.5">
      <c r="A3" s="78" t="s">
        <v>2</v>
      </c>
      <c r="B3" s="78" t="s">
        <v>3</v>
      </c>
      <c r="C3" s="72" t="s">
        <v>4</v>
      </c>
      <c r="D3" s="73" t="s">
        <v>5</v>
      </c>
      <c r="E3" s="74" t="s">
        <v>293</v>
      </c>
      <c r="F3" s="74" t="s">
        <v>6</v>
      </c>
      <c r="G3" s="74" t="s">
        <v>7</v>
      </c>
      <c r="H3" s="74" t="s">
        <v>226</v>
      </c>
      <c r="I3" s="74" t="s">
        <v>8</v>
      </c>
      <c r="J3" s="74" t="s">
        <v>9</v>
      </c>
      <c r="K3" s="75" t="s">
        <v>5</v>
      </c>
      <c r="L3" s="74" t="s">
        <v>293</v>
      </c>
      <c r="M3" s="74" t="s">
        <v>6</v>
      </c>
      <c r="N3" s="74" t="s">
        <v>7</v>
      </c>
      <c r="O3" s="74" t="s">
        <v>226</v>
      </c>
      <c r="P3" s="74" t="s">
        <v>8</v>
      </c>
      <c r="Q3" s="74" t="s">
        <v>9</v>
      </c>
      <c r="R3" s="73" t="s">
        <v>10</v>
      </c>
      <c r="S3" s="74" t="s">
        <v>11</v>
      </c>
      <c r="T3" s="74" t="s">
        <v>232</v>
      </c>
      <c r="U3" s="74" t="s">
        <v>12</v>
      </c>
      <c r="V3" s="74" t="s">
        <v>13</v>
      </c>
    </row>
    <row r="4" spans="1:25" ht="7.5" customHeight="1">
      <c r="A4" s="175"/>
      <c r="B4" s="175"/>
      <c r="C4" s="175"/>
      <c r="D4" s="175"/>
      <c r="E4" s="175"/>
      <c r="F4" s="175"/>
      <c r="G4" s="175"/>
      <c r="H4" s="175"/>
      <c r="I4" s="175"/>
      <c r="J4" s="175"/>
      <c r="K4" s="175"/>
      <c r="L4" s="175"/>
      <c r="M4" s="175"/>
      <c r="N4" s="175"/>
      <c r="O4" s="175"/>
      <c r="P4" s="175"/>
      <c r="Q4" s="175"/>
      <c r="R4" s="175"/>
      <c r="S4" s="175"/>
      <c r="T4" s="175"/>
      <c r="U4" s="175"/>
      <c r="V4" s="175"/>
    </row>
    <row r="5" spans="1:25" ht="15" customHeight="1">
      <c r="A5" s="164" t="s">
        <v>14</v>
      </c>
      <c r="B5" s="164"/>
      <c r="C5" s="164"/>
      <c r="D5" s="164"/>
      <c r="E5" s="164"/>
      <c r="F5" s="164"/>
      <c r="G5" s="164"/>
      <c r="H5" s="164"/>
      <c r="I5" s="164"/>
      <c r="J5" s="164"/>
      <c r="K5" s="164"/>
      <c r="L5" s="164"/>
      <c r="M5" s="164"/>
      <c r="N5" s="164"/>
      <c r="O5" s="164"/>
      <c r="P5" s="164"/>
      <c r="Q5" s="164"/>
      <c r="R5" s="164"/>
      <c r="S5" s="164"/>
      <c r="T5" s="164"/>
      <c r="U5" s="164"/>
      <c r="V5" s="164"/>
    </row>
    <row r="6" spans="1:25">
      <c r="A6" s="139">
        <v>1</v>
      </c>
      <c r="B6" s="131" t="s">
        <v>15</v>
      </c>
      <c r="C6" s="132" t="s">
        <v>16</v>
      </c>
      <c r="D6" s="2">
        <v>1065195582.11</v>
      </c>
      <c r="E6" s="3">
        <f t="shared" ref="E6:E22" si="0">(D6/$D$23)</f>
        <v>3.8004978918914675E-2</v>
      </c>
      <c r="F6" s="8">
        <v>335.1148</v>
      </c>
      <c r="G6" s="8">
        <v>335.1148</v>
      </c>
      <c r="H6" s="58">
        <v>1743</v>
      </c>
      <c r="I6" s="5">
        <v>5.3E-3</v>
      </c>
      <c r="J6" s="5">
        <v>0.1173</v>
      </c>
      <c r="K6" s="2">
        <v>1042560440.45</v>
      </c>
      <c r="L6" s="3">
        <f>(K6/$K$23)</f>
        <v>3.7522246515920711E-2</v>
      </c>
      <c r="M6" s="8">
        <v>333.24790000000002</v>
      </c>
      <c r="N6" s="8">
        <v>333.24790000000002</v>
      </c>
      <c r="O6" s="58">
        <v>1743</v>
      </c>
      <c r="P6" s="5">
        <v>-5.5999999999999999E-3</v>
      </c>
      <c r="Q6" s="5">
        <v>0.1113</v>
      </c>
      <c r="R6" s="76">
        <f>((K6-D6)/D6)</f>
        <v>-2.1249751726497956E-2</v>
      </c>
      <c r="S6" s="76">
        <f>((N6-G6)/G6)</f>
        <v>-5.5709267391353262E-3</v>
      </c>
      <c r="T6" s="76">
        <f>((O6-H6)/H6)</f>
        <v>0</v>
      </c>
      <c r="U6" s="77">
        <f>P6-I6</f>
        <v>-1.09E-2</v>
      </c>
      <c r="V6" s="79">
        <f>Q6-J6</f>
        <v>-6.0000000000000053E-3</v>
      </c>
    </row>
    <row r="7" spans="1:25">
      <c r="A7" s="157">
        <v>2</v>
      </c>
      <c r="B7" s="131" t="s">
        <v>17</v>
      </c>
      <c r="C7" s="132" t="s">
        <v>18</v>
      </c>
      <c r="D7" s="4">
        <v>591886185.78999996</v>
      </c>
      <c r="E7" s="3">
        <f t="shared" si="0"/>
        <v>2.1117832622612964E-2</v>
      </c>
      <c r="F7" s="4">
        <v>218.62039999999999</v>
      </c>
      <c r="G7" s="4">
        <v>220.97030000000001</v>
      </c>
      <c r="H7" s="58">
        <v>448</v>
      </c>
      <c r="I7" s="5">
        <v>1.4829999999999999E-3</v>
      </c>
      <c r="J7" s="5">
        <v>0.13009999999999999</v>
      </c>
      <c r="K7" s="4">
        <v>587962535.91999996</v>
      </c>
      <c r="L7" s="3">
        <f t="shared" ref="L7:L22" si="1">(K7/$K$23)</f>
        <v>2.1161051540948213E-2</v>
      </c>
      <c r="M7" s="4">
        <v>218.56870000000001</v>
      </c>
      <c r="N7" s="4">
        <v>220.99449999999999</v>
      </c>
      <c r="O7" s="58">
        <v>450</v>
      </c>
      <c r="P7" s="5">
        <v>3.9899999999999999E-4</v>
      </c>
      <c r="Q7" s="5">
        <v>0.1298</v>
      </c>
      <c r="R7" s="76">
        <f t="shared" ref="R7:R23" si="2">((K7-D7)/D7)</f>
        <v>-6.6290614043695694E-3</v>
      </c>
      <c r="S7" s="76">
        <f t="shared" ref="S7:S23" si="3">((N7-G7)/G7)</f>
        <v>1.0951698033617697E-4</v>
      </c>
      <c r="T7" s="76">
        <f t="shared" ref="T7:T23" si="4">((O7-H7)/H7)</f>
        <v>4.464285714285714E-3</v>
      </c>
      <c r="U7" s="77">
        <f t="shared" ref="U7:U23" si="5">P7-I7</f>
        <v>-1.0839999999999999E-3</v>
      </c>
      <c r="V7" s="79">
        <f t="shared" ref="V7:V23" si="6">Q7-J7</f>
        <v>-2.9999999999999472E-4</v>
      </c>
    </row>
    <row r="8" spans="1:25">
      <c r="A8" s="162">
        <v>3</v>
      </c>
      <c r="B8" s="131" t="s">
        <v>19</v>
      </c>
      <c r="C8" s="132" t="s">
        <v>20</v>
      </c>
      <c r="D8" s="4">
        <v>3660730613.2600002</v>
      </c>
      <c r="E8" s="3">
        <f t="shared" si="0"/>
        <v>0.13061074615910745</v>
      </c>
      <c r="F8" s="4">
        <v>33.108699999999999</v>
      </c>
      <c r="G8" s="4">
        <v>34.106999999999999</v>
      </c>
      <c r="H8" s="60">
        <v>6588</v>
      </c>
      <c r="I8" s="6">
        <v>0.11260000000000001</v>
      </c>
      <c r="J8" s="6">
        <v>0.12620000000000001</v>
      </c>
      <c r="K8" s="4">
        <v>3650646977.8400002</v>
      </c>
      <c r="L8" s="3">
        <f t="shared" si="1"/>
        <v>0.13138852245917615</v>
      </c>
      <c r="M8" s="4">
        <v>33.032499999999999</v>
      </c>
      <c r="N8" s="4">
        <v>34.028500000000001</v>
      </c>
      <c r="O8" s="60">
        <v>6590</v>
      </c>
      <c r="P8" s="6">
        <v>-0.1203</v>
      </c>
      <c r="Q8" s="6">
        <v>0.11899999999999999</v>
      </c>
      <c r="R8" s="76">
        <f t="shared" si="2"/>
        <v>-2.754541780123031E-3</v>
      </c>
      <c r="S8" s="76">
        <f t="shared" si="3"/>
        <v>-2.3015803207552185E-3</v>
      </c>
      <c r="T8" s="76">
        <f t="shared" si="4"/>
        <v>3.0358227079538557E-4</v>
      </c>
      <c r="U8" s="77">
        <f t="shared" si="5"/>
        <v>-0.2329</v>
      </c>
      <c r="V8" s="79">
        <f t="shared" si="6"/>
        <v>-7.2000000000000119E-3</v>
      </c>
      <c r="X8" s="98"/>
      <c r="Y8" s="98"/>
    </row>
    <row r="9" spans="1:25">
      <c r="A9" s="157">
        <v>4</v>
      </c>
      <c r="B9" s="131" t="s">
        <v>21</v>
      </c>
      <c r="C9" s="132" t="s">
        <v>22</v>
      </c>
      <c r="D9" s="4">
        <v>543181331.09000003</v>
      </c>
      <c r="E9" s="3">
        <f t="shared" si="0"/>
        <v>1.9380098250437218E-2</v>
      </c>
      <c r="F9" s="4">
        <v>196.37520000000001</v>
      </c>
      <c r="G9" s="4">
        <v>196.37520000000001</v>
      </c>
      <c r="H9" s="58">
        <v>1801</v>
      </c>
      <c r="I9" s="5">
        <v>2.5000000000000001E-3</v>
      </c>
      <c r="J9" s="5">
        <v>0.14230000000000001</v>
      </c>
      <c r="K9" s="4">
        <v>540031344.46000004</v>
      </c>
      <c r="L9" s="3">
        <f t="shared" si="1"/>
        <v>1.9435985144809462E-2</v>
      </c>
      <c r="M9" s="4">
        <v>196.03049999999999</v>
      </c>
      <c r="N9" s="4">
        <v>196.03049999999999</v>
      </c>
      <c r="O9" s="58">
        <v>1778</v>
      </c>
      <c r="P9" s="5">
        <v>-1.7553132982169872E-3</v>
      </c>
      <c r="Q9" s="5">
        <v>0.14059884073286533</v>
      </c>
      <c r="R9" s="76">
        <f t="shared" si="2"/>
        <v>-5.7991437660033862E-3</v>
      </c>
      <c r="S9" s="76">
        <f t="shared" si="3"/>
        <v>-1.755313298216971E-3</v>
      </c>
      <c r="T9" s="76">
        <f t="shared" si="4"/>
        <v>-1.2770682953914493E-2</v>
      </c>
      <c r="U9" s="77">
        <f t="shared" si="5"/>
        <v>-4.2553132982169877E-3</v>
      </c>
      <c r="V9" s="79">
        <f t="shared" si="6"/>
        <v>-1.7011592671346831E-3</v>
      </c>
    </row>
    <row r="10" spans="1:25">
      <c r="A10" s="162">
        <v>5</v>
      </c>
      <c r="B10" s="131" t="s">
        <v>263</v>
      </c>
      <c r="C10" s="132" t="s">
        <v>98</v>
      </c>
      <c r="D10" s="4">
        <v>578125012.96000004</v>
      </c>
      <c r="E10" s="3">
        <f t="shared" si="0"/>
        <v>2.0626849471642967E-2</v>
      </c>
      <c r="F10" s="4">
        <v>0.92330000000000001</v>
      </c>
      <c r="G10" s="4">
        <v>0.93189999999999995</v>
      </c>
      <c r="H10" s="58">
        <v>530</v>
      </c>
      <c r="I10" s="5">
        <v>-1.6199999999999999E-2</v>
      </c>
      <c r="J10" s="5">
        <v>-4.7E-2</v>
      </c>
      <c r="K10" s="4">
        <v>575379698.98000002</v>
      </c>
      <c r="L10" s="3">
        <f t="shared" si="1"/>
        <v>2.0708189249982595E-2</v>
      </c>
      <c r="M10" s="4">
        <v>0.92049999999999998</v>
      </c>
      <c r="N10" s="4">
        <v>0.92910000000000004</v>
      </c>
      <c r="O10" s="58">
        <v>529</v>
      </c>
      <c r="P10" s="5">
        <v>-4.7000000000000002E-3</v>
      </c>
      <c r="Q10" s="5">
        <v>-5.04E-2</v>
      </c>
      <c r="R10" s="76">
        <f>((K10-D10)/D10)</f>
        <v>-4.7486511021967576E-3</v>
      </c>
      <c r="S10" s="76">
        <f>((N10-G10)/G10)</f>
        <v>-3.004614228994435E-3</v>
      </c>
      <c r="T10" s="76">
        <f>((O10-H10)/H10)</f>
        <v>-1.8867924528301887E-3</v>
      </c>
      <c r="U10" s="77">
        <f>P10-I10</f>
        <v>1.15E-2</v>
      </c>
      <c r="V10" s="79">
        <f>Q10-J10</f>
        <v>-3.4000000000000002E-3</v>
      </c>
    </row>
    <row r="11" spans="1:25">
      <c r="A11" s="157">
        <v>6</v>
      </c>
      <c r="B11" s="131" t="s">
        <v>23</v>
      </c>
      <c r="C11" s="132" t="s">
        <v>24</v>
      </c>
      <c r="D11" s="7">
        <v>88987807.219999999</v>
      </c>
      <c r="E11" s="3">
        <f t="shared" si="0"/>
        <v>3.1749847579515167E-3</v>
      </c>
      <c r="F11" s="4">
        <v>159.8777</v>
      </c>
      <c r="G11" s="4">
        <v>160.48310000000001</v>
      </c>
      <c r="H11" s="60">
        <v>95</v>
      </c>
      <c r="I11" s="6">
        <v>2.6580000000000002E-3</v>
      </c>
      <c r="J11" s="6">
        <v>0.20760000000000001</v>
      </c>
      <c r="K11" s="7">
        <v>89172229.849999994</v>
      </c>
      <c r="L11" s="3">
        <f t="shared" si="1"/>
        <v>3.2093509987409794E-3</v>
      </c>
      <c r="M11" s="4">
        <v>160.20930000000001</v>
      </c>
      <c r="N11" s="4">
        <v>160.8151</v>
      </c>
      <c r="O11" s="60">
        <v>95</v>
      </c>
      <c r="P11" s="6">
        <v>3.1700000000000001E-4</v>
      </c>
      <c r="Q11" s="6">
        <v>0.20849999999999999</v>
      </c>
      <c r="R11" s="76">
        <f t="shared" si="2"/>
        <v>2.0724483023169299E-3</v>
      </c>
      <c r="S11" s="76">
        <f t="shared" si="3"/>
        <v>2.0687536569270761E-3</v>
      </c>
      <c r="T11" s="76">
        <f t="shared" si="4"/>
        <v>0</v>
      </c>
      <c r="U11" s="77">
        <f t="shared" si="5"/>
        <v>-2.3410000000000002E-3</v>
      </c>
      <c r="V11" s="79">
        <f t="shared" si="6"/>
        <v>8.9999999999998415E-4</v>
      </c>
    </row>
    <row r="12" spans="1:25">
      <c r="A12" s="157">
        <v>7</v>
      </c>
      <c r="B12" s="131" t="s">
        <v>25</v>
      </c>
      <c r="C12" s="132" t="s">
        <v>26</v>
      </c>
      <c r="D12" s="4">
        <v>1123431693.04</v>
      </c>
      <c r="E12" s="3">
        <f t="shared" si="0"/>
        <v>4.008277778081952E-2</v>
      </c>
      <c r="F12" s="4">
        <v>314.88</v>
      </c>
      <c r="G12" s="4">
        <v>319.25</v>
      </c>
      <c r="H12" s="60">
        <v>1620</v>
      </c>
      <c r="I12" s="6">
        <v>3.0800000000000001E-2</v>
      </c>
      <c r="J12" s="6">
        <v>0.26619999999999999</v>
      </c>
      <c r="K12" s="4">
        <v>1106031640.25</v>
      </c>
      <c r="L12" s="3">
        <f t="shared" si="1"/>
        <v>3.980660520933986E-2</v>
      </c>
      <c r="M12" s="4">
        <v>313.58999999999997</v>
      </c>
      <c r="N12" s="4">
        <v>317.99</v>
      </c>
      <c r="O12" s="60">
        <v>1619</v>
      </c>
      <c r="P12" s="6">
        <v>-4.0000000000000001E-3</v>
      </c>
      <c r="Q12" s="6">
        <v>0.26100000000000001</v>
      </c>
      <c r="R12" s="76">
        <f t="shared" si="2"/>
        <v>-1.5488305072572338E-2</v>
      </c>
      <c r="S12" s="76">
        <f t="shared" si="3"/>
        <v>-3.9467501957713104E-3</v>
      </c>
      <c r="T12" s="76">
        <f t="shared" si="4"/>
        <v>-6.1728395061728394E-4</v>
      </c>
      <c r="U12" s="77">
        <f t="shared" si="5"/>
        <v>-3.4799999999999998E-2</v>
      </c>
      <c r="V12" s="79">
        <f t="shared" si="6"/>
        <v>-5.1999999999999824E-3</v>
      </c>
    </row>
    <row r="13" spans="1:25">
      <c r="A13" s="162">
        <v>8</v>
      </c>
      <c r="B13" s="131" t="s">
        <v>27</v>
      </c>
      <c r="C13" s="132" t="s">
        <v>28</v>
      </c>
      <c r="D13" s="2">
        <v>354608824.25</v>
      </c>
      <c r="E13" s="3">
        <f t="shared" si="0"/>
        <v>1.2652043546206375E-2</v>
      </c>
      <c r="F13" s="4">
        <v>178.24</v>
      </c>
      <c r="G13" s="4">
        <v>184.04</v>
      </c>
      <c r="H13" s="58">
        <v>2465</v>
      </c>
      <c r="I13" s="5">
        <v>-3.9110000000000004E-3</v>
      </c>
      <c r="J13" s="5">
        <v>6.2280000000000002E-2</v>
      </c>
      <c r="K13" s="2">
        <v>355673427.93000001</v>
      </c>
      <c r="L13" s="3">
        <f t="shared" si="1"/>
        <v>1.2800855973579462E-2</v>
      </c>
      <c r="M13" s="4">
        <v>178.77</v>
      </c>
      <c r="N13" s="4">
        <v>184.59</v>
      </c>
      <c r="O13" s="58">
        <v>2465</v>
      </c>
      <c r="P13" s="5">
        <v>3.0000000000000001E-3</v>
      </c>
      <c r="Q13" s="5">
        <v>6.54E-2</v>
      </c>
      <c r="R13" s="76">
        <f t="shared" si="2"/>
        <v>3.0021917312736111E-3</v>
      </c>
      <c r="S13" s="76">
        <f t="shared" si="3"/>
        <v>2.9884807650511378E-3</v>
      </c>
      <c r="T13" s="76">
        <f t="shared" si="4"/>
        <v>0</v>
      </c>
      <c r="U13" s="77">
        <f t="shared" si="5"/>
        <v>6.9110000000000005E-3</v>
      </c>
      <c r="V13" s="79">
        <f t="shared" si="6"/>
        <v>3.1199999999999978E-3</v>
      </c>
    </row>
    <row r="14" spans="1:25">
      <c r="A14" s="162">
        <v>9</v>
      </c>
      <c r="B14" s="131" t="s">
        <v>29</v>
      </c>
      <c r="C14" s="132" t="s">
        <v>30</v>
      </c>
      <c r="D14" s="7">
        <v>56395040.459899999</v>
      </c>
      <c r="E14" s="3">
        <f t="shared" si="0"/>
        <v>2.0121115406471031E-3</v>
      </c>
      <c r="F14" s="4">
        <v>201.04230860000001</v>
      </c>
      <c r="G14" s="4">
        <v>206.3689296</v>
      </c>
      <c r="H14" s="58">
        <v>15</v>
      </c>
      <c r="I14" s="5">
        <v>1.03E-2</v>
      </c>
      <c r="J14" s="5">
        <v>0.113</v>
      </c>
      <c r="K14" s="7">
        <v>56126881.805299997</v>
      </c>
      <c r="L14" s="3">
        <f t="shared" si="1"/>
        <v>2.0200331928568057E-3</v>
      </c>
      <c r="M14" s="4">
        <v>200.09750750000001</v>
      </c>
      <c r="N14" s="4">
        <v>205.37814169999999</v>
      </c>
      <c r="O14" s="58">
        <v>15</v>
      </c>
      <c r="P14" s="5">
        <v>-4.7999999999999996E-3</v>
      </c>
      <c r="Q14" s="5">
        <v>0.1077</v>
      </c>
      <c r="R14" s="76">
        <f t="shared" si="2"/>
        <v>-4.7550042062772793E-3</v>
      </c>
      <c r="S14" s="76">
        <f t="shared" si="3"/>
        <v>-4.8010516986274811E-3</v>
      </c>
      <c r="T14" s="76">
        <f t="shared" si="4"/>
        <v>0</v>
      </c>
      <c r="U14" s="77">
        <f t="shared" si="5"/>
        <v>-1.5099999999999999E-2</v>
      </c>
      <c r="V14" s="79">
        <f t="shared" si="6"/>
        <v>-5.2999999999999992E-3</v>
      </c>
    </row>
    <row r="15" spans="1:25" ht="14.25" customHeight="1">
      <c r="A15" s="157">
        <v>10</v>
      </c>
      <c r="B15" s="131" t="s">
        <v>235</v>
      </c>
      <c r="C15" s="132" t="s">
        <v>31</v>
      </c>
      <c r="D15" s="2">
        <v>570287831.07000005</v>
      </c>
      <c r="E15" s="3">
        <f t="shared" si="0"/>
        <v>2.0347227646772884E-2</v>
      </c>
      <c r="F15" s="4">
        <v>1.942032</v>
      </c>
      <c r="G15" s="4">
        <v>1.961875</v>
      </c>
      <c r="H15" s="58">
        <v>456</v>
      </c>
      <c r="I15" s="5">
        <v>4.3841525066523612E-3</v>
      </c>
      <c r="J15" s="5">
        <v>0.14594441494069743</v>
      </c>
      <c r="K15" s="2">
        <v>570132755.88</v>
      </c>
      <c r="L15" s="3">
        <f t="shared" si="1"/>
        <v>2.0519349270241728E-2</v>
      </c>
      <c r="M15" s="4">
        <v>1.940898</v>
      </c>
      <c r="N15" s="4">
        <v>1.961776</v>
      </c>
      <c r="O15" s="58">
        <v>456</v>
      </c>
      <c r="P15" s="5">
        <v>-5.8392446674404574E-4</v>
      </c>
      <c r="Q15" s="5">
        <v>0.14527526995928475</v>
      </c>
      <c r="R15" s="76">
        <f t="shared" si="2"/>
        <v>-2.7192442403881924E-4</v>
      </c>
      <c r="S15" s="76">
        <f t="shared" si="3"/>
        <v>-5.0461930551167253E-5</v>
      </c>
      <c r="T15" s="76">
        <f t="shared" si="4"/>
        <v>0</v>
      </c>
      <c r="U15" s="77">
        <f t="shared" si="5"/>
        <v>-4.968076973396407E-3</v>
      </c>
      <c r="V15" s="79">
        <f t="shared" si="6"/>
        <v>-6.6914498141268375E-4</v>
      </c>
    </row>
    <row r="16" spans="1:25">
      <c r="A16" s="157">
        <v>11</v>
      </c>
      <c r="B16" s="131" t="s">
        <v>32</v>
      </c>
      <c r="C16" s="132" t="s">
        <v>33</v>
      </c>
      <c r="D16" s="2">
        <v>1611290283.5999999</v>
      </c>
      <c r="E16" s="3">
        <f t="shared" si="0"/>
        <v>5.7489022944657929E-2</v>
      </c>
      <c r="F16" s="4">
        <v>3.28</v>
      </c>
      <c r="G16" s="4">
        <v>3.35</v>
      </c>
      <c r="H16" s="58">
        <v>3663</v>
      </c>
      <c r="I16" s="5">
        <v>-7.3000000000000001E-3</v>
      </c>
      <c r="J16" s="5">
        <v>0.184</v>
      </c>
      <c r="K16" s="2">
        <v>1537130939.8199999</v>
      </c>
      <c r="L16" s="3">
        <f t="shared" si="1"/>
        <v>5.5322074206345273E-2</v>
      </c>
      <c r="M16" s="4">
        <v>3.13</v>
      </c>
      <c r="N16" s="4">
        <v>3.19</v>
      </c>
      <c r="O16" s="58">
        <v>3664</v>
      </c>
      <c r="P16" s="5">
        <v>-5.4800000000000001E-2</v>
      </c>
      <c r="Q16" s="5">
        <v>0.1295</v>
      </c>
      <c r="R16" s="76">
        <f t="shared" si="2"/>
        <v>-4.6024819075002818E-2</v>
      </c>
      <c r="S16" s="76">
        <f t="shared" si="3"/>
        <v>-4.7761194029850788E-2</v>
      </c>
      <c r="T16" s="76">
        <f t="shared" si="4"/>
        <v>2.7300027300027302E-4</v>
      </c>
      <c r="U16" s="77">
        <f t="shared" si="5"/>
        <v>-4.7500000000000001E-2</v>
      </c>
      <c r="V16" s="79">
        <f t="shared" si="6"/>
        <v>-5.4499999999999993E-2</v>
      </c>
    </row>
    <row r="17" spans="1:22">
      <c r="A17" s="157">
        <v>12</v>
      </c>
      <c r="B17" s="131" t="s">
        <v>34</v>
      </c>
      <c r="C17" s="132" t="s">
        <v>35</v>
      </c>
      <c r="D17" s="4">
        <v>586378857.72000003</v>
      </c>
      <c r="E17" s="3">
        <f t="shared" si="0"/>
        <v>2.09213373585364E-2</v>
      </c>
      <c r="F17" s="4">
        <v>20.04</v>
      </c>
      <c r="G17" s="4">
        <v>20.149999999999999</v>
      </c>
      <c r="H17" s="58">
        <v>327</v>
      </c>
      <c r="I17" s="5">
        <v>5.7579970039338679E-3</v>
      </c>
      <c r="J17" s="5">
        <v>0.14399999999999999</v>
      </c>
      <c r="K17" s="4">
        <v>589489869.38999999</v>
      </c>
      <c r="L17" s="3">
        <f t="shared" si="1"/>
        <v>2.1216020999552093E-2</v>
      </c>
      <c r="M17" s="4">
        <v>20.040032</v>
      </c>
      <c r="N17" s="4">
        <v>20.156212</v>
      </c>
      <c r="O17" s="58">
        <v>328</v>
      </c>
      <c r="P17" s="5">
        <v>5.7579970039338679E-3</v>
      </c>
      <c r="Q17" s="5">
        <v>0.14393256616700478</v>
      </c>
      <c r="R17" s="76">
        <f t="shared" si="2"/>
        <v>5.3054635736636442E-3</v>
      </c>
      <c r="S17" s="76">
        <f t="shared" si="3"/>
        <v>3.0828784119113842E-4</v>
      </c>
      <c r="T17" s="76">
        <f t="shared" si="4"/>
        <v>3.0581039755351682E-3</v>
      </c>
      <c r="U17" s="77">
        <f t="shared" si="5"/>
        <v>0</v>
      </c>
      <c r="V17" s="79">
        <f t="shared" si="6"/>
        <v>-6.7433832995206222E-5</v>
      </c>
    </row>
    <row r="18" spans="1:22">
      <c r="A18" s="160">
        <v>13</v>
      </c>
      <c r="B18" s="131" t="s">
        <v>36</v>
      </c>
      <c r="C18" s="132" t="s">
        <v>37</v>
      </c>
      <c r="D18" s="4">
        <v>234353546.55000001</v>
      </c>
      <c r="E18" s="3">
        <f t="shared" si="0"/>
        <v>8.3614706498903579E-3</v>
      </c>
      <c r="F18" s="4">
        <v>2.5666350000000002</v>
      </c>
      <c r="G18" s="4">
        <v>2.6264370000000001</v>
      </c>
      <c r="H18" s="58">
        <v>21</v>
      </c>
      <c r="I18" s="5">
        <v>2E-3</v>
      </c>
      <c r="J18" s="5">
        <v>0.19620000000000001</v>
      </c>
      <c r="K18" s="4">
        <v>221387026.16</v>
      </c>
      <c r="L18" s="3">
        <f t="shared" si="1"/>
        <v>7.9678244528601002E-3</v>
      </c>
      <c r="M18" s="4">
        <v>2.5379299999999998</v>
      </c>
      <c r="N18" s="4">
        <v>2.5986959999999999</v>
      </c>
      <c r="O18" s="58">
        <v>21</v>
      </c>
      <c r="P18" s="5">
        <v>-2.1399999999999999E-2</v>
      </c>
      <c r="Q18" s="5">
        <v>0.1832</v>
      </c>
      <c r="R18" s="76">
        <f t="shared" si="2"/>
        <v>-5.5328884844648894E-2</v>
      </c>
      <c r="S18" s="76">
        <f t="shared" si="3"/>
        <v>-1.0562217940122012E-2</v>
      </c>
      <c r="T18" s="76">
        <f t="shared" si="4"/>
        <v>0</v>
      </c>
      <c r="U18" s="77">
        <f t="shared" si="5"/>
        <v>-2.3399999999999997E-2</v>
      </c>
      <c r="V18" s="79">
        <f t="shared" si="6"/>
        <v>-1.3000000000000012E-2</v>
      </c>
    </row>
    <row r="19" spans="1:22">
      <c r="A19" s="162">
        <v>14</v>
      </c>
      <c r="B19" s="131" t="s">
        <v>38</v>
      </c>
      <c r="C19" s="132" t="s">
        <v>39</v>
      </c>
      <c r="D19" s="2">
        <v>1466822411.48</v>
      </c>
      <c r="E19" s="3">
        <f t="shared" si="0"/>
        <v>5.2334571943739236E-2</v>
      </c>
      <c r="F19" s="4">
        <v>26</v>
      </c>
      <c r="G19" s="4">
        <v>26.5</v>
      </c>
      <c r="H19" s="58">
        <v>8834</v>
      </c>
      <c r="I19" s="5">
        <v>-1.2200000000000001E-2</v>
      </c>
      <c r="J19" s="5">
        <v>3.2300000000000002E-2</v>
      </c>
      <c r="K19" s="2">
        <v>1456743409.24</v>
      </c>
      <c r="L19" s="3">
        <f t="shared" si="1"/>
        <v>5.242888871589358E-2</v>
      </c>
      <c r="M19" s="4">
        <v>25.98</v>
      </c>
      <c r="N19" s="4">
        <v>26.5</v>
      </c>
      <c r="O19" s="58">
        <v>8834</v>
      </c>
      <c r="P19" s="5">
        <v>-2.0000000000000001E-4</v>
      </c>
      <c r="Q19" s="5">
        <v>3.2099999999999997E-2</v>
      </c>
      <c r="R19" s="76">
        <f t="shared" si="2"/>
        <v>-6.871317319068271E-3</v>
      </c>
      <c r="S19" s="76">
        <f t="shared" si="3"/>
        <v>0</v>
      </c>
      <c r="T19" s="76">
        <f t="shared" si="4"/>
        <v>0</v>
      </c>
      <c r="U19" s="77">
        <f t="shared" si="5"/>
        <v>1.2E-2</v>
      </c>
      <c r="V19" s="79">
        <f t="shared" si="6"/>
        <v>-2.0000000000000573E-4</v>
      </c>
    </row>
    <row r="20" spans="1:22" ht="12.75" customHeight="1">
      <c r="A20" s="160">
        <v>15</v>
      </c>
      <c r="B20" s="131" t="s">
        <v>40</v>
      </c>
      <c r="C20" s="132" t="s">
        <v>41</v>
      </c>
      <c r="D20" s="4">
        <v>683597223.46000004</v>
      </c>
      <c r="E20" s="3">
        <f t="shared" si="0"/>
        <v>2.4389979176559343E-2</v>
      </c>
      <c r="F20" s="4">
        <v>6722.57</v>
      </c>
      <c r="G20" s="4">
        <v>6813.26</v>
      </c>
      <c r="H20" s="58">
        <v>20</v>
      </c>
      <c r="I20" s="5">
        <v>2.3099999999999999E-2</v>
      </c>
      <c r="J20" s="5">
        <v>0.25069999999999998</v>
      </c>
      <c r="K20" s="4">
        <v>682275501.83000004</v>
      </c>
      <c r="L20" s="3">
        <f t="shared" si="1"/>
        <v>2.4555420077505368E-2</v>
      </c>
      <c r="M20" s="4">
        <v>6709.76</v>
      </c>
      <c r="N20" s="4">
        <v>6799.96</v>
      </c>
      <c r="O20" s="58">
        <v>20</v>
      </c>
      <c r="P20" s="5">
        <v>-2E-3</v>
      </c>
      <c r="Q20" s="5">
        <v>0.2482</v>
      </c>
      <c r="R20" s="76">
        <f t="shared" si="2"/>
        <v>-1.933480102962025E-3</v>
      </c>
      <c r="S20" s="76">
        <f t="shared" si="3"/>
        <v>-1.9520758051212168E-3</v>
      </c>
      <c r="T20" s="76">
        <f t="shared" si="4"/>
        <v>0</v>
      </c>
      <c r="U20" s="77">
        <f t="shared" si="5"/>
        <v>-2.5099999999999997E-2</v>
      </c>
      <c r="V20" s="79">
        <f t="shared" si="6"/>
        <v>-2.4999999999999745E-3</v>
      </c>
    </row>
    <row r="21" spans="1:22">
      <c r="A21" s="160">
        <v>16</v>
      </c>
      <c r="B21" s="131" t="s">
        <v>42</v>
      </c>
      <c r="C21" s="132" t="s">
        <v>41</v>
      </c>
      <c r="D21" s="4">
        <v>11604644349.690001</v>
      </c>
      <c r="E21" s="3">
        <f t="shared" si="0"/>
        <v>0.4140406431256925</v>
      </c>
      <c r="F21" s="4">
        <v>22748.87</v>
      </c>
      <c r="G21" s="4">
        <v>23090.7</v>
      </c>
      <c r="H21" s="58">
        <v>17409</v>
      </c>
      <c r="I21" s="5">
        <v>4.3400000000000001E-2</v>
      </c>
      <c r="J21" s="5">
        <v>0.25750000000000001</v>
      </c>
      <c r="K21" s="4">
        <v>11519214910.530001</v>
      </c>
      <c r="L21" s="3">
        <f t="shared" si="1"/>
        <v>0.41458202783544545</v>
      </c>
      <c r="M21" s="4">
        <v>22654.34</v>
      </c>
      <c r="N21" s="4">
        <v>22995.64</v>
      </c>
      <c r="O21" s="58">
        <v>17409</v>
      </c>
      <c r="P21" s="5">
        <v>-4.1000000000000003E-3</v>
      </c>
      <c r="Q21" s="5">
        <v>0.25230000000000002</v>
      </c>
      <c r="R21" s="76">
        <f t="shared" si="2"/>
        <v>-7.3616593999523954E-3</v>
      </c>
      <c r="S21" s="76">
        <f t="shared" si="3"/>
        <v>-4.1168089317344782E-3</v>
      </c>
      <c r="T21" s="76">
        <f t="shared" si="4"/>
        <v>0</v>
      </c>
      <c r="U21" s="77">
        <f t="shared" si="5"/>
        <v>-4.7500000000000001E-2</v>
      </c>
      <c r="V21" s="79">
        <f t="shared" si="6"/>
        <v>-5.1999999999999824E-3</v>
      </c>
    </row>
    <row r="22" spans="1:22">
      <c r="A22" s="157">
        <v>17</v>
      </c>
      <c r="B22" s="132" t="s">
        <v>43</v>
      </c>
      <c r="C22" s="132" t="s">
        <v>44</v>
      </c>
      <c r="D22" s="4">
        <v>3207873775.0500002</v>
      </c>
      <c r="E22" s="3">
        <f t="shared" si="0"/>
        <v>0.11445332410581162</v>
      </c>
      <c r="F22" s="4">
        <v>1.3052999999999999</v>
      </c>
      <c r="G22" s="8">
        <v>1.3179000000000001</v>
      </c>
      <c r="H22" s="58">
        <v>3981</v>
      </c>
      <c r="I22" s="5">
        <v>8.3000000000000001E-3</v>
      </c>
      <c r="J22" s="5">
        <v>0.18060000000000001</v>
      </c>
      <c r="K22" s="4">
        <v>3205168893.5799999</v>
      </c>
      <c r="L22" s="3">
        <f t="shared" si="1"/>
        <v>0.11535555415680225</v>
      </c>
      <c r="M22" s="4">
        <v>1.3059000000000001</v>
      </c>
      <c r="N22" s="8">
        <v>1.3185</v>
      </c>
      <c r="O22" s="58">
        <v>4002</v>
      </c>
      <c r="P22" s="5">
        <v>4.0000000000000002E-4</v>
      </c>
      <c r="Q22" s="5">
        <v>0.18110000000000001</v>
      </c>
      <c r="R22" s="76">
        <f t="shared" si="2"/>
        <v>-8.4320071788301801E-4</v>
      </c>
      <c r="S22" s="76">
        <f t="shared" si="3"/>
        <v>4.5526974732524006E-4</v>
      </c>
      <c r="T22" s="76">
        <f t="shared" si="4"/>
        <v>5.2750565184626974E-3</v>
      </c>
      <c r="U22" s="77">
        <f t="shared" si="5"/>
        <v>-7.9000000000000008E-3</v>
      </c>
      <c r="V22" s="79">
        <f t="shared" si="6"/>
        <v>5.0000000000000044E-4</v>
      </c>
    </row>
    <row r="23" spans="1:22">
      <c r="A23" s="71"/>
      <c r="B23" s="129"/>
      <c r="C23" s="68" t="s">
        <v>45</v>
      </c>
      <c r="D23" s="56">
        <f>SUM(D6:D22)</f>
        <v>28027790368.7999</v>
      </c>
      <c r="E23" s="96">
        <f>(D23/$D$205)</f>
        <v>8.3763204344170471E-3</v>
      </c>
      <c r="F23" s="30"/>
      <c r="G23" s="31"/>
      <c r="H23" s="63">
        <f>SUM(H6:H22)</f>
        <v>50016</v>
      </c>
      <c r="I23" s="28"/>
      <c r="J23" s="58">
        <v>0</v>
      </c>
      <c r="K23" s="56">
        <f>SUM(K6:K22)</f>
        <v>27785128483.915298</v>
      </c>
      <c r="L23" s="96">
        <f>(K23/$K$205)</f>
        <v>8.1702874677900827E-3</v>
      </c>
      <c r="M23" s="30"/>
      <c r="N23" s="31"/>
      <c r="O23" s="63">
        <f>SUM(O6:O22)</f>
        <v>50018</v>
      </c>
      <c r="P23" s="28"/>
      <c r="Q23" s="63"/>
      <c r="R23" s="76">
        <f t="shared" si="2"/>
        <v>-8.6579028061637368E-3</v>
      </c>
      <c r="S23" s="76" t="e">
        <f t="shared" si="3"/>
        <v>#DIV/0!</v>
      </c>
      <c r="T23" s="76">
        <f t="shared" si="4"/>
        <v>3.9987204094689698E-5</v>
      </c>
      <c r="U23" s="77">
        <f t="shared" si="5"/>
        <v>0</v>
      </c>
      <c r="V23" s="79">
        <f t="shared" si="6"/>
        <v>0</v>
      </c>
    </row>
    <row r="24" spans="1:22" ht="9" customHeight="1">
      <c r="A24" s="166"/>
      <c r="B24" s="166"/>
      <c r="C24" s="166"/>
      <c r="D24" s="166"/>
      <c r="E24" s="166"/>
      <c r="F24" s="166"/>
      <c r="G24" s="166"/>
      <c r="H24" s="166"/>
      <c r="I24" s="166"/>
      <c r="J24" s="166"/>
      <c r="K24" s="166"/>
      <c r="L24" s="166"/>
      <c r="M24" s="166"/>
      <c r="N24" s="166"/>
      <c r="O24" s="166"/>
      <c r="P24" s="166"/>
      <c r="Q24" s="166"/>
      <c r="R24" s="166"/>
      <c r="S24" s="166"/>
      <c r="T24" s="166"/>
      <c r="U24" s="166"/>
      <c r="V24" s="166"/>
    </row>
    <row r="25" spans="1:22" ht="15" customHeight="1">
      <c r="A25" s="164" t="s">
        <v>46</v>
      </c>
      <c r="B25" s="164"/>
      <c r="C25" s="164"/>
      <c r="D25" s="164"/>
      <c r="E25" s="164"/>
      <c r="F25" s="164"/>
      <c r="G25" s="164"/>
      <c r="H25" s="164"/>
      <c r="I25" s="164"/>
      <c r="J25" s="164"/>
      <c r="K25" s="164"/>
      <c r="L25" s="164"/>
      <c r="M25" s="164"/>
      <c r="N25" s="164"/>
      <c r="O25" s="164"/>
      <c r="P25" s="164"/>
      <c r="Q25" s="164"/>
      <c r="R25" s="164"/>
      <c r="S25" s="164"/>
      <c r="T25" s="164"/>
      <c r="U25" s="164"/>
      <c r="V25" s="164"/>
    </row>
    <row r="26" spans="1:22">
      <c r="A26" s="139">
        <v>18</v>
      </c>
      <c r="B26" s="131" t="s">
        <v>47</v>
      </c>
      <c r="C26" s="132" t="s">
        <v>16</v>
      </c>
      <c r="D26" s="9">
        <v>1165615580.3299999</v>
      </c>
      <c r="E26" s="3">
        <f>(D26/$K$62)</f>
        <v>8.9140036564965214E-4</v>
      </c>
      <c r="F26" s="8">
        <v>100</v>
      </c>
      <c r="G26" s="8">
        <v>100</v>
      </c>
      <c r="H26" s="58">
        <v>825</v>
      </c>
      <c r="I26" s="5">
        <v>0.19850000000000001</v>
      </c>
      <c r="J26" s="5">
        <v>0.19850000000000001</v>
      </c>
      <c r="K26" s="9">
        <v>1167378761.04</v>
      </c>
      <c r="L26" s="3">
        <f t="shared" ref="L26:L61" si="7">(K26/$K$62)</f>
        <v>8.9274875182097934E-4</v>
      </c>
      <c r="M26" s="8">
        <v>100</v>
      </c>
      <c r="N26" s="8">
        <v>100</v>
      </c>
      <c r="O26" s="58">
        <v>841</v>
      </c>
      <c r="P26" s="5">
        <v>0.19819999999999999</v>
      </c>
      <c r="Q26" s="5">
        <v>0.19819999999999999</v>
      </c>
      <c r="R26" s="76">
        <f>((K26-D26)/D26)</f>
        <v>1.5126605544349882E-3</v>
      </c>
      <c r="S26" s="76">
        <f>((N26-G26)/G26)</f>
        <v>0</v>
      </c>
      <c r="T26" s="76">
        <f>((O26-H26)/H26)</f>
        <v>1.9393939393939394E-2</v>
      </c>
      <c r="U26" s="77">
        <f>P26-I26</f>
        <v>-3.0000000000002247E-4</v>
      </c>
      <c r="V26" s="79">
        <f>Q26-J26</f>
        <v>-3.0000000000002247E-4</v>
      </c>
    </row>
    <row r="27" spans="1:22">
      <c r="A27" s="157">
        <v>19</v>
      </c>
      <c r="B27" s="131" t="s">
        <v>48</v>
      </c>
      <c r="C27" s="132" t="s">
        <v>49</v>
      </c>
      <c r="D27" s="9">
        <v>7698310904.1599998</v>
      </c>
      <c r="E27" s="3">
        <f t="shared" ref="E27:E61" si="8">(D27/$K$62)</f>
        <v>5.8872558591831232E-3</v>
      </c>
      <c r="F27" s="8">
        <v>100</v>
      </c>
      <c r="G27" s="8">
        <v>100</v>
      </c>
      <c r="H27" s="58">
        <v>1628</v>
      </c>
      <c r="I27" s="5">
        <v>0.21166599999999999</v>
      </c>
      <c r="J27" s="5">
        <v>0.21166599999999999</v>
      </c>
      <c r="K27" s="9">
        <v>7811622570.9899998</v>
      </c>
      <c r="L27" s="3">
        <f t="shared" si="7"/>
        <v>5.9739105530196941E-3</v>
      </c>
      <c r="M27" s="8">
        <v>100</v>
      </c>
      <c r="N27" s="8">
        <v>100</v>
      </c>
      <c r="O27" s="58">
        <v>1642</v>
      </c>
      <c r="P27" s="5">
        <v>0.22206999999999999</v>
      </c>
      <c r="Q27" s="5">
        <v>0.22206999999999999</v>
      </c>
      <c r="R27" s="76">
        <f t="shared" ref="R27:R62" si="9">((K27-D27)/D27)</f>
        <v>1.4719029698939382E-2</v>
      </c>
      <c r="S27" s="76">
        <f t="shared" ref="S27:S62" si="10">((N27-G27)/G27)</f>
        <v>0</v>
      </c>
      <c r="T27" s="76">
        <f t="shared" ref="T27:T62" si="11">((O27-H27)/H27)</f>
        <v>8.5995085995085995E-3</v>
      </c>
      <c r="U27" s="77">
        <f t="shared" ref="U27:U62" si="12">P27-I27</f>
        <v>1.0403999999999997E-2</v>
      </c>
      <c r="V27" s="79">
        <f t="shared" ref="V27:V62" si="13">Q27-J27</f>
        <v>1.0403999999999997E-2</v>
      </c>
    </row>
    <row r="28" spans="1:22">
      <c r="A28" s="157">
        <v>20</v>
      </c>
      <c r="B28" s="131" t="s">
        <v>50</v>
      </c>
      <c r="C28" s="132" t="s">
        <v>18</v>
      </c>
      <c r="D28" s="9">
        <v>553435832.35000002</v>
      </c>
      <c r="E28" s="3">
        <f t="shared" si="8"/>
        <v>4.2323808264534444E-4</v>
      </c>
      <c r="F28" s="8">
        <v>100</v>
      </c>
      <c r="G28" s="8">
        <v>100</v>
      </c>
      <c r="H28" s="58">
        <v>1685</v>
      </c>
      <c r="I28" s="5">
        <v>0.20100000000000001</v>
      </c>
      <c r="J28" s="5">
        <v>0.20100000000000001</v>
      </c>
      <c r="K28" s="9">
        <v>567234317.69000006</v>
      </c>
      <c r="L28" s="3">
        <f t="shared" si="7"/>
        <v>4.3379042518867689E-4</v>
      </c>
      <c r="M28" s="8">
        <v>100</v>
      </c>
      <c r="N28" s="8">
        <v>100</v>
      </c>
      <c r="O28" s="58">
        <v>1695</v>
      </c>
      <c r="P28" s="5">
        <v>0.19800000000000001</v>
      </c>
      <c r="Q28" s="5">
        <v>0.19800000000000001</v>
      </c>
      <c r="R28" s="76">
        <f t="shared" si="9"/>
        <v>2.4932403240695285E-2</v>
      </c>
      <c r="S28" s="76">
        <f t="shared" si="10"/>
        <v>0</v>
      </c>
      <c r="T28" s="76">
        <f t="shared" si="11"/>
        <v>5.9347181008902079E-3</v>
      </c>
      <c r="U28" s="77">
        <f t="shared" si="12"/>
        <v>-3.0000000000000027E-3</v>
      </c>
      <c r="V28" s="79">
        <f t="shared" si="13"/>
        <v>-3.0000000000000027E-3</v>
      </c>
    </row>
    <row r="29" spans="1:22">
      <c r="A29" s="162">
        <v>21</v>
      </c>
      <c r="B29" s="131" t="s">
        <v>51</v>
      </c>
      <c r="C29" s="132" t="s">
        <v>20</v>
      </c>
      <c r="D29" s="9">
        <v>101936295079.60001</v>
      </c>
      <c r="E29" s="3">
        <f t="shared" si="8"/>
        <v>7.7955418784983133E-2</v>
      </c>
      <c r="F29" s="8">
        <v>1</v>
      </c>
      <c r="G29" s="8">
        <v>1</v>
      </c>
      <c r="H29" s="58">
        <v>60637</v>
      </c>
      <c r="I29" s="5">
        <v>0.20250000000000001</v>
      </c>
      <c r="J29" s="5">
        <v>0.20250000000000001</v>
      </c>
      <c r="K29" s="9">
        <v>101613930293.64</v>
      </c>
      <c r="L29" s="3">
        <f t="shared" si="7"/>
        <v>7.7708891462488036E-2</v>
      </c>
      <c r="M29" s="8">
        <v>1</v>
      </c>
      <c r="N29" s="8">
        <v>1</v>
      </c>
      <c r="O29" s="58">
        <v>60893</v>
      </c>
      <c r="P29" s="5">
        <v>0.20569999999999999</v>
      </c>
      <c r="Q29" s="5">
        <v>0.20569999999999999</v>
      </c>
      <c r="R29" s="76">
        <f t="shared" si="9"/>
        <v>-3.1624141892569132E-3</v>
      </c>
      <c r="S29" s="76">
        <f t="shared" si="10"/>
        <v>0</v>
      </c>
      <c r="T29" s="76">
        <f t="shared" si="11"/>
        <v>4.2218447482560151E-3</v>
      </c>
      <c r="U29" s="77">
        <f t="shared" si="12"/>
        <v>3.1999999999999806E-3</v>
      </c>
      <c r="V29" s="79">
        <f t="shared" si="13"/>
        <v>3.1999999999999806E-3</v>
      </c>
    </row>
    <row r="30" spans="1:22">
      <c r="A30" s="157">
        <v>22</v>
      </c>
      <c r="B30" s="131" t="s">
        <v>52</v>
      </c>
      <c r="C30" s="132" t="s">
        <v>22</v>
      </c>
      <c r="D30" s="9">
        <v>65341720877.879997</v>
      </c>
      <c r="E30" s="3">
        <f t="shared" si="8"/>
        <v>4.9969848435133045E-2</v>
      </c>
      <c r="F30" s="8">
        <v>1</v>
      </c>
      <c r="G30" s="8">
        <v>1</v>
      </c>
      <c r="H30" s="58">
        <v>29043</v>
      </c>
      <c r="I30" s="5">
        <v>0.2185</v>
      </c>
      <c r="J30" s="5">
        <v>0.2185</v>
      </c>
      <c r="K30" s="9">
        <v>67395372664.660263</v>
      </c>
      <c r="L30" s="3">
        <f t="shared" si="7"/>
        <v>5.1540371328396638E-2</v>
      </c>
      <c r="M30" s="8">
        <v>1</v>
      </c>
      <c r="N30" s="8">
        <v>1</v>
      </c>
      <c r="O30" s="58">
        <v>29167</v>
      </c>
      <c r="P30" s="5">
        <v>0.2064</v>
      </c>
      <c r="Q30" s="5">
        <v>0.2064</v>
      </c>
      <c r="R30" s="76">
        <f t="shared" si="9"/>
        <v>3.1429410783631269E-2</v>
      </c>
      <c r="S30" s="76">
        <f t="shared" si="10"/>
        <v>0</v>
      </c>
      <c r="T30" s="76">
        <f t="shared" si="11"/>
        <v>4.2695313844988468E-3</v>
      </c>
      <c r="U30" s="77">
        <f t="shared" si="12"/>
        <v>-1.21E-2</v>
      </c>
      <c r="V30" s="79">
        <f t="shared" si="13"/>
        <v>-1.21E-2</v>
      </c>
    </row>
    <row r="31" spans="1:22" ht="15" customHeight="1">
      <c r="A31" s="162">
        <v>23</v>
      </c>
      <c r="B31" s="131" t="s">
        <v>53</v>
      </c>
      <c r="C31" s="132" t="s">
        <v>39</v>
      </c>
      <c r="D31" s="9">
        <v>9851601316</v>
      </c>
      <c r="E31" s="3">
        <f t="shared" si="8"/>
        <v>7.5339770362633472E-3</v>
      </c>
      <c r="F31" s="8">
        <v>100</v>
      </c>
      <c r="G31" s="8">
        <v>100</v>
      </c>
      <c r="H31" s="58">
        <v>2891</v>
      </c>
      <c r="I31" s="5">
        <v>0.215</v>
      </c>
      <c r="J31" s="5">
        <v>0.215</v>
      </c>
      <c r="K31" s="9">
        <v>9847298917</v>
      </c>
      <c r="L31" s="3">
        <f t="shared" si="7"/>
        <v>7.53068679194396E-3</v>
      </c>
      <c r="M31" s="8">
        <v>100</v>
      </c>
      <c r="N31" s="8">
        <v>100</v>
      </c>
      <c r="O31" s="58">
        <v>2891</v>
      </c>
      <c r="P31" s="5">
        <v>0.218</v>
      </c>
      <c r="Q31" s="5">
        <v>0.218</v>
      </c>
      <c r="R31" s="76">
        <f t="shared" si="9"/>
        <v>-4.3672077888621695E-4</v>
      </c>
      <c r="S31" s="76">
        <f t="shared" si="10"/>
        <v>0</v>
      </c>
      <c r="T31" s="76">
        <f t="shared" si="11"/>
        <v>0</v>
      </c>
      <c r="U31" s="77">
        <f t="shared" si="12"/>
        <v>3.0000000000000027E-3</v>
      </c>
      <c r="V31" s="79">
        <f t="shared" si="13"/>
        <v>3.0000000000000027E-3</v>
      </c>
    </row>
    <row r="32" spans="1:22" ht="15" customHeight="1">
      <c r="A32" s="162">
        <v>24</v>
      </c>
      <c r="B32" s="131" t="s">
        <v>267</v>
      </c>
      <c r="C32" s="132" t="s">
        <v>266</v>
      </c>
      <c r="D32" s="9">
        <v>411039180.75999999</v>
      </c>
      <c r="E32" s="3">
        <f t="shared" si="8"/>
        <v>3.1434075025152381E-4</v>
      </c>
      <c r="F32" s="8">
        <v>1</v>
      </c>
      <c r="G32" s="8">
        <v>1</v>
      </c>
      <c r="H32" s="58">
        <v>191</v>
      </c>
      <c r="I32" s="5">
        <v>0.20100000000000001</v>
      </c>
      <c r="J32" s="5">
        <v>0.20100000000000001</v>
      </c>
      <c r="K32" s="9">
        <v>286889863.57999998</v>
      </c>
      <c r="L32" s="3">
        <f t="shared" si="7"/>
        <v>2.1939800189011671E-4</v>
      </c>
      <c r="M32" s="8">
        <v>1</v>
      </c>
      <c r="N32" s="8">
        <v>1</v>
      </c>
      <c r="O32" s="58">
        <v>199</v>
      </c>
      <c r="P32" s="5">
        <v>0.20100000000000001</v>
      </c>
      <c r="Q32" s="5">
        <v>0.20100000000000001</v>
      </c>
      <c r="R32" s="76">
        <f t="shared" si="9"/>
        <v>-0.3020376718113621</v>
      </c>
      <c r="S32" s="76">
        <f t="shared" si="10"/>
        <v>0</v>
      </c>
      <c r="T32" s="76">
        <f t="shared" si="11"/>
        <v>4.1884816753926704E-2</v>
      </c>
      <c r="U32" s="77">
        <f t="shared" si="12"/>
        <v>0</v>
      </c>
      <c r="V32" s="79">
        <f t="shared" si="13"/>
        <v>0</v>
      </c>
    </row>
    <row r="33" spans="1:22">
      <c r="A33" s="157">
        <v>25</v>
      </c>
      <c r="B33" s="131" t="s">
        <v>54</v>
      </c>
      <c r="C33" s="132" t="s">
        <v>55</v>
      </c>
      <c r="D33" s="9">
        <v>26241671487.540001</v>
      </c>
      <c r="E33" s="3">
        <f t="shared" si="8"/>
        <v>2.0068224853882526E-2</v>
      </c>
      <c r="F33" s="8">
        <v>100</v>
      </c>
      <c r="G33" s="8">
        <v>100</v>
      </c>
      <c r="H33" s="58">
        <v>2876</v>
      </c>
      <c r="I33" s="5">
        <v>0.22832592214042799</v>
      </c>
      <c r="J33" s="5">
        <v>0.22832592214042799</v>
      </c>
      <c r="K33" s="9">
        <v>27259996759.27</v>
      </c>
      <c r="L33" s="3">
        <f t="shared" si="7"/>
        <v>2.0846985480360607E-2</v>
      </c>
      <c r="M33" s="8">
        <v>100</v>
      </c>
      <c r="N33" s="8">
        <v>100</v>
      </c>
      <c r="O33" s="58">
        <v>2905</v>
      </c>
      <c r="P33" s="5">
        <v>0.228160293993003</v>
      </c>
      <c r="Q33" s="5">
        <v>0.228160293993003</v>
      </c>
      <c r="R33" s="76">
        <f t="shared" si="9"/>
        <v>3.8805655814017716E-2</v>
      </c>
      <c r="S33" s="76">
        <f t="shared" si="10"/>
        <v>0</v>
      </c>
      <c r="T33" s="76">
        <f t="shared" si="11"/>
        <v>1.0083449235048678E-2</v>
      </c>
      <c r="U33" s="77">
        <f t="shared" si="12"/>
        <v>-1.6562814742498988E-4</v>
      </c>
      <c r="V33" s="79">
        <f t="shared" si="13"/>
        <v>-1.6562814742498988E-4</v>
      </c>
    </row>
    <row r="34" spans="1:22">
      <c r="A34" s="160">
        <v>26</v>
      </c>
      <c r="B34" s="131" t="s">
        <v>56</v>
      </c>
      <c r="C34" s="132" t="s">
        <v>57</v>
      </c>
      <c r="D34" s="9">
        <v>9424798080.5799999</v>
      </c>
      <c r="E34" s="3">
        <f t="shared" si="8"/>
        <v>7.2075807813281384E-3</v>
      </c>
      <c r="F34" s="8">
        <v>100</v>
      </c>
      <c r="G34" s="8">
        <v>100</v>
      </c>
      <c r="H34" s="58">
        <v>6189</v>
      </c>
      <c r="I34" s="5">
        <v>0.22059999999999999</v>
      </c>
      <c r="J34" s="5">
        <v>0.22059999999999999</v>
      </c>
      <c r="K34" s="9">
        <v>9453546869.5</v>
      </c>
      <c r="L34" s="3">
        <f t="shared" si="7"/>
        <v>7.2295663153135519E-3</v>
      </c>
      <c r="M34" s="8">
        <v>100</v>
      </c>
      <c r="N34" s="8">
        <v>100</v>
      </c>
      <c r="O34" s="58">
        <v>6221</v>
      </c>
      <c r="P34" s="5">
        <v>0.2175</v>
      </c>
      <c r="Q34" s="5">
        <v>0.2175</v>
      </c>
      <c r="R34" s="76">
        <f t="shared" si="9"/>
        <v>3.0503347312275664E-3</v>
      </c>
      <c r="S34" s="76">
        <f t="shared" si="10"/>
        <v>0</v>
      </c>
      <c r="T34" s="76">
        <f t="shared" si="11"/>
        <v>5.1704637259654225E-3</v>
      </c>
      <c r="U34" s="77">
        <f t="shared" si="12"/>
        <v>-3.0999999999999917E-3</v>
      </c>
      <c r="V34" s="79">
        <f t="shared" si="13"/>
        <v>-3.0999999999999917E-3</v>
      </c>
    </row>
    <row r="35" spans="1:22">
      <c r="A35" s="162">
        <v>27</v>
      </c>
      <c r="B35" s="131" t="s">
        <v>58</v>
      </c>
      <c r="C35" s="132" t="s">
        <v>59</v>
      </c>
      <c r="D35" s="9">
        <v>44514190.369999997</v>
      </c>
      <c r="E35" s="3">
        <f t="shared" si="8"/>
        <v>3.4042068621957113E-5</v>
      </c>
      <c r="F35" s="8">
        <v>100</v>
      </c>
      <c r="G35" s="8">
        <v>100</v>
      </c>
      <c r="H35" s="58">
        <v>0</v>
      </c>
      <c r="I35" s="5">
        <v>0</v>
      </c>
      <c r="J35" s="5">
        <v>0</v>
      </c>
      <c r="K35" s="9">
        <v>44514190.369999997</v>
      </c>
      <c r="L35" s="3">
        <f t="shared" si="7"/>
        <v>3.4042068621957113E-5</v>
      </c>
      <c r="M35" s="8">
        <v>100</v>
      </c>
      <c r="N35" s="8">
        <v>100</v>
      </c>
      <c r="O35" s="58">
        <v>0</v>
      </c>
      <c r="P35" s="5">
        <v>0</v>
      </c>
      <c r="Q35" s="5">
        <v>0</v>
      </c>
      <c r="R35" s="76">
        <f t="shared" si="9"/>
        <v>0</v>
      </c>
      <c r="S35" s="76">
        <f t="shared" si="10"/>
        <v>0</v>
      </c>
      <c r="T35" s="76" t="e">
        <f t="shared" si="11"/>
        <v>#DIV/0!</v>
      </c>
      <c r="U35" s="77">
        <f t="shared" si="12"/>
        <v>0</v>
      </c>
      <c r="V35" s="79">
        <f t="shared" si="13"/>
        <v>0</v>
      </c>
    </row>
    <row r="36" spans="1:22">
      <c r="A36" s="160">
        <v>28</v>
      </c>
      <c r="B36" s="131" t="s">
        <v>60</v>
      </c>
      <c r="C36" s="132" t="s">
        <v>61</v>
      </c>
      <c r="D36" s="9">
        <v>6480175659.7299995</v>
      </c>
      <c r="E36" s="3">
        <f t="shared" si="8"/>
        <v>4.9556912673747204E-3</v>
      </c>
      <c r="F36" s="8">
        <v>1</v>
      </c>
      <c r="G36" s="8">
        <v>1</v>
      </c>
      <c r="H36" s="58">
        <v>2514</v>
      </c>
      <c r="I36" s="5">
        <v>0.21840000000000001</v>
      </c>
      <c r="J36" s="5">
        <v>0.21840000000000001</v>
      </c>
      <c r="K36" s="9">
        <v>6790982956.1300001</v>
      </c>
      <c r="L36" s="3">
        <f t="shared" si="7"/>
        <v>5.1933800408716421E-3</v>
      </c>
      <c r="M36" s="8">
        <v>1</v>
      </c>
      <c r="N36" s="8">
        <v>1</v>
      </c>
      <c r="O36" s="58">
        <v>2537</v>
      </c>
      <c r="P36" s="5">
        <v>0.22289999999999999</v>
      </c>
      <c r="Q36" s="5">
        <v>0.22289999999999999</v>
      </c>
      <c r="R36" s="76">
        <f t="shared" si="9"/>
        <v>4.7962788776153412E-2</v>
      </c>
      <c r="S36" s="76">
        <f t="shared" si="10"/>
        <v>0</v>
      </c>
      <c r="T36" s="76">
        <f t="shared" si="11"/>
        <v>9.148766905330152E-3</v>
      </c>
      <c r="U36" s="77">
        <f t="shared" si="12"/>
        <v>4.4999999999999762E-3</v>
      </c>
      <c r="V36" s="79">
        <f t="shared" si="13"/>
        <v>4.4999999999999762E-3</v>
      </c>
    </row>
    <row r="37" spans="1:22">
      <c r="A37" s="158">
        <v>29</v>
      </c>
      <c r="B37" s="131" t="s">
        <v>62</v>
      </c>
      <c r="C37" s="132" t="s">
        <v>63</v>
      </c>
      <c r="D37" s="9">
        <v>15732014365.15</v>
      </c>
      <c r="E37" s="3">
        <f t="shared" si="8"/>
        <v>1.2031001982257358E-2</v>
      </c>
      <c r="F37" s="11">
        <v>100</v>
      </c>
      <c r="G37" s="11">
        <v>100</v>
      </c>
      <c r="H37" s="58">
        <v>2825</v>
      </c>
      <c r="I37" s="5">
        <v>0.2024</v>
      </c>
      <c r="J37" s="5">
        <v>0.2024</v>
      </c>
      <c r="K37" s="9">
        <v>15810497721.66</v>
      </c>
      <c r="L37" s="3">
        <f t="shared" si="7"/>
        <v>1.2091021849760004E-2</v>
      </c>
      <c r="M37" s="11">
        <v>100</v>
      </c>
      <c r="N37" s="11">
        <v>100</v>
      </c>
      <c r="O37" s="58">
        <v>2825</v>
      </c>
      <c r="P37" s="5">
        <v>0.2</v>
      </c>
      <c r="Q37" s="5">
        <v>0.2</v>
      </c>
      <c r="R37" s="76">
        <f t="shared" si="9"/>
        <v>4.9887671526577526E-3</v>
      </c>
      <c r="S37" s="76">
        <f t="shared" si="10"/>
        <v>0</v>
      </c>
      <c r="T37" s="76">
        <f t="shared" si="11"/>
        <v>0</v>
      </c>
      <c r="U37" s="77">
        <f t="shared" si="12"/>
        <v>-2.3999999999999855E-3</v>
      </c>
      <c r="V37" s="79">
        <f t="shared" si="13"/>
        <v>-2.3999999999999855E-3</v>
      </c>
    </row>
    <row r="38" spans="1:22">
      <c r="A38" s="158">
        <v>30</v>
      </c>
      <c r="B38" s="131" t="s">
        <v>64</v>
      </c>
      <c r="C38" s="132" t="s">
        <v>63</v>
      </c>
      <c r="D38" s="9">
        <v>437923187.33999997</v>
      </c>
      <c r="E38" s="3">
        <f t="shared" si="8"/>
        <v>3.3490019858075341E-4</v>
      </c>
      <c r="F38" s="11">
        <v>1000000</v>
      </c>
      <c r="G38" s="11">
        <v>1000000</v>
      </c>
      <c r="H38" s="58">
        <v>3</v>
      </c>
      <c r="I38" s="5">
        <v>0.19620000000000001</v>
      </c>
      <c r="J38" s="5">
        <v>0.19620000000000001</v>
      </c>
      <c r="K38" s="9">
        <v>446821649.57999998</v>
      </c>
      <c r="L38" s="3">
        <f t="shared" si="7"/>
        <v>3.4170526590167062E-4</v>
      </c>
      <c r="M38" s="11">
        <v>1000000</v>
      </c>
      <c r="N38" s="11">
        <v>1000000</v>
      </c>
      <c r="O38" s="58">
        <v>3</v>
      </c>
      <c r="P38" s="5">
        <v>0.1958</v>
      </c>
      <c r="Q38" s="5">
        <v>0.1958</v>
      </c>
      <c r="R38" s="76">
        <f t="shared" si="9"/>
        <v>2.031968732701819E-2</v>
      </c>
      <c r="S38" s="76">
        <f t="shared" si="10"/>
        <v>0</v>
      </c>
      <c r="T38" s="76">
        <f t="shared" si="11"/>
        <v>0</v>
      </c>
      <c r="U38" s="77">
        <f t="shared" si="12"/>
        <v>-4.0000000000001146E-4</v>
      </c>
      <c r="V38" s="79">
        <f t="shared" si="13"/>
        <v>-4.0000000000001146E-4</v>
      </c>
    </row>
    <row r="39" spans="1:22">
      <c r="A39" s="162">
        <v>31</v>
      </c>
      <c r="B39" s="131" t="s">
        <v>65</v>
      </c>
      <c r="C39" s="132" t="s">
        <v>66</v>
      </c>
      <c r="D39" s="9">
        <v>3416397267.9899998</v>
      </c>
      <c r="E39" s="3">
        <f t="shared" si="8"/>
        <v>2.6126776488596482E-3</v>
      </c>
      <c r="F39" s="8">
        <v>1</v>
      </c>
      <c r="G39" s="8">
        <v>1</v>
      </c>
      <c r="H39" s="58">
        <v>591</v>
      </c>
      <c r="I39" s="5">
        <v>0.21560000000000001</v>
      </c>
      <c r="J39" s="5">
        <v>0.21560000000000001</v>
      </c>
      <c r="K39" s="9">
        <v>3462549670.6999998</v>
      </c>
      <c r="L39" s="3">
        <f t="shared" si="7"/>
        <v>2.6479725345368425E-3</v>
      </c>
      <c r="M39" s="8">
        <v>1</v>
      </c>
      <c r="N39" s="8">
        <v>1</v>
      </c>
      <c r="O39" s="58">
        <v>602</v>
      </c>
      <c r="P39" s="5">
        <v>0.21049999999999999</v>
      </c>
      <c r="Q39" s="5">
        <v>0.21049999999999999</v>
      </c>
      <c r="R39" s="76">
        <f t="shared" si="9"/>
        <v>1.3509085475048779E-2</v>
      </c>
      <c r="S39" s="76">
        <f t="shared" si="10"/>
        <v>0</v>
      </c>
      <c r="T39" s="76">
        <f t="shared" si="11"/>
        <v>1.8612521150592216E-2</v>
      </c>
      <c r="U39" s="77">
        <f t="shared" si="12"/>
        <v>-5.1000000000000212E-3</v>
      </c>
      <c r="V39" s="79">
        <f t="shared" si="13"/>
        <v>-5.1000000000000212E-3</v>
      </c>
    </row>
    <row r="40" spans="1:22">
      <c r="A40" s="157">
        <v>32</v>
      </c>
      <c r="B40" s="131" t="s">
        <v>67</v>
      </c>
      <c r="C40" s="132" t="s">
        <v>26</v>
      </c>
      <c r="D40" s="9">
        <v>286394057723</v>
      </c>
      <c r="E40" s="3">
        <f t="shared" si="8"/>
        <v>0.21901883612596668</v>
      </c>
      <c r="F40" s="8">
        <v>100</v>
      </c>
      <c r="G40" s="8">
        <v>100</v>
      </c>
      <c r="H40" s="58">
        <v>15631</v>
      </c>
      <c r="I40" s="5">
        <v>0.23350000000000001</v>
      </c>
      <c r="J40" s="5">
        <v>0.23350000000000001</v>
      </c>
      <c r="K40" s="9">
        <v>292947486556.96997</v>
      </c>
      <c r="L40" s="3">
        <f t="shared" si="7"/>
        <v>0.22403054749757165</v>
      </c>
      <c r="M40" s="8">
        <v>100</v>
      </c>
      <c r="N40" s="8">
        <v>100</v>
      </c>
      <c r="O40" s="58">
        <v>15722</v>
      </c>
      <c r="P40" s="5">
        <v>0.22359999999999999</v>
      </c>
      <c r="Q40" s="5">
        <v>0.22359999999999999</v>
      </c>
      <c r="R40" s="76">
        <f t="shared" si="9"/>
        <v>2.288255868879947E-2</v>
      </c>
      <c r="S40" s="76">
        <f t="shared" si="10"/>
        <v>0</v>
      </c>
      <c r="T40" s="76">
        <f t="shared" si="11"/>
        <v>5.8217644424540978E-3</v>
      </c>
      <c r="U40" s="77">
        <f t="shared" si="12"/>
        <v>-9.9000000000000199E-3</v>
      </c>
      <c r="V40" s="79">
        <f t="shared" si="13"/>
        <v>-9.9000000000000199E-3</v>
      </c>
    </row>
    <row r="41" spans="1:22">
      <c r="A41" s="162">
        <v>33</v>
      </c>
      <c r="B41" s="131" t="s">
        <v>68</v>
      </c>
      <c r="C41" s="132" t="s">
        <v>69</v>
      </c>
      <c r="D41" s="9">
        <v>588719793.84000003</v>
      </c>
      <c r="E41" s="3">
        <f t="shared" si="8"/>
        <v>4.5022136658948132E-4</v>
      </c>
      <c r="F41" s="8">
        <v>1</v>
      </c>
      <c r="G41" s="8">
        <v>1</v>
      </c>
      <c r="H41" s="59">
        <v>650</v>
      </c>
      <c r="I41" s="12">
        <v>0.20100000000000001</v>
      </c>
      <c r="J41" s="12">
        <v>0.20100000000000001</v>
      </c>
      <c r="K41" s="9">
        <v>594252489.25</v>
      </c>
      <c r="L41" s="3">
        <f t="shared" si="7"/>
        <v>4.5445247570875531E-4</v>
      </c>
      <c r="M41" s="8">
        <v>1</v>
      </c>
      <c r="N41" s="8">
        <v>1</v>
      </c>
      <c r="O41" s="59">
        <v>661</v>
      </c>
      <c r="P41" s="12">
        <v>0.20349999999999999</v>
      </c>
      <c r="Q41" s="12">
        <v>0.20349999999999999</v>
      </c>
      <c r="R41" s="76">
        <f t="shared" si="9"/>
        <v>9.3978416691449327E-3</v>
      </c>
      <c r="S41" s="76">
        <f t="shared" si="10"/>
        <v>0</v>
      </c>
      <c r="T41" s="76">
        <f t="shared" si="11"/>
        <v>1.6923076923076923E-2</v>
      </c>
      <c r="U41" s="77">
        <f t="shared" si="12"/>
        <v>2.4999999999999745E-3</v>
      </c>
      <c r="V41" s="79">
        <f t="shared" si="13"/>
        <v>2.4999999999999745E-3</v>
      </c>
    </row>
    <row r="42" spans="1:22">
      <c r="A42" s="162">
        <v>34</v>
      </c>
      <c r="B42" s="131" t="s">
        <v>70</v>
      </c>
      <c r="C42" s="132" t="s">
        <v>71</v>
      </c>
      <c r="D42" s="9">
        <v>754538970.94000006</v>
      </c>
      <c r="E42" s="3">
        <f t="shared" si="8"/>
        <v>5.7703099198657597E-4</v>
      </c>
      <c r="F42" s="8">
        <v>10</v>
      </c>
      <c r="G42" s="8">
        <v>10</v>
      </c>
      <c r="H42" s="58">
        <v>374</v>
      </c>
      <c r="I42" s="5">
        <v>0.16650000000000001</v>
      </c>
      <c r="J42" s="5">
        <v>0.16650000000000001</v>
      </c>
      <c r="K42" s="9">
        <v>751163558.75</v>
      </c>
      <c r="L42" s="3">
        <f t="shared" si="7"/>
        <v>5.7444965753020876E-4</v>
      </c>
      <c r="M42" s="8">
        <v>10</v>
      </c>
      <c r="N42" s="8">
        <v>10</v>
      </c>
      <c r="O42" s="58">
        <v>375</v>
      </c>
      <c r="P42" s="5">
        <v>0.16639999999999999</v>
      </c>
      <c r="Q42" s="5">
        <v>0.16639999999999999</v>
      </c>
      <c r="R42" s="76">
        <f t="shared" si="9"/>
        <v>-4.4734762815431383E-3</v>
      </c>
      <c r="S42" s="76">
        <f t="shared" si="10"/>
        <v>0</v>
      </c>
      <c r="T42" s="76">
        <f t="shared" si="11"/>
        <v>2.6737967914438501E-3</v>
      </c>
      <c r="U42" s="77">
        <f t="shared" si="12"/>
        <v>-1.0000000000001674E-4</v>
      </c>
      <c r="V42" s="79">
        <f t="shared" si="13"/>
        <v>-1.0000000000001674E-4</v>
      </c>
    </row>
    <row r="43" spans="1:22">
      <c r="A43" s="158">
        <v>35</v>
      </c>
      <c r="B43" s="131" t="s">
        <v>72</v>
      </c>
      <c r="C43" s="132" t="s">
        <v>73</v>
      </c>
      <c r="D43" s="9">
        <v>3750397732.8000002</v>
      </c>
      <c r="E43" s="3">
        <f t="shared" si="8"/>
        <v>2.8681033153340938E-3</v>
      </c>
      <c r="F43" s="8">
        <v>100</v>
      </c>
      <c r="G43" s="8">
        <v>100</v>
      </c>
      <c r="H43" s="58">
        <v>682</v>
      </c>
      <c r="I43" s="5">
        <v>0.2203</v>
      </c>
      <c r="J43" s="5">
        <v>0.2203</v>
      </c>
      <c r="K43" s="9">
        <v>3750397732.8000002</v>
      </c>
      <c r="L43" s="3">
        <f t="shared" si="7"/>
        <v>2.8681033153340938E-3</v>
      </c>
      <c r="M43" s="8">
        <v>100</v>
      </c>
      <c r="N43" s="8">
        <v>100</v>
      </c>
      <c r="O43" s="58">
        <v>682</v>
      </c>
      <c r="P43" s="5">
        <v>0.21729999999999999</v>
      </c>
      <c r="Q43" s="5">
        <v>0.21729999999999999</v>
      </c>
      <c r="R43" s="76">
        <f t="shared" si="9"/>
        <v>0</v>
      </c>
      <c r="S43" s="76">
        <f t="shared" si="10"/>
        <v>0</v>
      </c>
      <c r="T43" s="76">
        <f t="shared" si="11"/>
        <v>0</v>
      </c>
      <c r="U43" s="77">
        <f t="shared" si="12"/>
        <v>-3.0000000000000027E-3</v>
      </c>
      <c r="V43" s="79">
        <f t="shared" si="13"/>
        <v>-3.0000000000000027E-3</v>
      </c>
    </row>
    <row r="44" spans="1:22">
      <c r="A44" s="157">
        <v>36</v>
      </c>
      <c r="B44" s="131" t="s">
        <v>285</v>
      </c>
      <c r="C44" s="131" t="s">
        <v>254</v>
      </c>
      <c r="D44" s="4">
        <v>50793913.18</v>
      </c>
      <c r="E44" s="3">
        <f t="shared" ref="E44" si="14">(D44/$D$175)</f>
        <v>1.0049878948412208E-3</v>
      </c>
      <c r="F44" s="4">
        <v>1</v>
      </c>
      <c r="G44" s="4">
        <v>1</v>
      </c>
      <c r="H44" s="58">
        <v>12</v>
      </c>
      <c r="I44" s="5">
        <v>0.1226</v>
      </c>
      <c r="J44" s="5">
        <v>0.1226</v>
      </c>
      <c r="K44" s="4">
        <v>53080681.829999998</v>
      </c>
      <c r="L44" s="16">
        <f t="shared" ref="L44" si="15">(K44/$K$175)</f>
        <v>1.0540582795100012E-3</v>
      </c>
      <c r="M44" s="4">
        <v>1</v>
      </c>
      <c r="N44" s="4">
        <v>1</v>
      </c>
      <c r="O44" s="58">
        <v>18</v>
      </c>
      <c r="P44" s="5">
        <v>0.14130000000000001</v>
      </c>
      <c r="Q44" s="5">
        <v>0.14130000000000001</v>
      </c>
      <c r="R44" s="77">
        <f t="shared" si="9"/>
        <v>4.5020525232940881E-2</v>
      </c>
      <c r="S44" s="77">
        <f t="shared" si="10"/>
        <v>0</v>
      </c>
      <c r="T44" s="77">
        <f t="shared" si="11"/>
        <v>0.5</v>
      </c>
      <c r="U44" s="77">
        <f t="shared" si="12"/>
        <v>1.8700000000000008E-2</v>
      </c>
      <c r="V44" s="79">
        <f t="shared" si="13"/>
        <v>1.8700000000000008E-2</v>
      </c>
    </row>
    <row r="45" spans="1:22">
      <c r="A45" s="157">
        <v>37</v>
      </c>
      <c r="B45" s="131" t="s">
        <v>236</v>
      </c>
      <c r="C45" s="132" t="s">
        <v>31</v>
      </c>
      <c r="D45" s="9">
        <v>33495612816.330002</v>
      </c>
      <c r="E45" s="3">
        <f t="shared" si="8"/>
        <v>2.561565066218708E-2</v>
      </c>
      <c r="F45" s="8">
        <v>100</v>
      </c>
      <c r="G45" s="8">
        <v>100</v>
      </c>
      <c r="H45" s="58">
        <v>12114</v>
      </c>
      <c r="I45" s="5">
        <v>0.21260000000000001</v>
      </c>
      <c r="J45" s="5">
        <v>0.21260000000000001</v>
      </c>
      <c r="K45" s="9">
        <v>33987403992.880001</v>
      </c>
      <c r="L45" s="3">
        <f t="shared" si="7"/>
        <v>2.5991746213754632E-2</v>
      </c>
      <c r="M45" s="8">
        <v>100</v>
      </c>
      <c r="N45" s="8">
        <v>100</v>
      </c>
      <c r="O45" s="58">
        <v>12182</v>
      </c>
      <c r="P45" s="5">
        <v>0.19739999999999999</v>
      </c>
      <c r="Q45" s="5">
        <v>0.16555890000000001</v>
      </c>
      <c r="R45" s="76">
        <f t="shared" si="9"/>
        <v>1.468225642703387E-2</v>
      </c>
      <c r="S45" s="76">
        <f t="shared" si="10"/>
        <v>0</v>
      </c>
      <c r="T45" s="76">
        <f t="shared" si="11"/>
        <v>5.6133399372626713E-3</v>
      </c>
      <c r="U45" s="77">
        <f t="shared" si="12"/>
        <v>-1.5200000000000019E-2</v>
      </c>
      <c r="V45" s="79">
        <f t="shared" si="13"/>
        <v>-4.7041100000000002E-2</v>
      </c>
    </row>
    <row r="46" spans="1:22">
      <c r="A46" s="157">
        <v>38</v>
      </c>
      <c r="B46" s="131" t="s">
        <v>74</v>
      </c>
      <c r="C46" s="132" t="s">
        <v>33</v>
      </c>
      <c r="D46" s="9">
        <v>4752661889.1599998</v>
      </c>
      <c r="E46" s="3">
        <f t="shared" si="8"/>
        <v>3.6345812610080065E-3</v>
      </c>
      <c r="F46" s="8">
        <v>1</v>
      </c>
      <c r="G46" s="8">
        <v>1</v>
      </c>
      <c r="H46" s="58">
        <v>1023</v>
      </c>
      <c r="I46" s="5">
        <v>0.2127</v>
      </c>
      <c r="J46" s="5">
        <v>0.2127</v>
      </c>
      <c r="K46" s="9">
        <v>4959355350.3100004</v>
      </c>
      <c r="L46" s="3">
        <f t="shared" si="7"/>
        <v>3.7926493496263317E-3</v>
      </c>
      <c r="M46" s="8">
        <v>1</v>
      </c>
      <c r="N46" s="8">
        <v>1</v>
      </c>
      <c r="O46" s="58">
        <v>1038</v>
      </c>
      <c r="P46" s="5">
        <v>0.20430000000000001</v>
      </c>
      <c r="Q46" s="5">
        <v>0.20430000000000001</v>
      </c>
      <c r="R46" s="76">
        <f t="shared" si="9"/>
        <v>4.3490041153870555E-2</v>
      </c>
      <c r="S46" s="76">
        <f t="shared" si="10"/>
        <v>0</v>
      </c>
      <c r="T46" s="76">
        <f t="shared" si="11"/>
        <v>1.466275659824047E-2</v>
      </c>
      <c r="U46" s="77">
        <f t="shared" si="12"/>
        <v>-8.3999999999999908E-3</v>
      </c>
      <c r="V46" s="79">
        <f t="shared" si="13"/>
        <v>-8.3999999999999908E-3</v>
      </c>
    </row>
    <row r="47" spans="1:22">
      <c r="A47" s="157">
        <v>39</v>
      </c>
      <c r="B47" s="131" t="s">
        <v>75</v>
      </c>
      <c r="C47" s="132" t="s">
        <v>35</v>
      </c>
      <c r="D47" s="13">
        <v>9211937201.1399994</v>
      </c>
      <c r="E47" s="3">
        <f t="shared" si="8"/>
        <v>7.0447961815275724E-3</v>
      </c>
      <c r="F47" s="8">
        <v>10</v>
      </c>
      <c r="G47" s="8">
        <v>10</v>
      </c>
      <c r="H47" s="58">
        <v>2490</v>
      </c>
      <c r="I47" s="5">
        <v>0.24010000000000001</v>
      </c>
      <c r="J47" s="5">
        <v>0.24010000000000001</v>
      </c>
      <c r="K47" s="13">
        <v>9916861596.3899994</v>
      </c>
      <c r="L47" s="3">
        <f t="shared" si="7"/>
        <v>7.5838846033752889E-3</v>
      </c>
      <c r="M47" s="8">
        <v>10</v>
      </c>
      <c r="N47" s="8">
        <v>10</v>
      </c>
      <c r="O47" s="58">
        <v>2541</v>
      </c>
      <c r="P47" s="5">
        <v>0.24010000000000001</v>
      </c>
      <c r="Q47" s="5">
        <v>0.24010000000000001</v>
      </c>
      <c r="R47" s="76">
        <f t="shared" si="9"/>
        <v>7.6522926704576749E-2</v>
      </c>
      <c r="S47" s="76">
        <f t="shared" si="10"/>
        <v>0</v>
      </c>
      <c r="T47" s="76">
        <f t="shared" si="11"/>
        <v>2.0481927710843374E-2</v>
      </c>
      <c r="U47" s="77">
        <f t="shared" si="12"/>
        <v>0</v>
      </c>
      <c r="V47" s="79">
        <f t="shared" si="13"/>
        <v>0</v>
      </c>
    </row>
    <row r="48" spans="1:22">
      <c r="A48" s="157">
        <v>40</v>
      </c>
      <c r="B48" s="131" t="s">
        <v>76</v>
      </c>
      <c r="C48" s="132" t="s">
        <v>77</v>
      </c>
      <c r="D48" s="9">
        <v>7276799041.1199999</v>
      </c>
      <c r="E48" s="3">
        <f t="shared" si="8"/>
        <v>5.5649061624390671E-3</v>
      </c>
      <c r="F48" s="8">
        <v>100</v>
      </c>
      <c r="G48" s="8">
        <v>100</v>
      </c>
      <c r="H48" s="58">
        <v>2689</v>
      </c>
      <c r="I48" s="5">
        <v>0.216</v>
      </c>
      <c r="J48" s="5">
        <v>0.216</v>
      </c>
      <c r="K48" s="9">
        <v>7547150192.3599997</v>
      </c>
      <c r="L48" s="3">
        <f t="shared" si="7"/>
        <v>5.771656242942378E-3</v>
      </c>
      <c r="M48" s="8">
        <v>100</v>
      </c>
      <c r="N48" s="8">
        <v>100</v>
      </c>
      <c r="O48" s="58">
        <v>2729</v>
      </c>
      <c r="P48" s="5">
        <v>0.22620000000000001</v>
      </c>
      <c r="Q48" s="5">
        <v>0.22620000000000001</v>
      </c>
      <c r="R48" s="76">
        <f t="shared" si="9"/>
        <v>3.7152482803536238E-2</v>
      </c>
      <c r="S48" s="76">
        <f t="shared" si="10"/>
        <v>0</v>
      </c>
      <c r="T48" s="76">
        <f t="shared" si="11"/>
        <v>1.4875418371141688E-2</v>
      </c>
      <c r="U48" s="77">
        <f t="shared" si="12"/>
        <v>1.0200000000000015E-2</v>
      </c>
      <c r="V48" s="79">
        <f t="shared" si="13"/>
        <v>1.0200000000000015E-2</v>
      </c>
    </row>
    <row r="49" spans="1:22">
      <c r="A49" s="162">
        <v>41</v>
      </c>
      <c r="B49" s="131" t="s">
        <v>78</v>
      </c>
      <c r="C49" s="132" t="s">
        <v>79</v>
      </c>
      <c r="D49" s="9">
        <v>174384682.30000001</v>
      </c>
      <c r="E49" s="3">
        <f t="shared" si="8"/>
        <v>1.3336006500694648E-4</v>
      </c>
      <c r="F49" s="8">
        <v>1</v>
      </c>
      <c r="G49" s="8">
        <v>1</v>
      </c>
      <c r="H49" s="58">
        <v>79</v>
      </c>
      <c r="I49" s="5">
        <v>0.1701</v>
      </c>
      <c r="J49" s="5">
        <v>0.1701</v>
      </c>
      <c r="K49" s="9">
        <v>175942004.38999999</v>
      </c>
      <c r="L49" s="3">
        <f t="shared" si="7"/>
        <v>1.3455102153145282E-4</v>
      </c>
      <c r="M49" s="8">
        <v>1</v>
      </c>
      <c r="N49" s="8">
        <v>1</v>
      </c>
      <c r="O49" s="58">
        <v>81</v>
      </c>
      <c r="P49" s="5">
        <v>0.1686</v>
      </c>
      <c r="Q49" s="5">
        <v>0.1686</v>
      </c>
      <c r="R49" s="76">
        <f t="shared" si="9"/>
        <v>8.9303835030697162E-3</v>
      </c>
      <c r="S49" s="76">
        <f t="shared" si="10"/>
        <v>0</v>
      </c>
      <c r="T49" s="76">
        <f t="shared" si="11"/>
        <v>2.5316455696202531E-2</v>
      </c>
      <c r="U49" s="77">
        <f t="shared" si="12"/>
        <v>-1.5000000000000013E-3</v>
      </c>
      <c r="V49" s="79">
        <f t="shared" si="13"/>
        <v>-1.5000000000000013E-3</v>
      </c>
    </row>
    <row r="50" spans="1:22">
      <c r="A50" s="157">
        <v>42</v>
      </c>
      <c r="B50" s="131" t="s">
        <v>80</v>
      </c>
      <c r="C50" s="132" t="s">
        <v>37</v>
      </c>
      <c r="D50" s="13">
        <v>749265671.72000003</v>
      </c>
      <c r="E50" s="3">
        <f t="shared" si="8"/>
        <v>5.7299825518019492E-4</v>
      </c>
      <c r="F50" s="8">
        <v>10</v>
      </c>
      <c r="G50" s="8">
        <v>10</v>
      </c>
      <c r="H50" s="58">
        <v>722</v>
      </c>
      <c r="I50" s="5">
        <v>0.15809999999999999</v>
      </c>
      <c r="J50" s="5">
        <v>0.15809999999999999</v>
      </c>
      <c r="K50" s="13">
        <v>666657778.77999997</v>
      </c>
      <c r="L50" s="3">
        <f t="shared" si="7"/>
        <v>5.0982416312540617E-4</v>
      </c>
      <c r="M50" s="8">
        <v>10</v>
      </c>
      <c r="N50" s="8">
        <v>10</v>
      </c>
      <c r="O50" s="58">
        <v>721</v>
      </c>
      <c r="P50" s="5">
        <v>0.15890000000000001</v>
      </c>
      <c r="Q50" s="5">
        <v>0.15890000000000001</v>
      </c>
      <c r="R50" s="76">
        <f t="shared" si="9"/>
        <v>-0.11025180527804904</v>
      </c>
      <c r="S50" s="76">
        <f t="shared" si="10"/>
        <v>0</v>
      </c>
      <c r="T50" s="76">
        <f t="shared" si="11"/>
        <v>-1.3850415512465374E-3</v>
      </c>
      <c r="U50" s="77">
        <f t="shared" si="12"/>
        <v>8.0000000000002292E-4</v>
      </c>
      <c r="V50" s="79">
        <f t="shared" si="13"/>
        <v>8.0000000000002292E-4</v>
      </c>
    </row>
    <row r="51" spans="1:22">
      <c r="A51" s="157">
        <v>43</v>
      </c>
      <c r="B51" s="131" t="s">
        <v>244</v>
      </c>
      <c r="C51" s="132" t="s">
        <v>245</v>
      </c>
      <c r="D51" s="13">
        <v>662448811.66999996</v>
      </c>
      <c r="E51" s="3">
        <f t="shared" si="8"/>
        <v>5.0660537051129312E-4</v>
      </c>
      <c r="F51" s="8">
        <v>1</v>
      </c>
      <c r="G51" s="8">
        <v>1</v>
      </c>
      <c r="H51" s="58">
        <v>54</v>
      </c>
      <c r="I51" s="5">
        <v>0.1986</v>
      </c>
      <c r="J51" s="5">
        <v>0.1986</v>
      </c>
      <c r="K51" s="13">
        <v>662694221.66999996</v>
      </c>
      <c r="L51" s="3">
        <f t="shared" si="7"/>
        <v>5.0679304693517218E-4</v>
      </c>
      <c r="M51" s="8">
        <v>1</v>
      </c>
      <c r="N51" s="8">
        <v>1</v>
      </c>
      <c r="O51" s="58">
        <v>54</v>
      </c>
      <c r="P51" s="5">
        <v>0.218</v>
      </c>
      <c r="Q51" s="5">
        <v>0.218</v>
      </c>
      <c r="R51" s="76">
        <f t="shared" si="9"/>
        <v>3.7045881232896136E-4</v>
      </c>
      <c r="S51" s="76">
        <f t="shared" si="10"/>
        <v>0</v>
      </c>
      <c r="T51" s="76">
        <f t="shared" si="11"/>
        <v>0</v>
      </c>
      <c r="U51" s="77">
        <f t="shared" si="12"/>
        <v>1.9400000000000001E-2</v>
      </c>
      <c r="V51" s="79">
        <f t="shared" si="13"/>
        <v>1.9400000000000001E-2</v>
      </c>
    </row>
    <row r="52" spans="1:22">
      <c r="A52" s="157">
        <v>44</v>
      </c>
      <c r="B52" s="131" t="s">
        <v>277</v>
      </c>
      <c r="C52" s="132" t="s">
        <v>276</v>
      </c>
      <c r="D52" s="13">
        <v>6875876360.9193001</v>
      </c>
      <c r="E52" s="3">
        <f t="shared" si="8"/>
        <v>5.2583019699771211E-3</v>
      </c>
      <c r="F52" s="8">
        <v>100</v>
      </c>
      <c r="G52" s="8">
        <v>100</v>
      </c>
      <c r="H52" s="58">
        <v>57</v>
      </c>
      <c r="I52" s="5">
        <v>0.23039999999999999</v>
      </c>
      <c r="J52" s="5">
        <v>0.23039999999999999</v>
      </c>
      <c r="K52" s="13">
        <v>6820257460.7186909</v>
      </c>
      <c r="L52" s="3">
        <f t="shared" si="7"/>
        <v>5.2157676140432221E-3</v>
      </c>
      <c r="M52" s="8">
        <v>100</v>
      </c>
      <c r="N52" s="8">
        <v>100</v>
      </c>
      <c r="O52" s="58">
        <v>60</v>
      </c>
      <c r="P52" s="5">
        <v>0.24079999999999999</v>
      </c>
      <c r="Q52" s="5">
        <v>0.24079999999999999</v>
      </c>
      <c r="R52" s="76">
        <f t="shared" si="9"/>
        <v>-8.0889907382181315E-3</v>
      </c>
      <c r="S52" s="76">
        <f t="shared" si="10"/>
        <v>0</v>
      </c>
      <c r="T52" s="76">
        <f t="shared" si="11"/>
        <v>5.2631578947368418E-2</v>
      </c>
      <c r="U52" s="77">
        <f t="shared" si="12"/>
        <v>1.0399999999999993E-2</v>
      </c>
      <c r="V52" s="79">
        <f t="shared" si="13"/>
        <v>1.0399999999999993E-2</v>
      </c>
    </row>
    <row r="53" spans="1:22">
      <c r="A53" s="162">
        <v>45</v>
      </c>
      <c r="B53" s="131" t="s">
        <v>273</v>
      </c>
      <c r="C53" s="132" t="s">
        <v>107</v>
      </c>
      <c r="D53" s="13">
        <v>54070449.229999997</v>
      </c>
      <c r="E53" s="3">
        <f t="shared" si="8"/>
        <v>4.1350183566367045E-5</v>
      </c>
      <c r="F53" s="8">
        <v>1000</v>
      </c>
      <c r="G53" s="8">
        <v>1000</v>
      </c>
      <c r="H53" s="58">
        <v>12</v>
      </c>
      <c r="I53" s="5">
        <v>2.7E-2</v>
      </c>
      <c r="J53" s="5">
        <v>2.7E-2</v>
      </c>
      <c r="K53" s="13">
        <v>54287274.600000001</v>
      </c>
      <c r="L53" s="3">
        <f t="shared" si="7"/>
        <v>4.1515999996210416E-5</v>
      </c>
      <c r="M53" s="8">
        <v>1000</v>
      </c>
      <c r="N53" s="8">
        <v>1000</v>
      </c>
      <c r="O53" s="58">
        <v>12</v>
      </c>
      <c r="P53" s="5">
        <v>2.6800000000000001E-2</v>
      </c>
      <c r="Q53" s="5">
        <v>2.6800000000000001E-2</v>
      </c>
      <c r="R53" s="76">
        <f t="shared" si="9"/>
        <v>4.0100530527810594E-3</v>
      </c>
      <c r="S53" s="76">
        <f t="shared" si="10"/>
        <v>0</v>
      </c>
      <c r="T53" s="76">
        <f t="shared" si="11"/>
        <v>0</v>
      </c>
      <c r="U53" s="77">
        <f t="shared" si="12"/>
        <v>-1.9999999999999879E-4</v>
      </c>
      <c r="V53" s="79">
        <f t="shared" si="13"/>
        <v>-1.9999999999999879E-4</v>
      </c>
    </row>
    <row r="54" spans="1:22">
      <c r="A54" s="160">
        <v>46</v>
      </c>
      <c r="B54" s="131" t="s">
        <v>81</v>
      </c>
      <c r="C54" s="132" t="s">
        <v>41</v>
      </c>
      <c r="D54" s="9">
        <v>577414557207.68994</v>
      </c>
      <c r="E54" s="3">
        <f t="shared" si="8"/>
        <v>0.44157572711978238</v>
      </c>
      <c r="F54" s="8">
        <v>100</v>
      </c>
      <c r="G54" s="8">
        <v>100</v>
      </c>
      <c r="H54" s="58">
        <v>132356</v>
      </c>
      <c r="I54" s="5">
        <v>0.21460000000000001</v>
      </c>
      <c r="J54" s="5">
        <v>0.21460000000000001</v>
      </c>
      <c r="K54" s="9">
        <v>590450456512.63</v>
      </c>
      <c r="L54" s="3">
        <f t="shared" si="7"/>
        <v>0.45154488470748877</v>
      </c>
      <c r="M54" s="8">
        <v>100</v>
      </c>
      <c r="N54" s="8">
        <v>100</v>
      </c>
      <c r="O54" s="58">
        <v>133278</v>
      </c>
      <c r="P54" s="5">
        <v>0.2152</v>
      </c>
      <c r="Q54" s="5">
        <v>0.2152</v>
      </c>
      <c r="R54" s="76">
        <f t="shared" si="9"/>
        <v>2.2576326042038436E-2</v>
      </c>
      <c r="S54" s="76">
        <f t="shared" si="10"/>
        <v>0</v>
      </c>
      <c r="T54" s="76">
        <f t="shared" si="11"/>
        <v>6.9660612288071563E-3</v>
      </c>
      <c r="U54" s="77">
        <f t="shared" si="12"/>
        <v>5.9999999999998943E-4</v>
      </c>
      <c r="V54" s="79">
        <f t="shared" si="13"/>
        <v>5.9999999999998943E-4</v>
      </c>
    </row>
    <row r="55" spans="1:22">
      <c r="A55" s="162">
        <v>47</v>
      </c>
      <c r="B55" s="131" t="s">
        <v>271</v>
      </c>
      <c r="C55" s="131" t="s">
        <v>270</v>
      </c>
      <c r="D55" s="9">
        <v>1073672935.46</v>
      </c>
      <c r="E55" s="3">
        <f t="shared" si="8"/>
        <v>8.210875552866414E-4</v>
      </c>
      <c r="F55" s="8">
        <v>100</v>
      </c>
      <c r="G55" s="8">
        <v>100</v>
      </c>
      <c r="H55" s="58">
        <v>190</v>
      </c>
      <c r="I55" s="5">
        <v>0.217</v>
      </c>
      <c r="J55" s="5">
        <v>0.217</v>
      </c>
      <c r="K55" s="9">
        <v>1173259918.1400001</v>
      </c>
      <c r="L55" s="3">
        <f t="shared" si="7"/>
        <v>8.9724634577721229E-4</v>
      </c>
      <c r="M55" s="8">
        <v>100</v>
      </c>
      <c r="N55" s="8">
        <v>100</v>
      </c>
      <c r="O55" s="58">
        <v>193</v>
      </c>
      <c r="P55" s="5">
        <v>0.21560000000000001</v>
      </c>
      <c r="Q55" s="5">
        <v>0.21560000000000001</v>
      </c>
      <c r="R55" s="76">
        <f t="shared" si="9"/>
        <v>9.2753555939578028E-2</v>
      </c>
      <c r="S55" s="76">
        <f t="shared" si="10"/>
        <v>0</v>
      </c>
      <c r="T55" s="76">
        <f t="shared" si="11"/>
        <v>1.5789473684210527E-2</v>
      </c>
      <c r="U55" s="77">
        <f t="shared" si="12"/>
        <v>-1.3999999999999846E-3</v>
      </c>
      <c r="V55" s="79">
        <f t="shared" si="13"/>
        <v>-1.3999999999999846E-3</v>
      </c>
    </row>
    <row r="56" spans="1:22">
      <c r="A56" s="157">
        <v>48</v>
      </c>
      <c r="B56" s="131" t="s">
        <v>82</v>
      </c>
      <c r="C56" s="132" t="s">
        <v>83</v>
      </c>
      <c r="D56" s="9">
        <v>3481923359.5300002</v>
      </c>
      <c r="E56" s="3">
        <f t="shared" si="8"/>
        <v>2.6627884941023074E-3</v>
      </c>
      <c r="F56" s="8">
        <v>1</v>
      </c>
      <c r="G56" s="8">
        <v>1</v>
      </c>
      <c r="H56" s="58">
        <v>378</v>
      </c>
      <c r="I56" s="5">
        <v>0.20185126520000002</v>
      </c>
      <c r="J56" s="5">
        <v>0.20185126520000002</v>
      </c>
      <c r="K56" s="9">
        <v>3634368673.0300002</v>
      </c>
      <c r="L56" s="3">
        <f t="shared" si="7"/>
        <v>2.779370504920148E-3</v>
      </c>
      <c r="M56" s="8">
        <v>1</v>
      </c>
      <c r="N56" s="8">
        <v>1</v>
      </c>
      <c r="O56" s="58">
        <v>380</v>
      </c>
      <c r="P56" s="5">
        <v>0.19580559860000002</v>
      </c>
      <c r="Q56" s="5">
        <v>0.19580559860000002</v>
      </c>
      <c r="R56" s="76">
        <f t="shared" si="9"/>
        <v>4.3781926756876546E-2</v>
      </c>
      <c r="S56" s="76">
        <f t="shared" si="10"/>
        <v>0</v>
      </c>
      <c r="T56" s="76">
        <f t="shared" si="11"/>
        <v>5.2910052910052907E-3</v>
      </c>
      <c r="U56" s="77">
        <f t="shared" si="12"/>
        <v>-6.0456665999999992E-3</v>
      </c>
      <c r="V56" s="79">
        <f t="shared" si="13"/>
        <v>-6.0456665999999992E-3</v>
      </c>
    </row>
    <row r="57" spans="1:22">
      <c r="A57" s="157">
        <v>49</v>
      </c>
      <c r="B57" s="131" t="s">
        <v>84</v>
      </c>
      <c r="C57" s="132" t="s">
        <v>44</v>
      </c>
      <c r="D57" s="9">
        <v>47470194169.82</v>
      </c>
      <c r="E57" s="3">
        <f t="shared" si="8"/>
        <v>3.6302662004961926E-2</v>
      </c>
      <c r="F57" s="8">
        <v>1</v>
      </c>
      <c r="G57" s="8">
        <v>1</v>
      </c>
      <c r="H57" s="58">
        <v>29694</v>
      </c>
      <c r="I57" s="5">
        <v>0.223</v>
      </c>
      <c r="J57" s="5">
        <v>0.223</v>
      </c>
      <c r="K57" s="9">
        <v>53828895790.540001</v>
      </c>
      <c r="L57" s="3">
        <f t="shared" si="7"/>
        <v>4.1165456433432182E-2</v>
      </c>
      <c r="M57" s="8">
        <v>1</v>
      </c>
      <c r="N57" s="8">
        <v>1</v>
      </c>
      <c r="O57" s="58">
        <v>30984</v>
      </c>
      <c r="P57" s="5">
        <v>0.2089</v>
      </c>
      <c r="Q57" s="5">
        <v>0.2089</v>
      </c>
      <c r="R57" s="76">
        <f t="shared" si="9"/>
        <v>0.13395145589614327</v>
      </c>
      <c r="S57" s="76">
        <f t="shared" si="10"/>
        <v>0</v>
      </c>
      <c r="T57" s="76">
        <f t="shared" si="11"/>
        <v>4.34431198221863E-2</v>
      </c>
      <c r="U57" s="77">
        <f t="shared" si="12"/>
        <v>-1.4100000000000001E-2</v>
      </c>
      <c r="V57" s="79">
        <f t="shared" si="13"/>
        <v>-1.4100000000000001E-2</v>
      </c>
    </row>
    <row r="58" spans="1:22">
      <c r="A58" s="162">
        <v>50</v>
      </c>
      <c r="B58" s="131" t="s">
        <v>85</v>
      </c>
      <c r="C58" s="132" t="s">
        <v>86</v>
      </c>
      <c r="D58" s="9">
        <v>1230174854.8</v>
      </c>
      <c r="E58" s="3">
        <f t="shared" si="8"/>
        <v>9.407718409797449E-4</v>
      </c>
      <c r="F58" s="8">
        <v>1</v>
      </c>
      <c r="G58" s="8">
        <v>1</v>
      </c>
      <c r="H58" s="58">
        <v>107</v>
      </c>
      <c r="I58" s="5">
        <v>0.216</v>
      </c>
      <c r="J58" s="5">
        <v>0.216</v>
      </c>
      <c r="K58" s="9">
        <v>1241492503.1900001</v>
      </c>
      <c r="L58" s="3">
        <f t="shared" si="7"/>
        <v>9.494269722969533E-4</v>
      </c>
      <c r="M58" s="8">
        <v>1</v>
      </c>
      <c r="N58" s="8">
        <v>1</v>
      </c>
      <c r="O58" s="58">
        <v>107</v>
      </c>
      <c r="P58" s="5">
        <v>0.2162</v>
      </c>
      <c r="Q58" s="5">
        <v>0.2162</v>
      </c>
      <c r="R58" s="76">
        <f t="shared" si="9"/>
        <v>9.2000322928402819E-3</v>
      </c>
      <c r="S58" s="76">
        <f t="shared" si="10"/>
        <v>0</v>
      </c>
      <c r="T58" s="76">
        <f t="shared" si="11"/>
        <v>0</v>
      </c>
      <c r="U58" s="77">
        <f t="shared" si="12"/>
        <v>2.0000000000000573E-4</v>
      </c>
      <c r="V58" s="79">
        <f t="shared" si="13"/>
        <v>2.0000000000000573E-4</v>
      </c>
    </row>
    <row r="59" spans="1:22">
      <c r="A59" s="157">
        <v>51</v>
      </c>
      <c r="B59" s="131" t="s">
        <v>87</v>
      </c>
      <c r="C59" s="132" t="s">
        <v>88</v>
      </c>
      <c r="D59" s="9">
        <v>1968107453.71</v>
      </c>
      <c r="E59" s="3">
        <f t="shared" si="8"/>
        <v>1.5051031690724449E-3</v>
      </c>
      <c r="F59" s="8">
        <v>1</v>
      </c>
      <c r="G59" s="8">
        <v>1</v>
      </c>
      <c r="H59" s="58">
        <v>307</v>
      </c>
      <c r="I59" s="5">
        <v>0.215</v>
      </c>
      <c r="J59" s="5">
        <v>0.15540000000000001</v>
      </c>
      <c r="K59" s="9">
        <v>2044861998.0999999</v>
      </c>
      <c r="L59" s="3">
        <f t="shared" si="7"/>
        <v>1.563800933660619E-3</v>
      </c>
      <c r="M59" s="8">
        <v>1</v>
      </c>
      <c r="N59" s="8">
        <v>1</v>
      </c>
      <c r="O59" s="58">
        <v>313</v>
      </c>
      <c r="P59" s="5">
        <v>0.187</v>
      </c>
      <c r="Q59" s="5">
        <v>0.187</v>
      </c>
      <c r="R59" s="76">
        <f t="shared" si="9"/>
        <v>3.8999163508736764E-2</v>
      </c>
      <c r="S59" s="76">
        <f t="shared" si="10"/>
        <v>0</v>
      </c>
      <c r="T59" s="76">
        <f t="shared" si="11"/>
        <v>1.9543973941368076E-2</v>
      </c>
      <c r="U59" s="77">
        <f t="shared" si="12"/>
        <v>-2.7999999999999997E-2</v>
      </c>
      <c r="V59" s="79">
        <f t="shared" si="13"/>
        <v>3.1599999999999989E-2</v>
      </c>
    </row>
    <row r="60" spans="1:22">
      <c r="A60" s="157">
        <v>52</v>
      </c>
      <c r="B60" s="131" t="s">
        <v>257</v>
      </c>
      <c r="C60" s="132" t="s">
        <v>258</v>
      </c>
      <c r="D60" s="9">
        <v>1508124756.74</v>
      </c>
      <c r="E60" s="3">
        <f t="shared" si="8"/>
        <v>1.1533330390305259E-3</v>
      </c>
      <c r="F60" s="8">
        <v>1</v>
      </c>
      <c r="G60" s="8">
        <v>1</v>
      </c>
      <c r="H60" s="58">
        <v>1160</v>
      </c>
      <c r="I60" s="5">
        <v>0.22789999999999999</v>
      </c>
      <c r="J60" s="5">
        <v>0.22789999999999999</v>
      </c>
      <c r="K60" s="9">
        <v>1785052812.6199999</v>
      </c>
      <c r="L60" s="3">
        <f t="shared" si="7"/>
        <v>1.3651127839445325E-3</v>
      </c>
      <c r="M60" s="8">
        <v>1</v>
      </c>
      <c r="N60" s="8">
        <v>1</v>
      </c>
      <c r="O60" s="58">
        <v>1193</v>
      </c>
      <c r="P60" s="5">
        <v>0.22509999999999999</v>
      </c>
      <c r="Q60" s="5">
        <v>0.22509999999999999</v>
      </c>
      <c r="R60" s="76">
        <f t="shared" si="9"/>
        <v>0.1836241031402564</v>
      </c>
      <c r="S60" s="76">
        <f t="shared" si="10"/>
        <v>0</v>
      </c>
      <c r="T60" s="76">
        <f t="shared" si="11"/>
        <v>2.8448275862068967E-2</v>
      </c>
      <c r="U60" s="77">
        <f t="shared" si="12"/>
        <v>-2.7999999999999969E-3</v>
      </c>
      <c r="V60" s="79">
        <f t="shared" si="13"/>
        <v>-2.7999999999999969E-3</v>
      </c>
    </row>
    <row r="61" spans="1:22">
      <c r="A61" s="160">
        <v>53</v>
      </c>
      <c r="B61" s="131" t="s">
        <v>89</v>
      </c>
      <c r="C61" s="132" t="s">
        <v>90</v>
      </c>
      <c r="D61" s="9">
        <v>38029866824.480003</v>
      </c>
      <c r="E61" s="3">
        <f t="shared" si="8"/>
        <v>2.9083205273690314E-2</v>
      </c>
      <c r="F61" s="8">
        <v>1</v>
      </c>
      <c r="G61" s="8">
        <v>1</v>
      </c>
      <c r="H61" s="58">
        <v>3860</v>
      </c>
      <c r="I61" s="5">
        <v>0.215</v>
      </c>
      <c r="J61" s="5">
        <v>0.215</v>
      </c>
      <c r="K61" s="9">
        <v>38618938818.900002</v>
      </c>
      <c r="L61" s="3">
        <f t="shared" si="7"/>
        <v>2.9533695984419572E-2</v>
      </c>
      <c r="M61" s="8">
        <v>1</v>
      </c>
      <c r="N61" s="8">
        <v>1</v>
      </c>
      <c r="O61" s="58">
        <v>3889</v>
      </c>
      <c r="P61" s="5">
        <v>0.21340000000000001</v>
      </c>
      <c r="Q61" s="5">
        <v>0.21340000000000001</v>
      </c>
      <c r="R61" s="76">
        <f t="shared" si="9"/>
        <v>1.5489720149133149E-2</v>
      </c>
      <c r="S61" s="76">
        <f t="shared" si="10"/>
        <v>0</v>
      </c>
      <c r="T61" s="76">
        <f t="shared" si="11"/>
        <v>7.5129533678756476E-3</v>
      </c>
      <c r="U61" s="77">
        <f t="shared" si="12"/>
        <v>-1.5999999999999903E-3</v>
      </c>
      <c r="V61" s="79">
        <f t="shared" si="13"/>
        <v>-1.5999999999999903E-3</v>
      </c>
    </row>
    <row r="62" spans="1:22">
      <c r="A62" s="71"/>
      <c r="B62" s="129"/>
      <c r="C62" s="68" t="s">
        <v>45</v>
      </c>
      <c r="D62" s="57">
        <f>SUM(D26:D61)</f>
        <v>1275703699629.3594</v>
      </c>
      <c r="E62" s="96">
        <f>(D62/$D$205)</f>
        <v>0.38125384937094392</v>
      </c>
      <c r="F62" s="30"/>
      <c r="G62" s="11"/>
      <c r="H62" s="63">
        <f>SUM(H26:H61)</f>
        <v>316539</v>
      </c>
      <c r="I62" s="32"/>
      <c r="J62" s="32"/>
      <c r="K62" s="57">
        <f>SUM(K26:K61)</f>
        <v>1307622955124.6592</v>
      </c>
      <c r="L62" s="96">
        <f>(K62/$K$205)</f>
        <v>0.38450984486303036</v>
      </c>
      <c r="M62" s="30"/>
      <c r="N62" s="11"/>
      <c r="O62" s="63">
        <f>SUM(O26:O61)</f>
        <v>319634</v>
      </c>
      <c r="P62" s="32"/>
      <c r="Q62" s="32"/>
      <c r="R62" s="76">
        <f t="shared" si="9"/>
        <v>2.5020900624944151E-2</v>
      </c>
      <c r="S62" s="76" t="e">
        <f t="shared" si="10"/>
        <v>#DIV/0!</v>
      </c>
      <c r="T62" s="76">
        <f t="shared" si="11"/>
        <v>9.7776261376955123E-3</v>
      </c>
      <c r="U62" s="77">
        <f t="shared" si="12"/>
        <v>0</v>
      </c>
      <c r="V62" s="79">
        <f t="shared" si="13"/>
        <v>0</v>
      </c>
    </row>
    <row r="63" spans="1:22" ht="9" customHeight="1">
      <c r="A63" s="166"/>
      <c r="B63" s="166"/>
      <c r="C63" s="166"/>
      <c r="D63" s="166"/>
      <c r="E63" s="166"/>
      <c r="F63" s="166"/>
      <c r="G63" s="166"/>
      <c r="H63" s="166"/>
      <c r="I63" s="166"/>
      <c r="J63" s="166"/>
      <c r="K63" s="166"/>
      <c r="L63" s="166"/>
      <c r="M63" s="166"/>
      <c r="N63" s="166"/>
      <c r="O63" s="166"/>
      <c r="P63" s="166"/>
      <c r="Q63" s="166"/>
      <c r="R63" s="166"/>
      <c r="S63" s="166"/>
      <c r="T63" s="166"/>
      <c r="U63" s="166"/>
      <c r="V63" s="166"/>
    </row>
    <row r="64" spans="1:22" ht="15" customHeight="1">
      <c r="A64" s="164" t="s">
        <v>91</v>
      </c>
      <c r="B64" s="164"/>
      <c r="C64" s="164"/>
      <c r="D64" s="164"/>
      <c r="E64" s="164"/>
      <c r="F64" s="164"/>
      <c r="G64" s="164"/>
      <c r="H64" s="164"/>
      <c r="I64" s="164"/>
      <c r="J64" s="164"/>
      <c r="K64" s="164"/>
      <c r="L64" s="164"/>
      <c r="M64" s="164"/>
      <c r="N64" s="164"/>
      <c r="O64" s="164"/>
      <c r="P64" s="164"/>
      <c r="Q64" s="164"/>
      <c r="R64" s="164"/>
      <c r="S64" s="164"/>
      <c r="T64" s="164"/>
      <c r="U64" s="164"/>
      <c r="V64" s="164"/>
    </row>
    <row r="65" spans="1:22">
      <c r="A65" s="157">
        <v>54</v>
      </c>
      <c r="B65" s="131" t="s">
        <v>92</v>
      </c>
      <c r="C65" s="132" t="s">
        <v>18</v>
      </c>
      <c r="D65" s="2">
        <v>472869840.18000001</v>
      </c>
      <c r="E65" s="3">
        <f>(D65/$D$101)</f>
        <v>2.1634612232756061E-3</v>
      </c>
      <c r="F65" s="14">
        <v>1.2709999999999999</v>
      </c>
      <c r="G65" s="14">
        <v>1.2709999999999999</v>
      </c>
      <c r="H65" s="58">
        <v>459</v>
      </c>
      <c r="I65" s="5">
        <v>-7.8999999999999996E-5</v>
      </c>
      <c r="J65" s="5">
        <v>-7.1000000000000004E-3</v>
      </c>
      <c r="K65" s="2">
        <v>480532704.85000002</v>
      </c>
      <c r="L65" s="3">
        <f t="shared" ref="L65:L86" si="16">(K65/$K$101)</f>
        <v>2.1990278240956512E-3</v>
      </c>
      <c r="M65" s="14">
        <v>1.292</v>
      </c>
      <c r="N65" s="14">
        <v>1.292</v>
      </c>
      <c r="O65" s="58">
        <v>459</v>
      </c>
      <c r="P65" s="5">
        <v>4.6500000000000003E-4</v>
      </c>
      <c r="Q65" s="5">
        <v>9.2999999999999992E-3</v>
      </c>
      <c r="R65" s="76">
        <f>((K65-D65)/D65)</f>
        <v>1.6205018842147159E-2</v>
      </c>
      <c r="S65" s="76">
        <f>((N65-G65)/G65)</f>
        <v>1.652242328874912E-2</v>
      </c>
      <c r="T65" s="76">
        <f>((O65-H65)/H65)</f>
        <v>0</v>
      </c>
      <c r="U65" s="77">
        <f>P65-I65</f>
        <v>5.44E-4</v>
      </c>
      <c r="V65" s="79">
        <f>Q65-J65</f>
        <v>1.6399999999999998E-2</v>
      </c>
    </row>
    <row r="66" spans="1:22">
      <c r="A66" s="162">
        <v>55</v>
      </c>
      <c r="B66" s="131" t="s">
        <v>93</v>
      </c>
      <c r="C66" s="132" t="s">
        <v>20</v>
      </c>
      <c r="D66" s="2">
        <v>1412337179.02</v>
      </c>
      <c r="E66" s="3">
        <f>(D66/$D$101)</f>
        <v>6.4616866236111067E-3</v>
      </c>
      <c r="F66" s="14">
        <v>1.1800999999999999</v>
      </c>
      <c r="G66" s="14">
        <v>1.1800999999999999</v>
      </c>
      <c r="H66" s="58">
        <v>726</v>
      </c>
      <c r="I66" s="5">
        <v>0.1021</v>
      </c>
      <c r="J66" s="5">
        <v>2.58E-2</v>
      </c>
      <c r="K66" s="2">
        <v>1412076108.9100001</v>
      </c>
      <c r="L66" s="3">
        <f t="shared" si="16"/>
        <v>6.4619840062771763E-3</v>
      </c>
      <c r="M66" s="14">
        <v>1.1834</v>
      </c>
      <c r="N66" s="14">
        <v>1.1834</v>
      </c>
      <c r="O66" s="58">
        <v>727</v>
      </c>
      <c r="P66" s="5">
        <v>0.1462</v>
      </c>
      <c r="Q66" s="5">
        <v>2.93E-2</v>
      </c>
      <c r="R66" s="76">
        <f t="shared" ref="R66:R101" si="17">((K66-D66)/D66)</f>
        <v>-1.8484970436099954E-4</v>
      </c>
      <c r="S66" s="76">
        <f t="shared" ref="S66:S101" si="18">((N66-G66)/G66)</f>
        <v>2.7963731887128895E-3</v>
      </c>
      <c r="T66" s="76">
        <f t="shared" ref="T66:T101" si="19">((O66-H66)/H66)</f>
        <v>1.3774104683195593E-3</v>
      </c>
      <c r="U66" s="77">
        <f t="shared" ref="U66:U101" si="20">P66-I66</f>
        <v>4.41E-2</v>
      </c>
      <c r="V66" s="79">
        <f t="shared" ref="V66:V101" si="21">Q66-J66</f>
        <v>3.4999999999999996E-3</v>
      </c>
    </row>
    <row r="67" spans="1:22">
      <c r="A67" s="162">
        <v>56</v>
      </c>
      <c r="B67" s="131" t="s">
        <v>94</v>
      </c>
      <c r="C67" s="132" t="s">
        <v>20</v>
      </c>
      <c r="D67" s="2">
        <v>847203891.74000001</v>
      </c>
      <c r="E67" s="3">
        <f>(D67/$D$101)</f>
        <v>3.8761041881841649E-3</v>
      </c>
      <c r="F67" s="14">
        <v>1.0755999999999999</v>
      </c>
      <c r="G67" s="14">
        <v>1.0755999999999999</v>
      </c>
      <c r="H67" s="58">
        <v>180</v>
      </c>
      <c r="I67" s="5">
        <v>0.1023</v>
      </c>
      <c r="J67" s="5">
        <v>7.6E-3</v>
      </c>
      <c r="K67" s="2">
        <v>850503281.88</v>
      </c>
      <c r="L67" s="3">
        <f t="shared" si="16"/>
        <v>3.8920980038655252E-3</v>
      </c>
      <c r="M67" s="14">
        <v>1.0778000000000001</v>
      </c>
      <c r="N67" s="14">
        <v>1.0778000000000001</v>
      </c>
      <c r="O67" s="58">
        <v>182</v>
      </c>
      <c r="P67" s="5">
        <v>0.1069</v>
      </c>
      <c r="Q67" s="5">
        <v>1.04E-2</v>
      </c>
      <c r="R67" s="76">
        <f t="shared" si="17"/>
        <v>3.8944463926194306E-3</v>
      </c>
      <c r="S67" s="76">
        <f t="shared" si="18"/>
        <v>2.0453700260321698E-3</v>
      </c>
      <c r="T67" s="76">
        <f t="shared" si="19"/>
        <v>1.1111111111111112E-2</v>
      </c>
      <c r="U67" s="77">
        <f t="shared" si="20"/>
        <v>4.599999999999993E-3</v>
      </c>
      <c r="V67" s="79">
        <f t="shared" si="21"/>
        <v>2.7999999999999995E-3</v>
      </c>
    </row>
    <row r="68" spans="1:22">
      <c r="A68" s="162">
        <v>57</v>
      </c>
      <c r="B68" s="131" t="s">
        <v>95</v>
      </c>
      <c r="C68" s="132" t="s">
        <v>96</v>
      </c>
      <c r="D68" s="2">
        <v>267038529.97</v>
      </c>
      <c r="E68" s="3">
        <f>(D68/$D$101)</f>
        <v>1.2217474146600283E-3</v>
      </c>
      <c r="F68" s="7">
        <v>1079.0899999999999</v>
      </c>
      <c r="G68" s="7">
        <v>1079.0899999999999</v>
      </c>
      <c r="H68" s="58">
        <v>112</v>
      </c>
      <c r="I68" s="5">
        <v>3.6819999999999999E-3</v>
      </c>
      <c r="J68" s="5">
        <v>4.2328999999999999E-2</v>
      </c>
      <c r="K68" s="2">
        <v>269639597.38999999</v>
      </c>
      <c r="L68" s="3">
        <f t="shared" si="16"/>
        <v>1.2339326151039999E-3</v>
      </c>
      <c r="M68" s="7">
        <v>1083.02</v>
      </c>
      <c r="N68" s="7">
        <v>1083.02</v>
      </c>
      <c r="O68" s="58">
        <v>112</v>
      </c>
      <c r="P68" s="5">
        <v>3.6419999999999998E-3</v>
      </c>
      <c r="Q68" s="5">
        <v>4.8066999999999999E-2</v>
      </c>
      <c r="R68" s="76">
        <f t="shared" si="17"/>
        <v>9.7404199322554674E-3</v>
      </c>
      <c r="S68" s="76">
        <f t="shared" si="18"/>
        <v>3.6419575753644869E-3</v>
      </c>
      <c r="T68" s="76">
        <f t="shared" si="19"/>
        <v>0</v>
      </c>
      <c r="U68" s="77">
        <f t="shared" si="20"/>
        <v>-4.0000000000000105E-5</v>
      </c>
      <c r="V68" s="79">
        <f t="shared" si="21"/>
        <v>5.738E-3</v>
      </c>
    </row>
    <row r="69" spans="1:22" ht="15" customHeight="1">
      <c r="A69" s="162">
        <v>58</v>
      </c>
      <c r="B69" s="131" t="s">
        <v>97</v>
      </c>
      <c r="C69" s="132" t="s">
        <v>98</v>
      </c>
      <c r="D69" s="2">
        <v>1562928622.3399999</v>
      </c>
      <c r="E69" s="3">
        <f>(D69/$K$101)</f>
        <v>7.1523196921091797E-3</v>
      </c>
      <c r="F69" s="7">
        <v>1.0488</v>
      </c>
      <c r="G69" s="7">
        <v>1.0488</v>
      </c>
      <c r="H69" s="58">
        <v>877</v>
      </c>
      <c r="I69" s="5">
        <v>2.8E-3</v>
      </c>
      <c r="J69" s="5">
        <v>7.2700000000000001E-2</v>
      </c>
      <c r="K69" s="2">
        <v>1587254205.8699999</v>
      </c>
      <c r="L69" s="3">
        <f t="shared" si="16"/>
        <v>7.2636391392143064E-3</v>
      </c>
      <c r="M69" s="7">
        <v>1.0519000000000001</v>
      </c>
      <c r="N69" s="7">
        <v>1.0519000000000001</v>
      </c>
      <c r="O69" s="58">
        <v>878</v>
      </c>
      <c r="P69" s="5">
        <v>3.0000000000000001E-3</v>
      </c>
      <c r="Q69" s="5">
        <v>7.5600000000000001E-2</v>
      </c>
      <c r="R69" s="76">
        <f t="shared" si="17"/>
        <v>1.5564103940703299E-2</v>
      </c>
      <c r="S69" s="76">
        <f t="shared" si="18"/>
        <v>2.9557589626240492E-3</v>
      </c>
      <c r="T69" s="76">
        <f t="shared" si="19"/>
        <v>1.1402508551881414E-3</v>
      </c>
      <c r="U69" s="77">
        <f t="shared" si="20"/>
        <v>2.0000000000000009E-4</v>
      </c>
      <c r="V69" s="79">
        <v>7.87</v>
      </c>
    </row>
    <row r="70" spans="1:22">
      <c r="A70" s="162">
        <v>59</v>
      </c>
      <c r="B70" s="131" t="s">
        <v>99</v>
      </c>
      <c r="C70" s="132" t="s">
        <v>100</v>
      </c>
      <c r="D70" s="2">
        <v>424043216.20808202</v>
      </c>
      <c r="E70" s="3">
        <f t="shared" ref="E70:E86" si="22">(D70/$D$101)</f>
        <v>1.9400709821333641E-3</v>
      </c>
      <c r="F70" s="7">
        <v>2.41</v>
      </c>
      <c r="G70" s="7">
        <v>2.41</v>
      </c>
      <c r="H70" s="58">
        <v>1392</v>
      </c>
      <c r="I70" s="5">
        <v>0.13020000000000001</v>
      </c>
      <c r="J70" s="5">
        <v>0.12039999999999999</v>
      </c>
      <c r="K70" s="2">
        <v>425096648.1085062</v>
      </c>
      <c r="L70" s="3">
        <f t="shared" si="16"/>
        <v>1.9453397192022632E-3</v>
      </c>
      <c r="M70" s="7">
        <v>2.4220000000000002</v>
      </c>
      <c r="N70" s="7">
        <v>2.4220000000000002</v>
      </c>
      <c r="O70" s="58">
        <v>1392</v>
      </c>
      <c r="P70" s="5">
        <v>0.1298</v>
      </c>
      <c r="Q70" s="5">
        <v>0.121</v>
      </c>
      <c r="R70" s="76">
        <f t="shared" si="17"/>
        <v>2.4842559912743737E-3</v>
      </c>
      <c r="S70" s="76">
        <f t="shared" si="18"/>
        <v>4.979253112033199E-3</v>
      </c>
      <c r="T70" s="76">
        <f t="shared" si="19"/>
        <v>0</v>
      </c>
      <c r="U70" s="77">
        <f t="shared" si="20"/>
        <v>-4.0000000000001146E-4</v>
      </c>
      <c r="V70" s="79">
        <f t="shared" si="21"/>
        <v>6.0000000000000331E-4</v>
      </c>
    </row>
    <row r="71" spans="1:22">
      <c r="A71" s="162">
        <v>60</v>
      </c>
      <c r="B71" s="131" t="s">
        <v>268</v>
      </c>
      <c r="C71" s="132" t="s">
        <v>266</v>
      </c>
      <c r="D71" s="2">
        <v>135797160.33000001</v>
      </c>
      <c r="E71" s="3">
        <f t="shared" si="22"/>
        <v>6.2129547211778671E-4</v>
      </c>
      <c r="F71" s="7">
        <v>10.9</v>
      </c>
      <c r="G71" s="7">
        <v>10.93</v>
      </c>
      <c r="H71" s="58">
        <v>29</v>
      </c>
      <c r="I71" s="5">
        <v>1.36</v>
      </c>
      <c r="J71" s="5">
        <v>6.0999999999999999E-2</v>
      </c>
      <c r="K71" s="2">
        <v>136986038.74000001</v>
      </c>
      <c r="L71" s="3">
        <f t="shared" si="16"/>
        <v>6.2687951862909453E-4</v>
      </c>
      <c r="M71" s="7">
        <v>10.99</v>
      </c>
      <c r="N71" s="7">
        <v>10.99</v>
      </c>
      <c r="O71" s="58">
        <v>29</v>
      </c>
      <c r="P71" s="5">
        <v>9.4000000000000004E-3</v>
      </c>
      <c r="Q71" s="5">
        <v>6.8199999999999997E-2</v>
      </c>
      <c r="R71" s="76">
        <f>((K71-D71)/D71)</f>
        <v>8.7548105358824062E-3</v>
      </c>
      <c r="S71" s="76">
        <f>((N71-G71)/G71)</f>
        <v>5.4894784995425895E-3</v>
      </c>
      <c r="T71" s="76">
        <f>((O71-H71)/H71)</f>
        <v>0</v>
      </c>
      <c r="U71" s="77">
        <f>P71-I71</f>
        <v>-1.3506</v>
      </c>
      <c r="V71" s="79">
        <f>Q71-J71</f>
        <v>7.1999999999999981E-3</v>
      </c>
    </row>
    <row r="72" spans="1:22">
      <c r="A72" s="157">
        <v>61</v>
      </c>
      <c r="B72" s="131" t="s">
        <v>101</v>
      </c>
      <c r="C72" s="132" t="s">
        <v>55</v>
      </c>
      <c r="D72" s="2">
        <v>2387645923.70824</v>
      </c>
      <c r="E72" s="3">
        <f t="shared" si="22"/>
        <v>1.0923892648532085E-2</v>
      </c>
      <c r="F72" s="2">
        <v>4256.8969962236297</v>
      </c>
      <c r="G72" s="2">
        <v>4256.8969962236297</v>
      </c>
      <c r="H72" s="58">
        <v>1044</v>
      </c>
      <c r="I72" s="5">
        <v>0.10088705198861769</v>
      </c>
      <c r="J72" s="5">
        <v>9.7260390295867763E-2</v>
      </c>
      <c r="K72" s="2">
        <v>2398156211.2491498</v>
      </c>
      <c r="L72" s="3">
        <f t="shared" si="16"/>
        <v>1.0974512622841905E-2</v>
      </c>
      <c r="M72" s="2">
        <v>4265.7952457210504</v>
      </c>
      <c r="N72" s="2">
        <v>4265.7952457210504</v>
      </c>
      <c r="O72" s="58">
        <v>1040</v>
      </c>
      <c r="P72" s="5">
        <v>0.10929353735311706</v>
      </c>
      <c r="Q72" s="5">
        <v>9.779493059381747E-2</v>
      </c>
      <c r="R72" s="76">
        <f t="shared" si="17"/>
        <v>4.4019456304418437E-3</v>
      </c>
      <c r="S72" s="76">
        <f t="shared" si="18"/>
        <v>2.0903135559339329E-3</v>
      </c>
      <c r="T72" s="76">
        <f t="shared" si="19"/>
        <v>-3.8314176245210726E-3</v>
      </c>
      <c r="U72" s="77">
        <f t="shared" si="20"/>
        <v>8.4064853644993665E-3</v>
      </c>
      <c r="V72" s="79">
        <f t="shared" si="21"/>
        <v>5.3454029794970659E-4</v>
      </c>
    </row>
    <row r="73" spans="1:22">
      <c r="A73" s="160">
        <v>62</v>
      </c>
      <c r="B73" s="131" t="s">
        <v>102</v>
      </c>
      <c r="C73" s="132" t="s">
        <v>57</v>
      </c>
      <c r="D73" s="2">
        <v>362497144.64999998</v>
      </c>
      <c r="E73" s="3">
        <f t="shared" si="22"/>
        <v>1.6584870705644403E-3</v>
      </c>
      <c r="F73" s="14">
        <v>110.44</v>
      </c>
      <c r="G73" s="14">
        <v>110.44</v>
      </c>
      <c r="H73" s="58">
        <v>130</v>
      </c>
      <c r="I73" s="5">
        <v>2.0999999999999999E-3</v>
      </c>
      <c r="J73" s="5">
        <v>0.12039999999999999</v>
      </c>
      <c r="K73" s="2">
        <v>363447324.13</v>
      </c>
      <c r="L73" s="3">
        <f t="shared" si="16"/>
        <v>1.6632182789815804E-3</v>
      </c>
      <c r="M73" s="14">
        <v>110.68</v>
      </c>
      <c r="N73" s="14">
        <v>110.68</v>
      </c>
      <c r="O73" s="58">
        <v>130</v>
      </c>
      <c r="P73" s="5">
        <v>2.2000000000000001E-3</v>
      </c>
      <c r="Q73" s="5">
        <v>0.1206</v>
      </c>
      <c r="R73" s="76">
        <f t="shared" si="17"/>
        <v>2.621205419197001E-3</v>
      </c>
      <c r="S73" s="76">
        <f t="shared" si="18"/>
        <v>2.1731256791018569E-3</v>
      </c>
      <c r="T73" s="76">
        <f t="shared" si="19"/>
        <v>0</v>
      </c>
      <c r="U73" s="77">
        <f t="shared" si="20"/>
        <v>1.0000000000000026E-4</v>
      </c>
      <c r="V73" s="79">
        <f t="shared" si="21"/>
        <v>2.0000000000000573E-4</v>
      </c>
    </row>
    <row r="74" spans="1:22" ht="13.5" customHeight="1">
      <c r="A74" s="160">
        <v>63</v>
      </c>
      <c r="B74" s="131" t="s">
        <v>103</v>
      </c>
      <c r="C74" s="132" t="s">
        <v>104</v>
      </c>
      <c r="D74" s="2">
        <v>332471047.75999999</v>
      </c>
      <c r="E74" s="3">
        <f t="shared" si="22"/>
        <v>1.5211124892566036E-3</v>
      </c>
      <c r="F74" s="14">
        <v>1.3349</v>
      </c>
      <c r="G74" s="14">
        <v>1.3349</v>
      </c>
      <c r="H74" s="58">
        <v>347</v>
      </c>
      <c r="I74" s="5">
        <v>8.2326283987914639E-3</v>
      </c>
      <c r="J74" s="5">
        <v>1.899156760497045E-2</v>
      </c>
      <c r="K74" s="2">
        <v>333519907.81999999</v>
      </c>
      <c r="L74" s="3">
        <f t="shared" si="16"/>
        <v>1.5262635608016238E-3</v>
      </c>
      <c r="M74" s="14">
        <v>1.3445</v>
      </c>
      <c r="N74" s="14">
        <v>1.3445</v>
      </c>
      <c r="O74" s="58">
        <v>349</v>
      </c>
      <c r="P74" s="5">
        <v>7.1915499288337514E-3</v>
      </c>
      <c r="Q74" s="5">
        <v>2.6001425217237695E-2</v>
      </c>
      <c r="R74" s="76">
        <f t="shared" si="17"/>
        <v>3.1547410430671254E-3</v>
      </c>
      <c r="S74" s="76">
        <f t="shared" si="18"/>
        <v>7.1915499288336604E-3</v>
      </c>
      <c r="T74" s="76">
        <f t="shared" si="19"/>
        <v>5.763688760806916E-3</v>
      </c>
      <c r="U74" s="77">
        <f t="shared" si="20"/>
        <v>-1.0410784699577125E-3</v>
      </c>
      <c r="V74" s="79">
        <f t="shared" si="21"/>
        <v>7.0098576122672451E-3</v>
      </c>
    </row>
    <row r="75" spans="1:22">
      <c r="A75" s="157">
        <v>64</v>
      </c>
      <c r="B75" s="131" t="s">
        <v>105</v>
      </c>
      <c r="C75" s="132" t="s">
        <v>24</v>
      </c>
      <c r="D75" s="2">
        <v>118437475.14</v>
      </c>
      <c r="E75" s="3">
        <f t="shared" si="22"/>
        <v>5.4187191289366569E-4</v>
      </c>
      <c r="F75" s="14">
        <v>121.7273</v>
      </c>
      <c r="G75" s="14">
        <v>121.7273</v>
      </c>
      <c r="H75" s="58">
        <v>154</v>
      </c>
      <c r="I75" s="5">
        <v>4.37E-4</v>
      </c>
      <c r="J75" s="5">
        <v>0.14019999999999999</v>
      </c>
      <c r="K75" s="2">
        <v>119171123.61</v>
      </c>
      <c r="L75" s="3">
        <f t="shared" si="16"/>
        <v>5.4535438275514524E-4</v>
      </c>
      <c r="M75" s="14">
        <v>122.0986</v>
      </c>
      <c r="N75" s="14">
        <v>122.0986</v>
      </c>
      <c r="O75" s="58">
        <v>159</v>
      </c>
      <c r="P75" s="5">
        <v>4.3399999999999998E-4</v>
      </c>
      <c r="Q75" s="5">
        <v>0.14019999999999999</v>
      </c>
      <c r="R75" s="76">
        <f t="shared" si="17"/>
        <v>6.1943947144498272E-3</v>
      </c>
      <c r="S75" s="76">
        <f t="shared" si="18"/>
        <v>3.0502607056921913E-3</v>
      </c>
      <c r="T75" s="76">
        <f t="shared" si="19"/>
        <v>3.2467532467532464E-2</v>
      </c>
      <c r="U75" s="77">
        <f t="shared" si="20"/>
        <v>-3.0000000000000187E-6</v>
      </c>
      <c r="V75" s="79">
        <f t="shared" si="21"/>
        <v>0</v>
      </c>
    </row>
    <row r="76" spans="1:22">
      <c r="A76" s="162">
        <v>65</v>
      </c>
      <c r="B76" s="131" t="s">
        <v>106</v>
      </c>
      <c r="C76" s="132" t="s">
        <v>107</v>
      </c>
      <c r="D76" s="2">
        <v>1546564164.2300003</v>
      </c>
      <c r="E76" s="3">
        <f t="shared" si="22"/>
        <v>7.0757982732533933E-3</v>
      </c>
      <c r="F76" s="7">
        <v>1000</v>
      </c>
      <c r="G76" s="7">
        <v>1000</v>
      </c>
      <c r="H76" s="58">
        <v>340</v>
      </c>
      <c r="I76" s="5">
        <v>9.9000000000000008E-3</v>
      </c>
      <c r="J76" s="5">
        <v>0.1792</v>
      </c>
      <c r="K76" s="2">
        <v>1547881185.3500001</v>
      </c>
      <c r="L76" s="3">
        <f t="shared" si="16"/>
        <v>7.0834591706746093E-3</v>
      </c>
      <c r="M76" s="7">
        <v>1000</v>
      </c>
      <c r="N76" s="7">
        <v>1000</v>
      </c>
      <c r="O76" s="58">
        <v>343</v>
      </c>
      <c r="P76" s="5">
        <v>1.01E-2</v>
      </c>
      <c r="Q76" s="5">
        <v>0.18379999999999999</v>
      </c>
      <c r="R76" s="76">
        <f t="shared" si="17"/>
        <v>8.5157871264630067E-4</v>
      </c>
      <c r="S76" s="76">
        <f t="shared" si="18"/>
        <v>0</v>
      </c>
      <c r="T76" s="76">
        <f t="shared" si="19"/>
        <v>8.8235294117647058E-3</v>
      </c>
      <c r="U76" s="77">
        <f t="shared" si="20"/>
        <v>1.9999999999999879E-4</v>
      </c>
      <c r="V76" s="79">
        <f t="shared" si="21"/>
        <v>4.599999999999993E-3</v>
      </c>
    </row>
    <row r="77" spans="1:22">
      <c r="A77" s="158">
        <v>66</v>
      </c>
      <c r="B77" s="131" t="s">
        <v>108</v>
      </c>
      <c r="C77" s="132" t="s">
        <v>63</v>
      </c>
      <c r="D77" s="2">
        <v>222330012.44</v>
      </c>
      <c r="E77" s="3">
        <f t="shared" si="22"/>
        <v>1.0171982220334194E-3</v>
      </c>
      <c r="F77" s="7">
        <v>1055.71</v>
      </c>
      <c r="G77" s="7">
        <v>1060.76</v>
      </c>
      <c r="H77" s="58">
        <v>76</v>
      </c>
      <c r="I77" s="5">
        <v>1.9E-3</v>
      </c>
      <c r="J77" s="5">
        <v>5.4399999999999997E-2</v>
      </c>
      <c r="K77" s="2">
        <v>224346783.75999999</v>
      </c>
      <c r="L77" s="3">
        <f t="shared" si="16"/>
        <v>1.026662316123956E-3</v>
      </c>
      <c r="M77" s="7">
        <v>1049.0899999999999</v>
      </c>
      <c r="N77" s="7">
        <v>1054.9100000000001</v>
      </c>
      <c r="O77" s="58">
        <v>76</v>
      </c>
      <c r="P77" s="5">
        <v>-5.8999999999999999E-3</v>
      </c>
      <c r="Q77" s="5">
        <v>4.8500000000000001E-2</v>
      </c>
      <c r="R77" s="76">
        <f t="shared" si="17"/>
        <v>9.0710709627844655E-3</v>
      </c>
      <c r="S77" s="76">
        <f t="shared" si="18"/>
        <v>-5.5149138353632384E-3</v>
      </c>
      <c r="T77" s="76">
        <f t="shared" si="19"/>
        <v>0</v>
      </c>
      <c r="U77" s="77">
        <f t="shared" si="20"/>
        <v>-7.7999999999999996E-3</v>
      </c>
      <c r="V77" s="79">
        <f t="shared" si="21"/>
        <v>-5.8999999999999955E-3</v>
      </c>
    </row>
    <row r="78" spans="1:22">
      <c r="A78" s="162">
        <v>67</v>
      </c>
      <c r="B78" s="131" t="s">
        <v>109</v>
      </c>
      <c r="C78" s="132" t="s">
        <v>66</v>
      </c>
      <c r="D78" s="2">
        <v>955446206.32000005</v>
      </c>
      <c r="E78" s="3">
        <f t="shared" si="22"/>
        <v>4.3713314799528448E-3</v>
      </c>
      <c r="F78" s="15">
        <v>1.1888000000000001</v>
      </c>
      <c r="G78" s="15">
        <v>1.1888000000000001</v>
      </c>
      <c r="H78" s="58">
        <v>42</v>
      </c>
      <c r="I78" s="5">
        <v>6.7199999999999996E-4</v>
      </c>
      <c r="J78" s="5">
        <v>0.11544699999999999</v>
      </c>
      <c r="K78" s="2">
        <v>957882797.07000005</v>
      </c>
      <c r="L78" s="3">
        <f t="shared" si="16"/>
        <v>4.3834912831521465E-3</v>
      </c>
      <c r="M78" s="15">
        <v>1.1923999999999999</v>
      </c>
      <c r="N78" s="15">
        <v>1.1923999999999999</v>
      </c>
      <c r="O78" s="58">
        <v>43</v>
      </c>
      <c r="P78" s="5">
        <v>2.2690000000000002E-3</v>
      </c>
      <c r="Q78" s="5">
        <v>0.11695999999999999</v>
      </c>
      <c r="R78" s="76">
        <f t="shared" si="17"/>
        <v>2.5502123865086884E-3</v>
      </c>
      <c r="S78" s="76">
        <f t="shared" si="18"/>
        <v>3.0282637954238099E-3</v>
      </c>
      <c r="T78" s="76">
        <f t="shared" si="19"/>
        <v>2.3809523809523808E-2</v>
      </c>
      <c r="U78" s="77">
        <f t="shared" si="20"/>
        <v>1.5970000000000003E-3</v>
      </c>
      <c r="V78" s="79">
        <f t="shared" si="21"/>
        <v>1.5130000000000005E-3</v>
      </c>
    </row>
    <row r="79" spans="1:22">
      <c r="A79" s="157">
        <v>68</v>
      </c>
      <c r="B79" s="131" t="s">
        <v>110</v>
      </c>
      <c r="C79" s="132" t="s">
        <v>26</v>
      </c>
      <c r="D79" s="2">
        <v>31380311495.139999</v>
      </c>
      <c r="E79" s="3">
        <f t="shared" si="22"/>
        <v>0.14357034711328279</v>
      </c>
      <c r="F79" s="15">
        <v>1663.47</v>
      </c>
      <c r="G79" s="15">
        <v>1663.47</v>
      </c>
      <c r="H79" s="58">
        <v>2137</v>
      </c>
      <c r="I79" s="5">
        <v>1.1000000000000001E-3</v>
      </c>
      <c r="J79" s="5">
        <v>7.4999999999999997E-2</v>
      </c>
      <c r="K79" s="2">
        <v>30910421596.619999</v>
      </c>
      <c r="L79" s="3">
        <f t="shared" si="16"/>
        <v>0.14145317573485966</v>
      </c>
      <c r="M79" s="15">
        <v>1665.14</v>
      </c>
      <c r="N79" s="15">
        <v>1665.14</v>
      </c>
      <c r="O79" s="58">
        <v>2310</v>
      </c>
      <c r="P79" s="5">
        <v>1E-3</v>
      </c>
      <c r="Q79" s="5">
        <v>7.6100000000000001E-2</v>
      </c>
      <c r="R79" s="76">
        <f t="shared" si="17"/>
        <v>-1.4974035506077569E-2</v>
      </c>
      <c r="S79" s="76">
        <f t="shared" si="18"/>
        <v>1.0039255291649821E-3</v>
      </c>
      <c r="T79" s="76">
        <f t="shared" si="19"/>
        <v>8.0954609265325217E-2</v>
      </c>
      <c r="U79" s="77">
        <f t="shared" si="20"/>
        <v>-1.0000000000000005E-4</v>
      </c>
      <c r="V79" s="79">
        <f t="shared" si="21"/>
        <v>1.1000000000000038E-3</v>
      </c>
    </row>
    <row r="80" spans="1:22">
      <c r="A80" s="157">
        <v>69</v>
      </c>
      <c r="B80" s="131" t="s">
        <v>111</v>
      </c>
      <c r="C80" s="132" t="s">
        <v>71</v>
      </c>
      <c r="D80" s="2">
        <v>22902867.359999999</v>
      </c>
      <c r="E80" s="3">
        <f t="shared" si="22"/>
        <v>1.0478457542634423E-4</v>
      </c>
      <c r="F80" s="14">
        <v>0.69850000000000001</v>
      </c>
      <c r="G80" s="14">
        <v>0.69850000000000001</v>
      </c>
      <c r="H80" s="58">
        <v>746</v>
      </c>
      <c r="I80" s="5">
        <v>2.2000000000000001E-3</v>
      </c>
      <c r="J80" s="5">
        <v>-8.6199999999999999E-2</v>
      </c>
      <c r="K80" s="2">
        <v>22970475.210000001</v>
      </c>
      <c r="L80" s="3">
        <f t="shared" si="16"/>
        <v>1.0511816076130992E-4</v>
      </c>
      <c r="M80" s="14">
        <v>0.70050000000000001</v>
      </c>
      <c r="N80" s="14">
        <v>0.70050000000000001</v>
      </c>
      <c r="O80" s="58">
        <v>746</v>
      </c>
      <c r="P80" s="5">
        <v>2E-3</v>
      </c>
      <c r="Q80" s="5">
        <v>-8.3599999999999994E-2</v>
      </c>
      <c r="R80" s="76">
        <f t="shared" si="17"/>
        <v>2.95193824150067E-3</v>
      </c>
      <c r="S80" s="76">
        <f t="shared" si="18"/>
        <v>2.8632784538296374E-3</v>
      </c>
      <c r="T80" s="76">
        <f t="shared" si="19"/>
        <v>0</v>
      </c>
      <c r="U80" s="77">
        <f t="shared" si="20"/>
        <v>-2.0000000000000009E-4</v>
      </c>
      <c r="V80" s="79">
        <f t="shared" si="21"/>
        <v>2.6000000000000051E-3</v>
      </c>
    </row>
    <row r="81" spans="1:22">
      <c r="A81" s="157">
        <v>70</v>
      </c>
      <c r="B81" s="131" t="s">
        <v>248</v>
      </c>
      <c r="C81" s="132" t="s">
        <v>31</v>
      </c>
      <c r="D81" s="2">
        <v>10276012554.51</v>
      </c>
      <c r="E81" s="3">
        <f t="shared" si="22"/>
        <v>4.7014532969819084E-2</v>
      </c>
      <c r="F81" s="14">
        <v>1</v>
      </c>
      <c r="G81" s="14">
        <v>1</v>
      </c>
      <c r="H81" s="58">
        <v>5240</v>
      </c>
      <c r="I81" s="5">
        <v>0.06</v>
      </c>
      <c r="J81" s="5">
        <v>0.06</v>
      </c>
      <c r="K81" s="2">
        <v>10295146808.98</v>
      </c>
      <c r="L81" s="3">
        <f t="shared" si="16"/>
        <v>4.7112952058410915E-2</v>
      </c>
      <c r="M81" s="14">
        <v>1</v>
      </c>
      <c r="N81" s="14">
        <v>1</v>
      </c>
      <c r="O81" s="58">
        <v>5240</v>
      </c>
      <c r="P81" s="5">
        <v>0.06</v>
      </c>
      <c r="Q81" s="5">
        <v>0.06</v>
      </c>
      <c r="R81" s="76">
        <f>((K81-D81)/D81)</f>
        <v>1.8620310522685722E-3</v>
      </c>
      <c r="S81" s="76">
        <f>((N81-G81)/G81)</f>
        <v>0</v>
      </c>
      <c r="T81" s="76">
        <f>((O81-H81)/H81)</f>
        <v>0</v>
      </c>
      <c r="U81" s="77">
        <f>P81-I81</f>
        <v>0</v>
      </c>
      <c r="V81" s="79">
        <f>Q81-J81</f>
        <v>0</v>
      </c>
    </row>
    <row r="82" spans="1:22">
      <c r="A82" s="158">
        <v>71</v>
      </c>
      <c r="B82" s="131" t="s">
        <v>112</v>
      </c>
      <c r="C82" s="132" t="s">
        <v>113</v>
      </c>
      <c r="D82" s="2">
        <v>1186568532.8800001</v>
      </c>
      <c r="E82" s="3">
        <f t="shared" si="22"/>
        <v>5.4287560582585055E-3</v>
      </c>
      <c r="F82" s="2">
        <v>228.05690000000001</v>
      </c>
      <c r="G82" s="2">
        <v>230.2851</v>
      </c>
      <c r="H82" s="58">
        <v>491</v>
      </c>
      <c r="I82" s="5">
        <v>2.5999999999999999E-3</v>
      </c>
      <c r="J82" s="5">
        <v>9.2100000000000001E-2</v>
      </c>
      <c r="K82" s="2">
        <v>1187506921.98</v>
      </c>
      <c r="L82" s="3">
        <f t="shared" si="16"/>
        <v>5.4343039222592539E-3</v>
      </c>
      <c r="M82" s="2">
        <v>228.61562900000001</v>
      </c>
      <c r="N82" s="2">
        <v>230.01683299999999</v>
      </c>
      <c r="O82" s="58">
        <v>488</v>
      </c>
      <c r="P82" s="5">
        <v>1.6999999999999999E-3</v>
      </c>
      <c r="Q82" s="5">
        <v>0.1711</v>
      </c>
      <c r="R82" s="76">
        <f t="shared" si="17"/>
        <v>7.9084273179087046E-4</v>
      </c>
      <c r="S82" s="76">
        <f t="shared" si="18"/>
        <v>-1.1649342488941261E-3</v>
      </c>
      <c r="T82" s="76">
        <f t="shared" si="19"/>
        <v>-6.1099796334012219E-3</v>
      </c>
      <c r="U82" s="77">
        <f t="shared" si="20"/>
        <v>-8.9999999999999998E-4</v>
      </c>
      <c r="V82" s="79">
        <f t="shared" si="21"/>
        <v>7.9000000000000001E-2</v>
      </c>
    </row>
    <row r="83" spans="1:22">
      <c r="A83" s="157">
        <v>72</v>
      </c>
      <c r="B83" s="131" t="s">
        <v>114</v>
      </c>
      <c r="C83" s="132" t="s">
        <v>33</v>
      </c>
      <c r="D83" s="2">
        <v>1053463967.72</v>
      </c>
      <c r="E83" s="3">
        <f t="shared" si="22"/>
        <v>4.8197796742814568E-3</v>
      </c>
      <c r="F83" s="14">
        <v>3.51</v>
      </c>
      <c r="G83" s="14">
        <v>3.51</v>
      </c>
      <c r="H83" s="59">
        <v>771</v>
      </c>
      <c r="I83" s="12">
        <v>1.1000000000000001E-3</v>
      </c>
      <c r="J83" s="12">
        <v>-3.1099999999999999E-2</v>
      </c>
      <c r="K83" s="2">
        <v>1055091447.73</v>
      </c>
      <c r="L83" s="3">
        <f t="shared" si="16"/>
        <v>4.828340354581866E-3</v>
      </c>
      <c r="M83" s="14">
        <v>3.51</v>
      </c>
      <c r="N83" s="14">
        <v>3.51</v>
      </c>
      <c r="O83" s="59">
        <v>771</v>
      </c>
      <c r="P83" s="12">
        <v>1.5E-3</v>
      </c>
      <c r="Q83" s="12">
        <v>-2.8000000000000001E-2</v>
      </c>
      <c r="R83" s="76">
        <f t="shared" si="17"/>
        <v>1.5448843623216907E-3</v>
      </c>
      <c r="S83" s="76">
        <f t="shared" si="18"/>
        <v>0</v>
      </c>
      <c r="T83" s="76">
        <f t="shared" si="19"/>
        <v>0</v>
      </c>
      <c r="U83" s="77">
        <f t="shared" si="20"/>
        <v>3.9999999999999996E-4</v>
      </c>
      <c r="V83" s="79">
        <f t="shared" si="21"/>
        <v>3.0999999999999986E-3</v>
      </c>
    </row>
    <row r="84" spans="1:22">
      <c r="A84" s="157">
        <v>73</v>
      </c>
      <c r="B84" s="131" t="s">
        <v>255</v>
      </c>
      <c r="C84" s="132" t="s">
        <v>35</v>
      </c>
      <c r="D84" s="2">
        <v>530583016.81</v>
      </c>
      <c r="E84" s="3">
        <f t="shared" si="22"/>
        <v>2.4275089782847484E-3</v>
      </c>
      <c r="F84" s="14">
        <v>106.44</v>
      </c>
      <c r="G84" s="14">
        <v>106.44</v>
      </c>
      <c r="H84" s="59">
        <v>61</v>
      </c>
      <c r="I84" s="12">
        <v>0.16420000000000001</v>
      </c>
      <c r="J84" s="12">
        <v>0.16420000000000001</v>
      </c>
      <c r="K84" s="2">
        <v>525973116.77999997</v>
      </c>
      <c r="L84" s="3">
        <f t="shared" si="16"/>
        <v>2.4069735667348116E-3</v>
      </c>
      <c r="M84" s="14">
        <v>106.71566</v>
      </c>
      <c r="N84" s="14">
        <v>106.72</v>
      </c>
      <c r="O84" s="59">
        <v>61</v>
      </c>
      <c r="P84" s="12">
        <v>0.16420000000000001</v>
      </c>
      <c r="Q84" s="12">
        <v>0.1633</v>
      </c>
      <c r="R84" s="76">
        <f>((K84-D84)/D84)</f>
        <v>-8.6883671055208705E-3</v>
      </c>
      <c r="S84" s="76">
        <f>((N84-G84)/G84)</f>
        <v>2.6305900037579964E-3</v>
      </c>
      <c r="T84" s="76">
        <f>((O84-H84)/H84)</f>
        <v>0</v>
      </c>
      <c r="U84" s="77">
        <f>P84-I84</f>
        <v>0</v>
      </c>
      <c r="V84" s="79">
        <f>Q84-J84</f>
        <v>-9.000000000000119E-4</v>
      </c>
    </row>
    <row r="85" spans="1:22">
      <c r="A85" s="162">
        <v>74</v>
      </c>
      <c r="B85" s="132" t="s">
        <v>115</v>
      </c>
      <c r="C85" s="180" t="s">
        <v>39</v>
      </c>
      <c r="D85" s="2">
        <v>1810572780.8099999</v>
      </c>
      <c r="E85" s="3">
        <f t="shared" si="22"/>
        <v>8.2836833106329118E-3</v>
      </c>
      <c r="F85" s="14">
        <v>98.93</v>
      </c>
      <c r="G85" s="14">
        <v>98.93</v>
      </c>
      <c r="H85" s="58">
        <v>139</v>
      </c>
      <c r="I85" s="5">
        <v>2.0999999999999999E-3</v>
      </c>
      <c r="J85" s="5">
        <v>7.2099999999999997E-2</v>
      </c>
      <c r="K85" s="2">
        <v>1816005311.5599999</v>
      </c>
      <c r="L85" s="3">
        <f t="shared" si="16"/>
        <v>8.3104566422227185E-3</v>
      </c>
      <c r="M85" s="14">
        <v>99.14</v>
      </c>
      <c r="N85" s="14">
        <v>99.14</v>
      </c>
      <c r="O85" s="58">
        <v>139</v>
      </c>
      <c r="P85" s="5">
        <v>2.0999999999999999E-3</v>
      </c>
      <c r="Q85" s="5">
        <v>7.4099999999999999E-2</v>
      </c>
      <c r="R85" s="76">
        <f t="shared" si="17"/>
        <v>3.0004487019680238E-3</v>
      </c>
      <c r="S85" s="76">
        <f t="shared" si="18"/>
        <v>2.1227130294146743E-3</v>
      </c>
      <c r="T85" s="76">
        <f t="shared" si="19"/>
        <v>0</v>
      </c>
      <c r="U85" s="77">
        <f t="shared" si="20"/>
        <v>0</v>
      </c>
      <c r="V85" s="79">
        <f t="shared" si="21"/>
        <v>2.0000000000000018E-3</v>
      </c>
    </row>
    <row r="86" spans="1:22">
      <c r="A86" s="139">
        <v>75</v>
      </c>
      <c r="B86" s="131" t="s">
        <v>116</v>
      </c>
      <c r="C86" s="132" t="s">
        <v>16</v>
      </c>
      <c r="D86" s="2">
        <v>1291940657.26</v>
      </c>
      <c r="E86" s="3">
        <f t="shared" si="22"/>
        <v>5.9108517339385757E-3</v>
      </c>
      <c r="F86" s="14">
        <v>339.36470000000003</v>
      </c>
      <c r="G86" s="14">
        <v>339.36470000000003</v>
      </c>
      <c r="H86" s="58">
        <v>105</v>
      </c>
      <c r="I86" s="5">
        <v>2.3999999999999998E-3</v>
      </c>
      <c r="J86" s="5">
        <v>7.2700000000000001E-2</v>
      </c>
      <c r="K86" s="2">
        <v>1294287457.5799999</v>
      </c>
      <c r="L86" s="3">
        <f t="shared" si="16"/>
        <v>5.9229561336202555E-3</v>
      </c>
      <c r="M86" s="14">
        <v>340.19549999999998</v>
      </c>
      <c r="N86" s="14">
        <v>340.19549999999998</v>
      </c>
      <c r="O86" s="58">
        <v>105</v>
      </c>
      <c r="P86" s="5">
        <v>2.3999999999999998E-3</v>
      </c>
      <c r="Q86" s="5">
        <v>7.5200000000000003E-2</v>
      </c>
      <c r="R86" s="76">
        <f t="shared" si="17"/>
        <v>1.816492349561258E-3</v>
      </c>
      <c r="S86" s="76">
        <f t="shared" si="18"/>
        <v>2.4481037656537458E-3</v>
      </c>
      <c r="T86" s="76">
        <f t="shared" si="19"/>
        <v>0</v>
      </c>
      <c r="U86" s="77">
        <f t="shared" si="20"/>
        <v>0</v>
      </c>
      <c r="V86" s="79">
        <f t="shared" si="21"/>
        <v>2.5000000000000022E-3</v>
      </c>
    </row>
    <row r="87" spans="1:22">
      <c r="A87" s="157">
        <v>76</v>
      </c>
      <c r="B87" s="131" t="s">
        <v>249</v>
      </c>
      <c r="C87" s="132" t="s">
        <v>77</v>
      </c>
      <c r="D87" s="9">
        <v>1518066287.55</v>
      </c>
      <c r="E87" s="3">
        <f>(D87/$K$62)</f>
        <v>1.1609357893271907E-3</v>
      </c>
      <c r="F87" s="14">
        <v>103.21</v>
      </c>
      <c r="G87" s="14">
        <v>103.21</v>
      </c>
      <c r="H87" s="58">
        <v>376</v>
      </c>
      <c r="I87" s="5">
        <v>2.7000000000000001E-3</v>
      </c>
      <c r="J87" s="5">
        <v>8.8499999999999995E-2</v>
      </c>
      <c r="K87" s="9">
        <v>1483995657.76</v>
      </c>
      <c r="L87" s="3">
        <f>(K87/$K$62)</f>
        <v>1.1348803964813595E-3</v>
      </c>
      <c r="M87" s="14">
        <v>103.62</v>
      </c>
      <c r="N87" s="14">
        <v>103.62</v>
      </c>
      <c r="O87" s="58">
        <v>376</v>
      </c>
      <c r="P87" s="5">
        <v>4.0000000000000001E-3</v>
      </c>
      <c r="Q87" s="5">
        <v>9.2600000000000002E-2</v>
      </c>
      <c r="R87" s="76">
        <f t="shared" si="17"/>
        <v>-2.2443440098380941E-2</v>
      </c>
      <c r="S87" s="76">
        <f t="shared" si="18"/>
        <v>3.9724832865033503E-3</v>
      </c>
      <c r="T87" s="76">
        <f t="shared" si="19"/>
        <v>0</v>
      </c>
      <c r="U87" s="77">
        <f t="shared" si="20"/>
        <v>1.2999999999999999E-3</v>
      </c>
      <c r="V87" s="79">
        <f t="shared" si="21"/>
        <v>4.1000000000000064E-3</v>
      </c>
    </row>
    <row r="88" spans="1:22">
      <c r="A88" s="157">
        <v>77</v>
      </c>
      <c r="B88" s="131" t="s">
        <v>117</v>
      </c>
      <c r="C88" s="132" t="s">
        <v>37</v>
      </c>
      <c r="D88" s="2">
        <v>57791993.219999999</v>
      </c>
      <c r="E88" s="3">
        <f t="shared" ref="E88:E100" si="23">(D88/$D$101)</f>
        <v>2.6440835452665629E-4</v>
      </c>
      <c r="F88" s="2">
        <v>12.626141000000001</v>
      </c>
      <c r="G88" s="2">
        <v>12.848007000000001</v>
      </c>
      <c r="H88" s="58">
        <v>56</v>
      </c>
      <c r="I88" s="5">
        <v>2.0000000000000001E-4</v>
      </c>
      <c r="J88" s="5">
        <v>7.9899999999999999E-2</v>
      </c>
      <c r="K88" s="2">
        <v>57563928.950000003</v>
      </c>
      <c r="L88" s="3">
        <f t="shared" ref="L88:L100" si="24">(K88/$K$101)</f>
        <v>2.6342573595449452E-4</v>
      </c>
      <c r="M88" s="2">
        <v>12.576314999999999</v>
      </c>
      <c r="N88" s="2">
        <v>12.805994999999999</v>
      </c>
      <c r="O88" s="58">
        <v>56</v>
      </c>
      <c r="P88" s="5">
        <v>-8.6999999999999994E-3</v>
      </c>
      <c r="Q88" s="5">
        <v>7.1599999999999997E-2</v>
      </c>
      <c r="R88" s="76">
        <f t="shared" si="17"/>
        <v>-3.9462952788600122E-3</v>
      </c>
      <c r="S88" s="76">
        <f t="shared" si="18"/>
        <v>-3.2699234986408002E-3</v>
      </c>
      <c r="T88" s="76">
        <f t="shared" si="19"/>
        <v>0</v>
      </c>
      <c r="U88" s="77">
        <f t="shared" si="20"/>
        <v>-8.8999999999999999E-3</v>
      </c>
      <c r="V88" s="79">
        <f t="shared" si="21"/>
        <v>-8.3000000000000018E-3</v>
      </c>
    </row>
    <row r="89" spans="1:22">
      <c r="A89" s="139">
        <v>78</v>
      </c>
      <c r="B89" s="131" t="s">
        <v>233</v>
      </c>
      <c r="C89" s="132" t="s">
        <v>234</v>
      </c>
      <c r="D89" s="2">
        <v>304619681.81</v>
      </c>
      <c r="E89" s="3">
        <f t="shared" si="23"/>
        <v>1.3936876777584815E-3</v>
      </c>
      <c r="F89" s="2">
        <v>124.15</v>
      </c>
      <c r="G89" s="2">
        <v>124.15</v>
      </c>
      <c r="H89" s="58">
        <v>88</v>
      </c>
      <c r="I89" s="5">
        <v>0.156</v>
      </c>
      <c r="J89" s="5">
        <v>0.17</v>
      </c>
      <c r="K89" s="2">
        <v>305425176.56999999</v>
      </c>
      <c r="L89" s="3">
        <f t="shared" si="24"/>
        <v>1.3976956296167427E-3</v>
      </c>
      <c r="M89" s="2">
        <v>124.49</v>
      </c>
      <c r="N89" s="2">
        <v>124.49</v>
      </c>
      <c r="O89" s="58">
        <v>89</v>
      </c>
      <c r="P89" s="5">
        <v>0.1575</v>
      </c>
      <c r="Q89" s="5">
        <v>0.1696</v>
      </c>
      <c r="R89" s="76">
        <f>((K89-D89)/D89)</f>
        <v>2.6442636772971242E-3</v>
      </c>
      <c r="S89" s="76">
        <f>((N89-G89)/G89)</f>
        <v>2.7386226339105048E-3</v>
      </c>
      <c r="T89" s="76">
        <f>((O89-H89)/H89)</f>
        <v>1.1363636363636364E-2</v>
      </c>
      <c r="U89" s="77">
        <f t="shared" si="20"/>
        <v>1.5000000000000013E-3</v>
      </c>
      <c r="V89" s="79">
        <f t="shared" si="21"/>
        <v>-4.0000000000001146E-4</v>
      </c>
    </row>
    <row r="90" spans="1:22">
      <c r="A90" s="162">
        <v>79</v>
      </c>
      <c r="B90" s="131" t="s">
        <v>118</v>
      </c>
      <c r="C90" s="132" t="s">
        <v>119</v>
      </c>
      <c r="D90" s="2">
        <v>7520988255.7094688</v>
      </c>
      <c r="E90" s="3">
        <f t="shared" si="23"/>
        <v>3.4409820778049424E-2</v>
      </c>
      <c r="F90" s="2">
        <v>1.0900000000000001</v>
      </c>
      <c r="G90" s="2">
        <v>1.0900000000000001</v>
      </c>
      <c r="H90" s="58">
        <v>4535</v>
      </c>
      <c r="I90" s="5">
        <v>0.17019999999999999</v>
      </c>
      <c r="J90" s="5">
        <v>0.17019999999999999</v>
      </c>
      <c r="K90" s="2">
        <v>7631083600.1875582</v>
      </c>
      <c r="L90" s="3">
        <f t="shared" si="24"/>
        <v>3.4921588053097634E-2</v>
      </c>
      <c r="M90" s="2">
        <v>1.0925121613681641</v>
      </c>
      <c r="N90" s="2">
        <v>1.0925121613681641</v>
      </c>
      <c r="O90" s="58">
        <v>4548</v>
      </c>
      <c r="P90" s="5">
        <v>0.1704</v>
      </c>
      <c r="Q90" s="5">
        <v>0.1704</v>
      </c>
      <c r="R90" s="76">
        <f t="shared" si="17"/>
        <v>1.4638414625167346E-2</v>
      </c>
      <c r="S90" s="76">
        <f t="shared" si="18"/>
        <v>2.3047352001504696E-3</v>
      </c>
      <c r="T90" s="76">
        <f t="shared" si="19"/>
        <v>2.8665931642778389E-3</v>
      </c>
      <c r="U90" s="77">
        <f t="shared" si="20"/>
        <v>2.0000000000000573E-4</v>
      </c>
      <c r="V90" s="79">
        <f t="shared" si="21"/>
        <v>2.0000000000000573E-4</v>
      </c>
    </row>
    <row r="91" spans="1:22" ht="14.25" customHeight="1">
      <c r="A91" s="160">
        <v>80</v>
      </c>
      <c r="B91" s="131" t="s">
        <v>120</v>
      </c>
      <c r="C91" s="132" t="s">
        <v>41</v>
      </c>
      <c r="D91" s="2">
        <v>13397062618.540001</v>
      </c>
      <c r="E91" s="3">
        <f t="shared" si="23"/>
        <v>6.1293876280994253E-2</v>
      </c>
      <c r="F91" s="2">
        <v>5164.5200000000004</v>
      </c>
      <c r="G91" s="2">
        <v>5164.5200000000004</v>
      </c>
      <c r="H91" s="58">
        <v>330</v>
      </c>
      <c r="I91" s="5">
        <v>0</v>
      </c>
      <c r="J91" s="5">
        <v>3.0499999999999999E-2</v>
      </c>
      <c r="K91" s="2">
        <v>13274084364.75</v>
      </c>
      <c r="L91" s="3">
        <f t="shared" si="24"/>
        <v>6.0745253263438298E-2</v>
      </c>
      <c r="M91" s="2">
        <v>5164.6499999999996</v>
      </c>
      <c r="N91" s="2">
        <v>5164.6499999999996</v>
      </c>
      <c r="O91" s="58">
        <v>328</v>
      </c>
      <c r="P91" s="5">
        <v>0</v>
      </c>
      <c r="Q91" s="5">
        <v>3.0499999999999999E-2</v>
      </c>
      <c r="R91" s="76">
        <f t="shared" si="17"/>
        <v>-9.179493840673186E-3</v>
      </c>
      <c r="S91" s="76">
        <f t="shared" si="18"/>
        <v>2.5171748778047067E-5</v>
      </c>
      <c r="T91" s="76">
        <f t="shared" si="19"/>
        <v>-6.0606060606060606E-3</v>
      </c>
      <c r="U91" s="77">
        <f t="shared" si="20"/>
        <v>0</v>
      </c>
      <c r="V91" s="79">
        <f t="shared" si="21"/>
        <v>0</v>
      </c>
    </row>
    <row r="92" spans="1:22">
      <c r="A92" s="160">
        <v>81</v>
      </c>
      <c r="B92" s="131" t="s">
        <v>121</v>
      </c>
      <c r="C92" s="132" t="s">
        <v>41</v>
      </c>
      <c r="D92" s="2">
        <v>25214531378.549999</v>
      </c>
      <c r="E92" s="3">
        <f t="shared" si="23"/>
        <v>0.11536083773030224</v>
      </c>
      <c r="F92" s="14">
        <v>258.41000000000003</v>
      </c>
      <c r="G92" s="14">
        <v>258.41000000000003</v>
      </c>
      <c r="H92" s="58">
        <v>6480</v>
      </c>
      <c r="I92" s="5">
        <v>0</v>
      </c>
      <c r="J92" s="5">
        <v>1.0200000000000001E-2</v>
      </c>
      <c r="K92" s="2">
        <v>25148414658.759998</v>
      </c>
      <c r="L92" s="3">
        <f t="shared" si="24"/>
        <v>0.11508491099221001</v>
      </c>
      <c r="M92" s="14">
        <v>258.41000000000003</v>
      </c>
      <c r="N92" s="14">
        <v>258.41000000000003</v>
      </c>
      <c r="O92" s="58">
        <v>6466</v>
      </c>
      <c r="P92" s="5">
        <v>0</v>
      </c>
      <c r="Q92" s="5">
        <v>1.0200000000000001E-2</v>
      </c>
      <c r="R92" s="76">
        <f t="shared" si="17"/>
        <v>-2.6221673049314099E-3</v>
      </c>
      <c r="S92" s="76">
        <f t="shared" si="18"/>
        <v>0</v>
      </c>
      <c r="T92" s="76">
        <f t="shared" si="19"/>
        <v>-2.1604938271604936E-3</v>
      </c>
      <c r="U92" s="77">
        <f t="shared" si="20"/>
        <v>0</v>
      </c>
      <c r="V92" s="79">
        <f t="shared" si="21"/>
        <v>0</v>
      </c>
    </row>
    <row r="93" spans="1:22" ht="12.75" customHeight="1">
      <c r="A93" s="160">
        <v>82</v>
      </c>
      <c r="B93" s="131" t="s">
        <v>122</v>
      </c>
      <c r="C93" s="132" t="s">
        <v>41</v>
      </c>
      <c r="D93" s="2">
        <v>360412835.69</v>
      </c>
      <c r="E93" s="3">
        <f t="shared" si="23"/>
        <v>1.6489509969367178E-3</v>
      </c>
      <c r="F93" s="2">
        <v>6247.32</v>
      </c>
      <c r="G93" s="7">
        <v>6280.5</v>
      </c>
      <c r="H93" s="58">
        <v>15</v>
      </c>
      <c r="I93" s="5">
        <v>1.78E-2</v>
      </c>
      <c r="J93" s="5">
        <v>0.183</v>
      </c>
      <c r="K93" s="2">
        <v>361035753.24000001</v>
      </c>
      <c r="L93" s="3">
        <f t="shared" si="24"/>
        <v>1.6521823777133316E-3</v>
      </c>
      <c r="M93" s="2">
        <v>6258.26</v>
      </c>
      <c r="N93" s="7">
        <v>6291.25</v>
      </c>
      <c r="O93" s="58">
        <v>15</v>
      </c>
      <c r="P93" s="5">
        <v>1.6999999999999999E-3</v>
      </c>
      <c r="Q93" s="5">
        <v>0.185</v>
      </c>
      <c r="R93" s="76">
        <f t="shared" si="17"/>
        <v>1.7283445213804726E-3</v>
      </c>
      <c r="S93" s="76">
        <f t="shared" si="18"/>
        <v>1.7116471618501712E-3</v>
      </c>
      <c r="T93" s="76">
        <f t="shared" si="19"/>
        <v>0</v>
      </c>
      <c r="U93" s="77">
        <f t="shared" si="20"/>
        <v>-1.61E-2</v>
      </c>
      <c r="V93" s="79">
        <f t="shared" si="21"/>
        <v>2.0000000000000018E-3</v>
      </c>
    </row>
    <row r="94" spans="1:22" ht="12.75" customHeight="1">
      <c r="A94" s="160">
        <v>83</v>
      </c>
      <c r="B94" s="131" t="s">
        <v>123</v>
      </c>
      <c r="C94" s="132" t="s">
        <v>41</v>
      </c>
      <c r="D94" s="2">
        <v>10626955907.5</v>
      </c>
      <c r="E94" s="3">
        <f t="shared" si="23"/>
        <v>4.8620159447226009E-2</v>
      </c>
      <c r="F94" s="14">
        <v>133.81</v>
      </c>
      <c r="G94" s="14">
        <v>133.81</v>
      </c>
      <c r="H94" s="58">
        <v>4448</v>
      </c>
      <c r="I94" s="5">
        <v>1.6999999999999999E-3</v>
      </c>
      <c r="J94" s="5">
        <v>6.2700000000000006E-2</v>
      </c>
      <c r="K94" s="2">
        <v>10455754923.549999</v>
      </c>
      <c r="L94" s="3">
        <f t="shared" si="24"/>
        <v>4.7847931611624095E-2</v>
      </c>
      <c r="M94" s="14">
        <v>134.05000000000001</v>
      </c>
      <c r="N94" s="14">
        <v>134.05000000000001</v>
      </c>
      <c r="O94" s="58">
        <v>4453</v>
      </c>
      <c r="P94" s="5">
        <v>1.8E-3</v>
      </c>
      <c r="Q94" s="5">
        <v>6.4600000000000005E-2</v>
      </c>
      <c r="R94" s="76">
        <f t="shared" si="17"/>
        <v>-1.6110068154999612E-2</v>
      </c>
      <c r="S94" s="76">
        <f t="shared" si="18"/>
        <v>1.7935879231747187E-3</v>
      </c>
      <c r="T94" s="76">
        <f t="shared" si="19"/>
        <v>1.1241007194244604E-3</v>
      </c>
      <c r="U94" s="77">
        <f t="shared" si="20"/>
        <v>1.0000000000000005E-4</v>
      </c>
      <c r="V94" s="79">
        <f t="shared" si="21"/>
        <v>1.8999999999999989E-3</v>
      </c>
    </row>
    <row r="95" spans="1:22" ht="12.75" customHeight="1">
      <c r="A95" s="160">
        <v>84</v>
      </c>
      <c r="B95" s="131" t="s">
        <v>124</v>
      </c>
      <c r="C95" s="132" t="s">
        <v>41</v>
      </c>
      <c r="D95" s="2">
        <v>9080057675.9599991</v>
      </c>
      <c r="E95" s="3">
        <f t="shared" si="23"/>
        <v>4.15428327583078E-2</v>
      </c>
      <c r="F95" s="14">
        <v>358.28</v>
      </c>
      <c r="G95" s="14">
        <v>358.83</v>
      </c>
      <c r="H95" s="58">
        <v>10209</v>
      </c>
      <c r="I95" s="5">
        <v>-8.9999999999999998E-4</v>
      </c>
      <c r="J95" s="5">
        <v>1.55E-2</v>
      </c>
      <c r="K95" s="2">
        <v>8918421940.4400005</v>
      </c>
      <c r="L95" s="3">
        <f t="shared" si="24"/>
        <v>4.0812743432675616E-2</v>
      </c>
      <c r="M95" s="14">
        <v>357.81</v>
      </c>
      <c r="N95" s="14">
        <v>358.37</v>
      </c>
      <c r="O95" s="58">
        <v>10205</v>
      </c>
      <c r="P95" s="5">
        <v>-1.2999999999999999E-3</v>
      </c>
      <c r="Q95" s="5">
        <v>1.4200000000000001E-2</v>
      </c>
      <c r="R95" s="76">
        <f>((K95-D95)/D95)</f>
        <v>-1.7801179385450262E-2</v>
      </c>
      <c r="S95" s="76">
        <f t="shared" si="18"/>
        <v>-1.2819440960900135E-3</v>
      </c>
      <c r="T95" s="76">
        <f t="shared" si="19"/>
        <v>-3.9181114702713292E-4</v>
      </c>
      <c r="U95" s="77">
        <f t="shared" si="20"/>
        <v>-3.9999999999999996E-4</v>
      </c>
      <c r="V95" s="79">
        <f t="shared" si="21"/>
        <v>-1.2999999999999991E-3</v>
      </c>
    </row>
    <row r="96" spans="1:22">
      <c r="A96" s="157">
        <v>85</v>
      </c>
      <c r="B96" s="131" t="s">
        <v>125</v>
      </c>
      <c r="C96" s="132" t="s">
        <v>44</v>
      </c>
      <c r="D96" s="2">
        <v>86173068742.240005</v>
      </c>
      <c r="E96" s="3">
        <f t="shared" si="23"/>
        <v>0.39425667884323784</v>
      </c>
      <c r="F96" s="2">
        <v>1.9138999999999999</v>
      </c>
      <c r="G96" s="2">
        <v>1.9138999999999999</v>
      </c>
      <c r="H96" s="58">
        <v>6296</v>
      </c>
      <c r="I96" s="5">
        <v>7.9299999999999995E-2</v>
      </c>
      <c r="J96" s="5">
        <v>5.67E-2</v>
      </c>
      <c r="K96" s="2">
        <v>86283200551.309998</v>
      </c>
      <c r="L96" s="3">
        <f t="shared" si="24"/>
        <v>0.39485170696879757</v>
      </c>
      <c r="M96" s="2">
        <v>1.9167000000000001</v>
      </c>
      <c r="N96" s="2">
        <v>1.9167000000000001</v>
      </c>
      <c r="O96" s="58">
        <v>6304</v>
      </c>
      <c r="P96" s="5">
        <v>7.9200000000000007E-2</v>
      </c>
      <c r="Q96" s="5">
        <v>5.7200000000000001E-2</v>
      </c>
      <c r="R96" s="76">
        <f t="shared" si="17"/>
        <v>1.278030487685395E-3</v>
      </c>
      <c r="S96" s="76">
        <f t="shared" si="18"/>
        <v>1.4629813469878969E-3</v>
      </c>
      <c r="T96" s="76">
        <f t="shared" si="19"/>
        <v>1.2706480304955528E-3</v>
      </c>
      <c r="U96" s="77">
        <f t="shared" si="20"/>
        <v>-9.9999999999988987E-5</v>
      </c>
      <c r="V96" s="79">
        <f t="shared" si="21"/>
        <v>5.0000000000000044E-4</v>
      </c>
    </row>
    <row r="97" spans="1:28">
      <c r="A97" s="157">
        <v>86</v>
      </c>
      <c r="B97" s="131" t="s">
        <v>286</v>
      </c>
      <c r="C97" s="132" t="s">
        <v>44</v>
      </c>
      <c r="D97" s="2">
        <v>2847442211.29</v>
      </c>
      <c r="E97" s="3">
        <f t="shared" si="23"/>
        <v>1.3027540109766998E-2</v>
      </c>
      <c r="F97" s="2">
        <v>101.7604</v>
      </c>
      <c r="G97" s="2">
        <v>101.7604</v>
      </c>
      <c r="H97" s="58">
        <v>67</v>
      </c>
      <c r="I97" s="5">
        <v>0.2127</v>
      </c>
      <c r="J97" s="5">
        <v>0.2281</v>
      </c>
      <c r="K97" s="2">
        <v>3502357728.8000002</v>
      </c>
      <c r="L97" s="3">
        <f t="shared" si="24"/>
        <v>1.6027591915875505E-2</v>
      </c>
      <c r="M97" s="2">
        <v>102.12269999999999</v>
      </c>
      <c r="N97" s="2">
        <v>102.12269999999999</v>
      </c>
      <c r="O97" s="58">
        <v>69</v>
      </c>
      <c r="P97" s="5">
        <v>0.2036</v>
      </c>
      <c r="Q97" s="5">
        <v>0.2235</v>
      </c>
      <c r="R97" s="76">
        <f t="shared" ref="R97" si="25">((K97-D97)/D97)</f>
        <v>0.23000133766131764</v>
      </c>
      <c r="S97" s="76">
        <f t="shared" ref="S97" si="26">((N97-G97)/G97)</f>
        <v>3.560324055329878E-3</v>
      </c>
      <c r="T97" s="76">
        <f t="shared" ref="T97" si="27">((O97-H97)/H97)</f>
        <v>2.9850746268656716E-2</v>
      </c>
      <c r="U97" s="77">
        <f t="shared" ref="U97" si="28">P97-I97</f>
        <v>-9.099999999999997E-3</v>
      </c>
      <c r="V97" s="79">
        <f t="shared" ref="V97" si="29">Q97-J97</f>
        <v>-4.599999999999993E-3</v>
      </c>
    </row>
    <row r="98" spans="1:28">
      <c r="A98" s="162">
        <v>87</v>
      </c>
      <c r="B98" s="131" t="s">
        <v>238</v>
      </c>
      <c r="C98" s="131" t="s">
        <v>239</v>
      </c>
      <c r="D98" s="2">
        <v>87111843.590000004</v>
      </c>
      <c r="E98" s="3">
        <f t="shared" si="23"/>
        <v>3.9855173597723079E-4</v>
      </c>
      <c r="F98" s="2">
        <v>107.02776881188852</v>
      </c>
      <c r="G98" s="2">
        <v>107.02776881188852</v>
      </c>
      <c r="H98" s="58">
        <v>56</v>
      </c>
      <c r="I98" s="5">
        <v>1.7762534359340926E-3</v>
      </c>
      <c r="J98" s="5">
        <v>5.3433289814747376E-2</v>
      </c>
      <c r="K98" s="2">
        <v>87280513.75</v>
      </c>
      <c r="L98" s="3">
        <f t="shared" si="24"/>
        <v>3.9941564080955822E-4</v>
      </c>
      <c r="M98" s="2">
        <v>107.20424992828731</v>
      </c>
      <c r="N98" s="2">
        <v>107.20424992828731</v>
      </c>
      <c r="O98" s="58">
        <v>55</v>
      </c>
      <c r="P98" s="5">
        <v>1.6489282955059299E-3</v>
      </c>
      <c r="Q98" s="5">
        <v>5.5170325773750806E-2</v>
      </c>
      <c r="R98" s="76">
        <f>((K98-D98)/D98)</f>
        <v>1.9362483107791659E-3</v>
      </c>
      <c r="S98" s="76">
        <f>((N98-G98)/G98)</f>
        <v>1.6489282955059299E-3</v>
      </c>
      <c r="T98" s="76">
        <f>((O98-H98)/H98)</f>
        <v>-1.7857142857142856E-2</v>
      </c>
      <c r="U98" s="77">
        <f>P98-I98</f>
        <v>-1.2732514042816277E-4</v>
      </c>
      <c r="V98" s="79">
        <f>Q98-J98</f>
        <v>1.7370359590034301E-3</v>
      </c>
    </row>
    <row r="99" spans="1:28">
      <c r="A99" s="157">
        <v>88</v>
      </c>
      <c r="B99" s="131" t="s">
        <v>259</v>
      </c>
      <c r="C99" s="132" t="s">
        <v>258</v>
      </c>
      <c r="D99" s="2">
        <v>239820804.58000001</v>
      </c>
      <c r="E99" s="3">
        <f t="shared" si="23"/>
        <v>1.097221618207004E-3</v>
      </c>
      <c r="F99" s="2">
        <v>1.0112000000000001</v>
      </c>
      <c r="G99" s="2">
        <v>1.0112000000000001</v>
      </c>
      <c r="H99" s="58">
        <v>308</v>
      </c>
      <c r="I99" s="5">
        <v>-5.1000000000000004E-3</v>
      </c>
      <c r="J99" s="5">
        <v>2.8566000000000001E-2</v>
      </c>
      <c r="K99" s="2">
        <v>249965339.90000001</v>
      </c>
      <c r="L99" s="3">
        <f t="shared" si="24"/>
        <v>1.1438987023187352E-3</v>
      </c>
      <c r="M99" s="2">
        <v>1.0541</v>
      </c>
      <c r="N99" s="2">
        <v>1.0541</v>
      </c>
      <c r="O99" s="58">
        <v>312</v>
      </c>
      <c r="P99" s="5">
        <v>4.2426999999999999E-2</v>
      </c>
      <c r="Q99" s="5">
        <v>1.2649000000000001E-2</v>
      </c>
      <c r="R99" s="76">
        <f>((K99-D99)/D99)</f>
        <v>4.2300480718368845E-2</v>
      </c>
      <c r="S99" s="76">
        <f>((N99-G99)/G99)</f>
        <v>4.2424841772151833E-2</v>
      </c>
      <c r="T99" s="76">
        <f>((O99-H99)/H99)</f>
        <v>1.2987012987012988E-2</v>
      </c>
      <c r="U99" s="77">
        <f>P99-I99</f>
        <v>4.7527E-2</v>
      </c>
      <c r="V99" s="79">
        <f>Q99-J99</f>
        <v>-1.5917000000000001E-2</v>
      </c>
    </row>
    <row r="100" spans="1:28">
      <c r="A100" s="160">
        <v>89</v>
      </c>
      <c r="B100" s="131" t="s">
        <v>126</v>
      </c>
      <c r="C100" s="132" t="s">
        <v>90</v>
      </c>
      <c r="D100" s="2">
        <v>2543083669.8299999</v>
      </c>
      <c r="E100" s="3">
        <f t="shared" si="23"/>
        <v>1.1635047194230702E-2</v>
      </c>
      <c r="F100" s="14">
        <v>27.213999999999999</v>
      </c>
      <c r="G100" s="14">
        <v>27.213999999999999</v>
      </c>
      <c r="H100" s="58">
        <v>1312</v>
      </c>
      <c r="I100" s="5">
        <v>0.1371</v>
      </c>
      <c r="J100" s="5">
        <v>0.1371</v>
      </c>
      <c r="K100" s="2">
        <v>2548039368.0799999</v>
      </c>
      <c r="L100" s="3">
        <f t="shared" si="24"/>
        <v>1.166041231064196E-2</v>
      </c>
      <c r="M100" s="14">
        <v>27.2744</v>
      </c>
      <c r="N100" s="14">
        <v>27.2744</v>
      </c>
      <c r="O100" s="58">
        <v>1312</v>
      </c>
      <c r="P100" s="5">
        <v>0.13689999999999999</v>
      </c>
      <c r="Q100" s="5">
        <v>0.13689999999999999</v>
      </c>
      <c r="R100" s="76">
        <f t="shared" si="17"/>
        <v>1.948696501335042E-3</v>
      </c>
      <c r="S100" s="76">
        <f t="shared" si="18"/>
        <v>2.2194458734475396E-3</v>
      </c>
      <c r="T100" s="76">
        <f t="shared" si="19"/>
        <v>0</v>
      </c>
      <c r="U100" s="77">
        <f t="shared" si="20"/>
        <v>-2.0000000000000573E-4</v>
      </c>
      <c r="V100" s="79">
        <f t="shared" si="21"/>
        <v>-2.0000000000000573E-4</v>
      </c>
    </row>
    <row r="101" spans="1:28">
      <c r="A101" s="71"/>
      <c r="B101" s="129"/>
      <c r="C101" s="68" t="s">
        <v>45</v>
      </c>
      <c r="D101" s="57">
        <f>SUM(D65:D100)</f>
        <v>218570980192.58582</v>
      </c>
      <c r="E101" s="96">
        <f>(D101/$D$205)</f>
        <v>6.5321616283949419E-2</v>
      </c>
      <c r="F101" s="30"/>
      <c r="G101" s="11"/>
      <c r="H101" s="63">
        <f>SUM(H65:H100)</f>
        <v>50174</v>
      </c>
      <c r="I101" s="12"/>
      <c r="J101" s="12"/>
      <c r="K101" s="57">
        <f>SUM(K65:K100)</f>
        <v>218520520561.22519</v>
      </c>
      <c r="L101" s="96">
        <f>(K101/$K$205)</f>
        <v>6.4256513034657736E-2</v>
      </c>
      <c r="M101" s="30"/>
      <c r="N101" s="11"/>
      <c r="O101" s="63">
        <f>SUM(O65:O100)</f>
        <v>50367</v>
      </c>
      <c r="P101" s="12"/>
      <c r="Q101" s="12"/>
      <c r="R101" s="76">
        <f t="shared" si="17"/>
        <v>-2.3086153210350965E-4</v>
      </c>
      <c r="S101" s="76" t="e">
        <f t="shared" si="18"/>
        <v>#DIV/0!</v>
      </c>
      <c r="T101" s="76">
        <f t="shared" si="19"/>
        <v>3.8466137840315702E-3</v>
      </c>
      <c r="U101" s="77">
        <f t="shared" si="20"/>
        <v>0</v>
      </c>
      <c r="V101" s="79">
        <f t="shared" si="21"/>
        <v>0</v>
      </c>
    </row>
    <row r="102" spans="1:28" ht="8.25" customHeight="1">
      <c r="A102" s="166"/>
      <c r="B102" s="166"/>
      <c r="C102" s="166"/>
      <c r="D102" s="166"/>
      <c r="E102" s="166"/>
      <c r="F102" s="166"/>
      <c r="G102" s="166"/>
      <c r="H102" s="166"/>
      <c r="I102" s="166"/>
      <c r="J102" s="166"/>
      <c r="K102" s="166"/>
      <c r="L102" s="166"/>
      <c r="M102" s="166"/>
      <c r="N102" s="166"/>
      <c r="O102" s="166"/>
      <c r="P102" s="166"/>
      <c r="Q102" s="166"/>
      <c r="R102" s="166"/>
      <c r="S102" s="166"/>
      <c r="T102" s="166"/>
      <c r="U102" s="166"/>
      <c r="V102" s="166"/>
    </row>
    <row r="103" spans="1:28" ht="15" customHeight="1">
      <c r="A103" s="164" t="s">
        <v>127</v>
      </c>
      <c r="B103" s="164"/>
      <c r="C103" s="164"/>
      <c r="D103" s="164"/>
      <c r="E103" s="164"/>
      <c r="F103" s="164"/>
      <c r="G103" s="164"/>
      <c r="H103" s="164"/>
      <c r="I103" s="164"/>
      <c r="J103" s="164"/>
      <c r="K103" s="164"/>
      <c r="L103" s="164"/>
      <c r="M103" s="164"/>
      <c r="N103" s="164"/>
      <c r="O103" s="164"/>
      <c r="P103" s="164"/>
      <c r="Q103" s="164"/>
      <c r="R103" s="164"/>
      <c r="S103" s="164"/>
      <c r="T103" s="164"/>
      <c r="U103" s="164"/>
      <c r="V103" s="164"/>
    </row>
    <row r="104" spans="1:28">
      <c r="A104" s="165" t="s">
        <v>227</v>
      </c>
      <c r="B104" s="165"/>
      <c r="C104" s="165"/>
      <c r="D104" s="165"/>
      <c r="E104" s="165"/>
      <c r="F104" s="165"/>
      <c r="G104" s="165"/>
      <c r="H104" s="165"/>
      <c r="I104" s="165"/>
      <c r="J104" s="165"/>
      <c r="K104" s="165"/>
      <c r="L104" s="165"/>
      <c r="M104" s="165"/>
      <c r="N104" s="165"/>
      <c r="O104" s="165"/>
      <c r="P104" s="165"/>
      <c r="Q104" s="165"/>
      <c r="R104" s="165"/>
      <c r="S104" s="165"/>
      <c r="T104" s="165"/>
      <c r="U104" s="165"/>
      <c r="V104" s="165"/>
      <c r="Z104" s="110"/>
      <c r="AB104" s="99"/>
    </row>
    <row r="105" spans="1:28" ht="16.5" customHeight="1">
      <c r="A105" s="157">
        <v>90</v>
      </c>
      <c r="B105" s="131" t="s">
        <v>128</v>
      </c>
      <c r="C105" s="132" t="s">
        <v>16</v>
      </c>
      <c r="D105" s="2">
        <f>1859153.78*1598.642</f>
        <v>2972121317.16676</v>
      </c>
      <c r="E105" s="3">
        <f>(D105/$D$135)</f>
        <v>1.8349998977120648E-3</v>
      </c>
      <c r="F105" s="2">
        <f>110.0079*1598.642</f>
        <v>175863.24927180001</v>
      </c>
      <c r="G105" s="2">
        <f>110.0079*1598.642</f>
        <v>175863.24927180001</v>
      </c>
      <c r="H105" s="58">
        <v>242</v>
      </c>
      <c r="I105" s="5">
        <v>1.8E-3</v>
      </c>
      <c r="J105" s="5">
        <v>3.8800000000000001E-2</v>
      </c>
      <c r="K105" s="2">
        <f>1699248.1*1629.645</f>
        <v>2769171169.9245</v>
      </c>
      <c r="L105" s="3">
        <f t="shared" ref="L105:L117" si="30">(K105/$K$135)</f>
        <v>1.6859668035789214E-3</v>
      </c>
      <c r="M105" s="2">
        <f>110.1264*1629.645</f>
        <v>179466.93712799999</v>
      </c>
      <c r="N105" s="2">
        <f>110.1264*1629.645</f>
        <v>179466.93712799999</v>
      </c>
      <c r="O105" s="58">
        <v>245</v>
      </c>
      <c r="P105" s="5">
        <v>1.1000000000000001E-3</v>
      </c>
      <c r="Q105" s="5">
        <v>3.9899999999999998E-2</v>
      </c>
      <c r="R105" s="77">
        <f>((K105-D105)/D105)</f>
        <v>-6.8284610749243121E-2</v>
      </c>
      <c r="S105" s="77">
        <f>((N105-G105)/G105)</f>
        <v>2.049142086889574E-2</v>
      </c>
      <c r="T105" s="77">
        <f>((O105-H105)/H105)</f>
        <v>1.2396694214876033E-2</v>
      </c>
      <c r="U105" s="77">
        <f>P105-I105</f>
        <v>-6.9999999999999988E-4</v>
      </c>
      <c r="V105" s="79">
        <f>Q105-J105</f>
        <v>1.0999999999999968E-3</v>
      </c>
      <c r="X105" s="110"/>
      <c r="Y105" s="112"/>
      <c r="Z105" s="110"/>
      <c r="AA105" s="100"/>
    </row>
    <row r="106" spans="1:28" ht="16.5" customHeight="1">
      <c r="A106" s="157">
        <v>91</v>
      </c>
      <c r="B106" s="131" t="s">
        <v>265</v>
      </c>
      <c r="C106" s="132" t="s">
        <v>49</v>
      </c>
      <c r="D106" s="2">
        <f>972354.61*1598.642</f>
        <v>1554446918.43962</v>
      </c>
      <c r="E106" s="3">
        <f>(D106/$D$135)</f>
        <v>9.5972190632334609E-4</v>
      </c>
      <c r="F106" s="2">
        <f>100*1598.642</f>
        <v>159864.20000000001</v>
      </c>
      <c r="G106" s="2">
        <f>100*1598.642</f>
        <v>159864.20000000001</v>
      </c>
      <c r="H106" s="58">
        <v>15</v>
      </c>
      <c r="I106" s="5">
        <v>1.4499999999999999E-3</v>
      </c>
      <c r="J106" s="5">
        <v>6.1015E-2</v>
      </c>
      <c r="K106" s="2">
        <f>973622.26*1629.645</f>
        <v>1586658647.8977001</v>
      </c>
      <c r="L106" s="3">
        <f t="shared" si="30"/>
        <v>9.6601244373054518E-4</v>
      </c>
      <c r="M106" s="2">
        <f>100*1629.645</f>
        <v>162964.5</v>
      </c>
      <c r="N106" s="2">
        <f>100*1629.645</f>
        <v>162964.5</v>
      </c>
      <c r="O106" s="58">
        <v>15</v>
      </c>
      <c r="P106" s="5">
        <v>8.1010000000000006E-3</v>
      </c>
      <c r="Q106" s="5">
        <v>6.9115999999999997E-2</v>
      </c>
      <c r="R106" s="77">
        <f>((K106-D106)/D106)</f>
        <v>2.0722309057947589E-2</v>
      </c>
      <c r="S106" s="77">
        <f>((N106-G106)/G106)</f>
        <v>1.9393335093160245E-2</v>
      </c>
      <c r="T106" s="77">
        <f>((O106-H106)/H106)</f>
        <v>0</v>
      </c>
      <c r="U106" s="77">
        <f>P106-I106</f>
        <v>6.6510000000000007E-3</v>
      </c>
      <c r="V106" s="79">
        <f>Q106-J106</f>
        <v>8.1009999999999971E-3</v>
      </c>
      <c r="X106" s="110"/>
      <c r="Y106" s="112"/>
      <c r="Z106" s="110"/>
      <c r="AA106" s="100"/>
    </row>
    <row r="107" spans="1:28">
      <c r="A107" s="162">
        <v>92</v>
      </c>
      <c r="B107" s="131" t="s">
        <v>129</v>
      </c>
      <c r="C107" s="132" t="s">
        <v>20</v>
      </c>
      <c r="D107" s="2">
        <f>11043894.13*1596.14</f>
        <v>17627601176.658203</v>
      </c>
      <c r="E107" s="3">
        <f>(D107/$D$135)</f>
        <v>1.088335330366394E-2</v>
      </c>
      <c r="F107" s="2">
        <f>1.1408*1596.14</f>
        <v>1820.8765120000003</v>
      </c>
      <c r="G107" s="2">
        <f>1.1408*1596.14</f>
        <v>1820.8765120000003</v>
      </c>
      <c r="H107" s="58">
        <v>301</v>
      </c>
      <c r="I107" s="5">
        <v>5.5100000000000003E-2</v>
      </c>
      <c r="J107" s="5">
        <v>-4.4999999999999998E-2</v>
      </c>
      <c r="K107" s="2">
        <f>10646360.31*1629.145</f>
        <v>17344464667.234951</v>
      </c>
      <c r="L107" s="3">
        <f t="shared" si="30"/>
        <v>1.0559907589823321E-2</v>
      </c>
      <c r="M107" s="2">
        <f>1.1417*1629.145</f>
        <v>1859.9948464999998</v>
      </c>
      <c r="N107" s="2">
        <f>1.1417*1629.145</f>
        <v>1859.9948464999998</v>
      </c>
      <c r="O107" s="58">
        <v>297</v>
      </c>
      <c r="P107" s="5">
        <v>4.1200000000000001E-2</v>
      </c>
      <c r="Q107" s="5">
        <v>-4.2599999999999999E-2</v>
      </c>
      <c r="R107" s="77">
        <f t="shared" ref="R107:R117" si="31">((K107-D107)/D107)</f>
        <v>-1.6062112285486166E-2</v>
      </c>
      <c r="S107" s="77">
        <f t="shared" ref="S107:S117" si="32">((N107-G107)/G107)</f>
        <v>2.1483244054278563E-2</v>
      </c>
      <c r="T107" s="77">
        <f t="shared" ref="T107:T117" si="33">((O107-H107)/H107)</f>
        <v>-1.3289036544850499E-2</v>
      </c>
      <c r="U107" s="77">
        <f t="shared" ref="U107:U117" si="34">P107-I107</f>
        <v>-1.3900000000000003E-2</v>
      </c>
      <c r="V107" s="79">
        <f t="shared" ref="V107:V117" si="35">Q107-J107</f>
        <v>2.3999999999999994E-3</v>
      </c>
    </row>
    <row r="108" spans="1:28">
      <c r="A108" s="162">
        <v>93</v>
      </c>
      <c r="B108" s="131" t="s">
        <v>264</v>
      </c>
      <c r="C108" s="132" t="s">
        <v>98</v>
      </c>
      <c r="D108" s="2">
        <f>1909032.57*1598.642</f>
        <v>3051859645.7699404</v>
      </c>
      <c r="E108" s="3">
        <f>(D108/$D$135)</f>
        <v>1.8842306690084565E-3</v>
      </c>
      <c r="F108" s="2">
        <f>1.0393*1598.642</f>
        <v>1661.4686305999999</v>
      </c>
      <c r="G108" s="2">
        <f>1.0393*1598.642</f>
        <v>1661.4686305999999</v>
      </c>
      <c r="H108" s="58">
        <v>229</v>
      </c>
      <c r="I108" s="5">
        <v>1.4E-3</v>
      </c>
      <c r="J108" s="5">
        <v>3.9300000000000002E-2</v>
      </c>
      <c r="K108" s="2">
        <f>1944090.42*1629.645</f>
        <v>3168177232.5008998</v>
      </c>
      <c r="L108" s="3">
        <f t="shared" si="30"/>
        <v>1.9288954398570773E-3</v>
      </c>
      <c r="M108" s="2">
        <f>1.0406*1629.645</f>
        <v>1695.808587</v>
      </c>
      <c r="N108" s="2">
        <f>1.0406*1629.645</f>
        <v>1695.808587</v>
      </c>
      <c r="O108" s="58">
        <v>228</v>
      </c>
      <c r="P108" s="5">
        <v>1.2999999999999999E-3</v>
      </c>
      <c r="Q108" s="5">
        <v>4.0599999999999997E-2</v>
      </c>
      <c r="R108" s="77">
        <f>((K108-D108)/D108)</f>
        <v>3.8113675015226382E-2</v>
      </c>
      <c r="S108" s="77">
        <f t="shared" ref="S108:T111" si="36">((N108-G108)/G108)</f>
        <v>2.0668435002350338E-2</v>
      </c>
      <c r="T108" s="77">
        <f t="shared" si="36"/>
        <v>-4.3668122270742356E-3</v>
      </c>
      <c r="U108" s="77">
        <f>P108-I108</f>
        <v>-1.0000000000000005E-4</v>
      </c>
      <c r="V108" s="79">
        <f>Q108-J108</f>
        <v>1.2999999999999956E-3</v>
      </c>
    </row>
    <row r="109" spans="1:28">
      <c r="A109" s="162">
        <v>94</v>
      </c>
      <c r="B109" s="131" t="s">
        <v>269</v>
      </c>
      <c r="C109" s="132" t="s">
        <v>266</v>
      </c>
      <c r="D109" s="2">
        <f>383392.41*1598.642</f>
        <v>612907209.10721993</v>
      </c>
      <c r="E109" s="3">
        <f>(D109/$D$135)</f>
        <v>3.784114260486736E-4</v>
      </c>
      <c r="F109" s="2">
        <f>1.05*1598.642</f>
        <v>1678.5741</v>
      </c>
      <c r="G109" s="2">
        <f>1.05*1598.642</f>
        <v>1678.5741</v>
      </c>
      <c r="H109" s="58">
        <v>15</v>
      </c>
      <c r="I109" s="5">
        <v>0.53500000000000003</v>
      </c>
      <c r="J109" s="5">
        <v>5.3999999999999999E-2</v>
      </c>
      <c r="K109" s="2">
        <f>385202.93*1629.645</f>
        <v>627744028.85984993</v>
      </c>
      <c r="L109" s="3">
        <f t="shared" si="30"/>
        <v>3.8219218995821447E-4</v>
      </c>
      <c r="M109" s="2">
        <f>1.05*1629.645</f>
        <v>1711.12725</v>
      </c>
      <c r="N109" s="2">
        <f>1.05*1629.645</f>
        <v>1711.12725</v>
      </c>
      <c r="O109" s="58">
        <v>15</v>
      </c>
      <c r="P109" s="5">
        <v>-0.26600000000000001</v>
      </c>
      <c r="Q109" s="5">
        <v>5.2600000000000001E-2</v>
      </c>
      <c r="R109" s="77">
        <f>((K109-D109)/D109)</f>
        <v>2.4207285429456406E-2</v>
      </c>
      <c r="S109" s="77">
        <f t="shared" si="36"/>
        <v>1.9393335093160297E-2</v>
      </c>
      <c r="T109" s="77">
        <f t="shared" si="36"/>
        <v>0</v>
      </c>
      <c r="U109" s="77">
        <f>P109-I109</f>
        <v>-0.80100000000000005</v>
      </c>
      <c r="V109" s="79">
        <f>Q109-J109</f>
        <v>-1.3999999999999985E-3</v>
      </c>
    </row>
    <row r="110" spans="1:28">
      <c r="A110" s="157">
        <v>95</v>
      </c>
      <c r="B110" s="131" t="s">
        <v>240</v>
      </c>
      <c r="C110" s="132" t="s">
        <v>24</v>
      </c>
      <c r="D110" s="2">
        <f>474437.1*1598.642</f>
        <v>758455074.41820002</v>
      </c>
      <c r="E110" s="3">
        <v>0</v>
      </c>
      <c r="F110" s="2">
        <f>1.1615*1598.642</f>
        <v>1856.8226830000001</v>
      </c>
      <c r="G110" s="2">
        <f>1.1615*1598.642</f>
        <v>1856.8226830000001</v>
      </c>
      <c r="H110" s="58">
        <v>35</v>
      </c>
      <c r="I110" s="5">
        <v>2.7799999999999998E-4</v>
      </c>
      <c r="J110" s="5">
        <v>9.7000000000000003E-2</v>
      </c>
      <c r="K110" s="2">
        <f>480256.97*1629.645</f>
        <v>782648369.87564993</v>
      </c>
      <c r="L110" s="3">
        <f t="shared" si="30"/>
        <v>4.7650328907673805E-4</v>
      </c>
      <c r="M110" s="2">
        <f>1.1635*1629.645</f>
        <v>1896.0919575</v>
      </c>
      <c r="N110" s="2">
        <f>1.1635*1629.645</f>
        <v>1896.0919575</v>
      </c>
      <c r="O110" s="58">
        <v>40</v>
      </c>
      <c r="P110" s="5">
        <v>2.9799999999999998E-4</v>
      </c>
      <c r="Q110" s="5">
        <v>9.7600000000000006E-2</v>
      </c>
      <c r="R110" s="77">
        <f>((K110-D110)/D110)</f>
        <v>3.1898125905490501E-2</v>
      </c>
      <c r="S110" s="77">
        <f t="shared" si="36"/>
        <v>2.114864001798708E-2</v>
      </c>
      <c r="T110" s="77">
        <f t="shared" si="36"/>
        <v>0.14285714285714285</v>
      </c>
      <c r="U110" s="77">
        <f>P110-I110</f>
        <v>1.9999999999999998E-5</v>
      </c>
      <c r="V110" s="79">
        <f t="shared" si="35"/>
        <v>6.0000000000000331E-4</v>
      </c>
    </row>
    <row r="111" spans="1:28">
      <c r="A111" s="158">
        <v>96</v>
      </c>
      <c r="B111" s="131" t="s">
        <v>137</v>
      </c>
      <c r="C111" s="132" t="s">
        <v>63</v>
      </c>
      <c r="D111" s="2">
        <f>385492.34*1598.642</f>
        <v>616264245.40228009</v>
      </c>
      <c r="E111" s="3">
        <f t="shared" ref="E111:E117" si="37">(D111/$D$135)</f>
        <v>3.8048407403328661E-4</v>
      </c>
      <c r="F111" s="2">
        <f>105.66*1598.642</f>
        <v>168912.51371999999</v>
      </c>
      <c r="G111" s="2">
        <f>106.32*1598.642</f>
        <v>169967.61744</v>
      </c>
      <c r="H111" s="58">
        <v>43</v>
      </c>
      <c r="I111" s="5">
        <v>1.6999999999999999E-3</v>
      </c>
      <c r="J111" s="5">
        <v>5.74E-2</v>
      </c>
      <c r="K111" s="2">
        <f>381262.09*1629.645</f>
        <v>621321858.65805006</v>
      </c>
      <c r="L111" s="3">
        <f t="shared" si="30"/>
        <v>3.7828215150166665E-4</v>
      </c>
      <c r="M111" s="2">
        <f>105.87*1629.645</f>
        <v>172530.51615000001</v>
      </c>
      <c r="N111" s="2">
        <f>106.64*1629.645</f>
        <v>173785.34280000001</v>
      </c>
      <c r="O111" s="58">
        <v>43</v>
      </c>
      <c r="P111" s="5">
        <v>2.5000000000000001E-3</v>
      </c>
      <c r="Q111" s="5">
        <v>5.9900000000000002E-2</v>
      </c>
      <c r="R111" s="77">
        <f>((K111-D111)/D111)</f>
        <v>8.2068906211952945E-3</v>
      </c>
      <c r="S111" s="77">
        <f t="shared" si="36"/>
        <v>2.2461486590807218E-2</v>
      </c>
      <c r="T111" s="77">
        <f t="shared" si="36"/>
        <v>0</v>
      </c>
      <c r="U111" s="77">
        <f>P111-I111</f>
        <v>8.0000000000000015E-4</v>
      </c>
      <c r="V111" s="79">
        <f>Q111-J111</f>
        <v>2.5000000000000022E-3</v>
      </c>
    </row>
    <row r="112" spans="1:28">
      <c r="A112" s="162">
        <v>97</v>
      </c>
      <c r="B112" s="131" t="s">
        <v>130</v>
      </c>
      <c r="C112" s="132" t="s">
        <v>66</v>
      </c>
      <c r="D112" s="2">
        <v>4801735337.1366396</v>
      </c>
      <c r="E112" s="3">
        <f t="shared" si="37"/>
        <v>2.9646111017048241E-3</v>
      </c>
      <c r="F112" s="2">
        <v>174145.18871439999</v>
      </c>
      <c r="G112" s="2">
        <v>174145.18871439999</v>
      </c>
      <c r="H112" s="58">
        <v>50</v>
      </c>
      <c r="I112" s="5">
        <v>7.3480000000000004E-3</v>
      </c>
      <c r="J112" s="5">
        <v>6.7567000000000002E-2</v>
      </c>
      <c r="K112" s="2">
        <v>4903611892.5025501</v>
      </c>
      <c r="L112" s="3">
        <f t="shared" si="30"/>
        <v>2.9854878449494743E-3</v>
      </c>
      <c r="M112" s="2">
        <v>177797.854719</v>
      </c>
      <c r="N112" s="2">
        <v>177797.854719</v>
      </c>
      <c r="O112" s="58">
        <v>53</v>
      </c>
      <c r="P112" s="5">
        <v>1.255E-3</v>
      </c>
      <c r="Q112" s="5">
        <v>6.7959000000000006E-2</v>
      </c>
      <c r="R112" s="77">
        <f t="shared" si="31"/>
        <v>2.1216611956514315E-2</v>
      </c>
      <c r="S112" s="77">
        <f t="shared" si="32"/>
        <v>2.0974831584870342E-2</v>
      </c>
      <c r="T112" s="77">
        <f t="shared" si="33"/>
        <v>0.06</v>
      </c>
      <c r="U112" s="77">
        <f t="shared" si="34"/>
        <v>-6.0930000000000003E-3</v>
      </c>
      <c r="V112" s="79">
        <f t="shared" si="35"/>
        <v>3.9200000000000346E-4</v>
      </c>
      <c r="X112" s="104"/>
    </row>
    <row r="113" spans="1:24">
      <c r="A113" s="157">
        <v>98</v>
      </c>
      <c r="B113" s="131" t="s">
        <v>131</v>
      </c>
      <c r="C113" s="132" t="s">
        <v>26</v>
      </c>
      <c r="D113" s="2">
        <v>55894158654.900002</v>
      </c>
      <c r="E113" s="3">
        <f t="shared" si="37"/>
        <v>3.4509282922615188E-2</v>
      </c>
      <c r="F113" s="2">
        <v>208308.35</v>
      </c>
      <c r="G113" s="2">
        <v>208308.35</v>
      </c>
      <c r="H113" s="58">
        <v>2169</v>
      </c>
      <c r="I113" s="5">
        <v>1.5E-3</v>
      </c>
      <c r="J113" s="5">
        <v>5.16E-2</v>
      </c>
      <c r="K113" s="2">
        <v>55281517074.959999</v>
      </c>
      <c r="L113" s="3">
        <f t="shared" si="30"/>
        <v>3.3657291991236862E-2</v>
      </c>
      <c r="M113" s="2">
        <v>207896.39</v>
      </c>
      <c r="N113" s="2">
        <v>207896.39</v>
      </c>
      <c r="O113" s="58">
        <v>2182</v>
      </c>
      <c r="P113" s="5">
        <v>1.2999999999999999E-3</v>
      </c>
      <c r="Q113" s="5">
        <v>5.2900000000000003E-2</v>
      </c>
      <c r="R113" s="77">
        <f t="shared" si="31"/>
        <v>-1.0960744283182708E-2</v>
      </c>
      <c r="S113" s="77">
        <f t="shared" si="32"/>
        <v>-1.9776451592074529E-3</v>
      </c>
      <c r="T113" s="77">
        <f t="shared" si="33"/>
        <v>5.99354541263255E-3</v>
      </c>
      <c r="U113" s="77">
        <f t="shared" si="34"/>
        <v>-2.0000000000000009E-4</v>
      </c>
      <c r="V113" s="79">
        <f t="shared" si="35"/>
        <v>1.3000000000000025E-3</v>
      </c>
    </row>
    <row r="114" spans="1:24">
      <c r="A114" s="157">
        <v>99</v>
      </c>
      <c r="B114" s="159" t="s">
        <v>132</v>
      </c>
      <c r="C114" s="159" t="s">
        <v>26</v>
      </c>
      <c r="D114" s="2">
        <v>90035005900.639999</v>
      </c>
      <c r="E114" s="3">
        <f t="shared" si="37"/>
        <v>5.5587982113621676E-2</v>
      </c>
      <c r="F114" s="2">
        <v>190132.73</v>
      </c>
      <c r="G114" s="2">
        <v>190132.73</v>
      </c>
      <c r="H114" s="58">
        <v>496</v>
      </c>
      <c r="I114" s="5">
        <v>1.8E-3</v>
      </c>
      <c r="J114" s="5">
        <v>6.3100000000000003E-2</v>
      </c>
      <c r="K114" s="2">
        <v>90456628377.619995</v>
      </c>
      <c r="L114" s="3">
        <f t="shared" si="30"/>
        <v>5.5073111501626811E-2</v>
      </c>
      <c r="M114" s="2">
        <v>189780.35</v>
      </c>
      <c r="N114" s="2">
        <v>189780.35</v>
      </c>
      <c r="O114" s="58">
        <v>505</v>
      </c>
      <c r="P114" s="5">
        <v>1.4E-3</v>
      </c>
      <c r="Q114" s="5">
        <v>6.4600000000000005E-2</v>
      </c>
      <c r="R114" s="77">
        <f t="shared" si="31"/>
        <v>4.6828727644588151E-3</v>
      </c>
      <c r="S114" s="77">
        <f t="shared" si="32"/>
        <v>-1.8533368768228629E-3</v>
      </c>
      <c r="T114" s="77">
        <f t="shared" si="33"/>
        <v>1.8145161290322582E-2</v>
      </c>
      <c r="U114" s="77">
        <f t="shared" si="34"/>
        <v>-3.9999999999999996E-4</v>
      </c>
      <c r="V114" s="79">
        <f t="shared" si="35"/>
        <v>1.5000000000000013E-3</v>
      </c>
    </row>
    <row r="115" spans="1:24">
      <c r="A115" s="162">
        <v>100</v>
      </c>
      <c r="B115" s="131" t="s">
        <v>133</v>
      </c>
      <c r="C115" s="132" t="s">
        <v>30</v>
      </c>
      <c r="D115" s="2">
        <f>100199.3218*1598.642</f>
        <v>160182844.20099562</v>
      </c>
      <c r="E115" s="3">
        <f t="shared" si="37"/>
        <v>9.8897545341202655E-5</v>
      </c>
      <c r="F115" s="2">
        <f>114.5452844*1598.642</f>
        <v>183116.90254378482</v>
      </c>
      <c r="G115" s="2">
        <f>114.5452844*1598.642</f>
        <v>183116.90254378482</v>
      </c>
      <c r="H115" s="58">
        <v>4</v>
      </c>
      <c r="I115" s="5">
        <v>2.5999999999999999E-3</v>
      </c>
      <c r="J115" s="5">
        <v>-4.0000000000000002E-4</v>
      </c>
      <c r="K115" s="2">
        <f>100431.0953*1629.645</f>
        <v>163667032.30016851</v>
      </c>
      <c r="L115" s="3">
        <f t="shared" si="30"/>
        <v>9.9646127438877852E-5</v>
      </c>
      <c r="M115" s="2">
        <f>114.8102419*1629.645</f>
        <v>187099.93666112548</v>
      </c>
      <c r="N115" s="2">
        <f>114.8102419*1629.645</f>
        <v>187099.93666112548</v>
      </c>
      <c r="O115" s="58">
        <v>4</v>
      </c>
      <c r="P115" s="5">
        <v>2.3E-3</v>
      </c>
      <c r="Q115" s="5">
        <v>1.9E-3</v>
      </c>
      <c r="R115" s="77">
        <f t="shared" si="31"/>
        <v>2.175131872924525E-2</v>
      </c>
      <c r="S115" s="77">
        <f t="shared" si="32"/>
        <v>2.1751318758727288E-2</v>
      </c>
      <c r="T115" s="77">
        <f t="shared" si="33"/>
        <v>0</v>
      </c>
      <c r="U115" s="77">
        <f t="shared" si="34"/>
        <v>-2.9999999999999992E-4</v>
      </c>
      <c r="V115" s="79">
        <f t="shared" si="35"/>
        <v>2.3E-3</v>
      </c>
    </row>
    <row r="116" spans="1:24">
      <c r="A116" s="157">
        <v>101</v>
      </c>
      <c r="B116" s="131" t="s">
        <v>134</v>
      </c>
      <c r="C116" s="132" t="s">
        <v>33</v>
      </c>
      <c r="D116" s="2">
        <f>10014969.19*1598.642</f>
        <v>16010350375.839979</v>
      </c>
      <c r="E116" s="3">
        <f t="shared" si="37"/>
        <v>9.8848560226359981E-3</v>
      </c>
      <c r="F116" s="2">
        <f>1.36*1598.642</f>
        <v>2174.1531200000004</v>
      </c>
      <c r="G116" s="2">
        <f>1.36*1598.642</f>
        <v>2174.1531200000004</v>
      </c>
      <c r="H116" s="59">
        <v>110</v>
      </c>
      <c r="I116" s="12">
        <v>8.0000000000000004E-4</v>
      </c>
      <c r="J116" s="12">
        <v>4.6899999999999997E-2</v>
      </c>
      <c r="K116" s="2">
        <f>10089730.55*1629.645</f>
        <v>16442678942.154751</v>
      </c>
      <c r="L116" s="3">
        <f t="shared" si="30"/>
        <v>1.0010869374728795E-2</v>
      </c>
      <c r="M116" s="2">
        <f>1.37*1629.645</f>
        <v>2232.6136500000002</v>
      </c>
      <c r="N116" s="2">
        <f>1.37*1629.645</f>
        <v>2232.6136500000002</v>
      </c>
      <c r="O116" s="59">
        <v>111</v>
      </c>
      <c r="P116" s="12">
        <v>8.9999999999999998E-4</v>
      </c>
      <c r="Q116" s="12">
        <v>4.7E-2</v>
      </c>
      <c r="R116" s="77">
        <f t="shared" si="31"/>
        <v>2.7003067151307715E-2</v>
      </c>
      <c r="S116" s="77">
        <f t="shared" si="32"/>
        <v>2.6888874321786417E-2</v>
      </c>
      <c r="T116" s="77">
        <f t="shared" si="33"/>
        <v>9.0909090909090905E-3</v>
      </c>
      <c r="U116" s="77">
        <f t="shared" si="34"/>
        <v>9.9999999999999937E-5</v>
      </c>
      <c r="V116" s="79">
        <f t="shared" si="35"/>
        <v>1.0000000000000286E-4</v>
      </c>
    </row>
    <row r="117" spans="1:24">
      <c r="A117" s="157">
        <v>102</v>
      </c>
      <c r="B117" s="131" t="s">
        <v>135</v>
      </c>
      <c r="C117" s="132" t="s">
        <v>77</v>
      </c>
      <c r="D117" s="2">
        <f>15822235.92*1598.642</f>
        <v>25294090875.62064</v>
      </c>
      <c r="E117" s="3">
        <f t="shared" si="37"/>
        <v>1.5616675504258803E-2</v>
      </c>
      <c r="F117" s="2">
        <f>104.41*1598.642</f>
        <v>166914.21122</v>
      </c>
      <c r="G117" s="2">
        <f>104.41*1598.642</f>
        <v>166914.21122</v>
      </c>
      <c r="H117" s="58">
        <v>385</v>
      </c>
      <c r="I117" s="5">
        <v>1.6000000000000001E-3</v>
      </c>
      <c r="J117" s="5">
        <v>6.6799999999999998E-2</v>
      </c>
      <c r="K117" s="2">
        <f>15843680.81*1692.645</f>
        <v>26817727104.642452</v>
      </c>
      <c r="L117" s="3">
        <f t="shared" si="30"/>
        <v>1.6327556106652149E-2</v>
      </c>
      <c r="M117" s="2">
        <f>104.59*1629.645</f>
        <v>170444.57055</v>
      </c>
      <c r="N117" s="2">
        <f>104.59*1629.645</f>
        <v>170444.57055</v>
      </c>
      <c r="O117" s="58">
        <v>387</v>
      </c>
      <c r="P117" s="5">
        <v>1.6999999999999999E-3</v>
      </c>
      <c r="Q117" s="5">
        <v>6.8599999999999994E-2</v>
      </c>
      <c r="R117" s="77">
        <f t="shared" si="31"/>
        <v>6.0236844902393713E-2</v>
      </c>
      <c r="S117" s="77">
        <f t="shared" si="32"/>
        <v>2.1150741474893611E-2</v>
      </c>
      <c r="T117" s="77">
        <f t="shared" si="33"/>
        <v>5.1948051948051948E-3</v>
      </c>
      <c r="U117" s="77">
        <f t="shared" si="34"/>
        <v>9.9999999999999829E-5</v>
      </c>
      <c r="V117" s="79">
        <f t="shared" si="35"/>
        <v>1.799999999999996E-3</v>
      </c>
    </row>
    <row r="118" spans="1:24">
      <c r="A118" s="157">
        <v>103</v>
      </c>
      <c r="B118" s="131" t="s">
        <v>136</v>
      </c>
      <c r="C118" s="132" t="s">
        <v>37</v>
      </c>
      <c r="D118" s="2">
        <f>1919076.24*1598.642</f>
        <v>3067915878.4660802</v>
      </c>
      <c r="E118" s="3">
        <f t="shared" ref="E118:E119" si="38">(D118/$D$135)</f>
        <v>1.8941438529639298E-3</v>
      </c>
      <c r="F118" s="2">
        <f>135.62*1598.642</f>
        <v>216807.82804000002</v>
      </c>
      <c r="G118" s="2">
        <f>139.55*1598.642</f>
        <v>223090.49110000001</v>
      </c>
      <c r="H118" s="58">
        <v>47</v>
      </c>
      <c r="I118" s="5">
        <v>2E-3</v>
      </c>
      <c r="J118" s="5">
        <v>3.04E-2</v>
      </c>
      <c r="K118" s="2">
        <f>1843228.48*1629.645</f>
        <v>3003808076.2895999</v>
      </c>
      <c r="L118" s="3">
        <f t="shared" ref="L118:L119" si="39">(K118/$K$135)</f>
        <v>1.8288218351935977E-3</v>
      </c>
      <c r="M118" s="2">
        <f>131.5*1629.645</f>
        <v>214298.3175</v>
      </c>
      <c r="N118" s="2">
        <f>135.51*1629.645</f>
        <v>220833.19394999999</v>
      </c>
      <c r="O118" s="58">
        <v>46</v>
      </c>
      <c r="P118" s="5">
        <v>-3.1E-2</v>
      </c>
      <c r="Q118" s="5">
        <v>-1E-4</v>
      </c>
      <c r="R118" s="77">
        <f t="shared" ref="R118:R119" si="40">((K118-D118)/D118)</f>
        <v>-2.0896205996539057E-2</v>
      </c>
      <c r="S118" s="77">
        <f t="shared" ref="S118:S119" si="41">((N118-G118)/G118)</f>
        <v>-1.0118302841460855E-2</v>
      </c>
      <c r="T118" s="77">
        <f t="shared" ref="T118:T119" si="42">((O118-H118)/H118)</f>
        <v>-2.1276595744680851E-2</v>
      </c>
      <c r="U118" s="77">
        <f t="shared" ref="U118:U119" si="43">P118-I118</f>
        <v>-3.3000000000000002E-2</v>
      </c>
      <c r="V118" s="79">
        <f t="shared" ref="V118:V119" si="44">Q118-J118</f>
        <v>-3.0499999999999999E-2</v>
      </c>
    </row>
    <row r="119" spans="1:24">
      <c r="A119" s="157">
        <v>104</v>
      </c>
      <c r="B119" s="131" t="s">
        <v>280</v>
      </c>
      <c r="C119" s="132" t="s">
        <v>44</v>
      </c>
      <c r="D119" s="4">
        <f>142529638.75*1598.56</f>
        <v>227842179320.19998</v>
      </c>
      <c r="E119" s="3">
        <f t="shared" si="38"/>
        <v>0.14067069649283859</v>
      </c>
      <c r="F119" s="2">
        <f>122.0205*1598.56</f>
        <v>195057.09047999998</v>
      </c>
      <c r="G119" s="2">
        <f>122.0205*1598.56</f>
        <v>195057.09047999998</v>
      </c>
      <c r="H119" s="58">
        <v>3281</v>
      </c>
      <c r="I119" s="5">
        <v>5.5300000000000002E-2</v>
      </c>
      <c r="J119" s="5">
        <v>5.33E-2</v>
      </c>
      <c r="K119" s="4">
        <f>142517593.03*1593.93</f>
        <v>227163067058.30792</v>
      </c>
      <c r="L119" s="3">
        <f t="shared" si="39"/>
        <v>0.13830470077800269</v>
      </c>
      <c r="M119" s="2">
        <f>122.1465*1593.93</f>
        <v>194692.970745</v>
      </c>
      <c r="N119" s="2">
        <f>122.1465*1593.93</f>
        <v>194692.970745</v>
      </c>
      <c r="O119" s="58">
        <v>3287</v>
      </c>
      <c r="P119" s="5">
        <v>5.5300000000000002E-2</v>
      </c>
      <c r="Q119" s="5">
        <v>5.3199999999999997E-2</v>
      </c>
      <c r="R119" s="77">
        <f t="shared" si="40"/>
        <v>-2.9806257292582469E-3</v>
      </c>
      <c r="S119" s="77">
        <f t="shared" si="41"/>
        <v>-1.8667341653869299E-3</v>
      </c>
      <c r="T119" s="77">
        <f t="shared" si="42"/>
        <v>1.828710758914965E-3</v>
      </c>
      <c r="U119" s="77">
        <f t="shared" si="43"/>
        <v>0</v>
      </c>
      <c r="V119" s="79">
        <f t="shared" si="44"/>
        <v>-1.0000000000000286E-4</v>
      </c>
    </row>
    <row r="120" spans="1:24" ht="6" customHeight="1">
      <c r="A120" s="166"/>
      <c r="B120" s="166"/>
      <c r="C120" s="166"/>
      <c r="D120" s="166"/>
      <c r="E120" s="166"/>
      <c r="F120" s="166"/>
      <c r="G120" s="166"/>
      <c r="H120" s="166"/>
      <c r="I120" s="166"/>
      <c r="J120" s="166"/>
      <c r="K120" s="166"/>
      <c r="L120" s="166"/>
      <c r="M120" s="166"/>
      <c r="N120" s="166"/>
      <c r="O120" s="166"/>
      <c r="P120" s="166"/>
      <c r="Q120" s="166"/>
      <c r="R120" s="166"/>
      <c r="S120" s="166"/>
      <c r="T120" s="166"/>
      <c r="U120" s="166"/>
      <c r="V120" s="166"/>
    </row>
    <row r="121" spans="1:24">
      <c r="A121" s="165" t="s">
        <v>228</v>
      </c>
      <c r="B121" s="165"/>
      <c r="C121" s="165"/>
      <c r="D121" s="165"/>
      <c r="E121" s="165"/>
      <c r="F121" s="165"/>
      <c r="G121" s="165"/>
      <c r="H121" s="165"/>
      <c r="I121" s="165"/>
      <c r="J121" s="165"/>
      <c r="K121" s="165"/>
      <c r="L121" s="165"/>
      <c r="M121" s="165"/>
      <c r="N121" s="165"/>
      <c r="O121" s="165"/>
      <c r="P121" s="165"/>
      <c r="Q121" s="165"/>
      <c r="R121" s="165"/>
      <c r="S121" s="165"/>
      <c r="T121" s="165"/>
      <c r="U121" s="165"/>
      <c r="V121" s="165"/>
    </row>
    <row r="122" spans="1:24">
      <c r="A122" s="162">
        <v>105</v>
      </c>
      <c r="B122" s="131" t="s">
        <v>138</v>
      </c>
      <c r="C122" s="132" t="s">
        <v>96</v>
      </c>
      <c r="D122" s="4">
        <f>1151439.02*1598.642</f>
        <v>1840738777.8108401</v>
      </c>
      <c r="E122" s="3">
        <f t="shared" ref="E122:E132" si="45">(D122/$D$135)</f>
        <v>1.1364796751356847E-3</v>
      </c>
      <c r="F122" s="2">
        <f>106.59*1598.642</f>
        <v>170399.25078</v>
      </c>
      <c r="G122" s="2">
        <f>106.59*1598.642</f>
        <v>170399.25078</v>
      </c>
      <c r="H122" s="58">
        <v>21</v>
      </c>
      <c r="I122" s="5">
        <v>4.4260000000000002E-3</v>
      </c>
      <c r="J122" s="5">
        <v>7.0400000000000004E-2</v>
      </c>
      <c r="K122" s="4">
        <f>1143232.8*1629.645</f>
        <v>1863063616.3559999</v>
      </c>
      <c r="L122" s="3">
        <f t="shared" ref="L122:L134" si="46">(K122/$K$135)</f>
        <v>1.1342973104178139E-3</v>
      </c>
      <c r="M122" s="2">
        <f>105.84*1629.645</f>
        <v>172481.6268</v>
      </c>
      <c r="N122" s="2">
        <f>105.84*1629.645</f>
        <v>172481.6268</v>
      </c>
      <c r="O122" s="58">
        <v>21</v>
      </c>
      <c r="P122" s="5">
        <v>-7.306E-3</v>
      </c>
      <c r="Q122" s="5">
        <v>6.2399999999999997E-2</v>
      </c>
      <c r="R122" s="77">
        <f>((K122-D122)/D122)</f>
        <v>1.2128194839090842E-2</v>
      </c>
      <c r="S122" s="77">
        <f>((N122-G122)/G122)</f>
        <v>1.2220570281077829E-2</v>
      </c>
      <c r="T122" s="77">
        <f>((O122-H122)/H122)</f>
        <v>0</v>
      </c>
      <c r="U122" s="77">
        <f>P122-I122</f>
        <v>-1.1731999999999999E-2</v>
      </c>
      <c r="V122" s="79">
        <f>Q122-J122</f>
        <v>-8.0000000000000071E-3</v>
      </c>
    </row>
    <row r="123" spans="1:24">
      <c r="A123" s="157">
        <v>106</v>
      </c>
      <c r="B123" s="132" t="s">
        <v>139</v>
      </c>
      <c r="C123" s="132" t="s">
        <v>22</v>
      </c>
      <c r="D123" s="2">
        <f>9393030.46*1598.642</f>
        <v>15016093000.635323</v>
      </c>
      <c r="E123" s="3">
        <f t="shared" si="45"/>
        <v>9.2709974391178718E-3</v>
      </c>
      <c r="F123" s="4">
        <f>131.34*1598.642</f>
        <v>209965.64028000002</v>
      </c>
      <c r="G123" s="4">
        <f>131.34*1598.642</f>
        <v>209965.64028000002</v>
      </c>
      <c r="H123" s="58">
        <v>464</v>
      </c>
      <c r="I123" s="5">
        <v>5.0000000000000001E-4</v>
      </c>
      <c r="J123" s="5">
        <v>4.41E-2</v>
      </c>
      <c r="K123" s="2">
        <f>10033658.15*1629.645</f>
        <v>16351300835.85675</v>
      </c>
      <c r="L123" s="3">
        <f t="shared" si="46"/>
        <v>9.9552352357251978E-3</v>
      </c>
      <c r="M123" s="4">
        <f>131.47*1629.645</f>
        <v>214249.42814999999</v>
      </c>
      <c r="N123" s="4">
        <f>131.47*1629.645</f>
        <v>214249.42814999999</v>
      </c>
      <c r="O123" s="58">
        <v>467</v>
      </c>
      <c r="P123" s="5">
        <v>5.0000000000000001E-4</v>
      </c>
      <c r="Q123" s="5">
        <v>4.07E-2</v>
      </c>
      <c r="R123" s="77">
        <f t="shared" ref="R123:R135" si="47">((K123-D123)/D123)</f>
        <v>8.8918458027992767E-2</v>
      </c>
      <c r="S123" s="77">
        <f t="shared" ref="S123:S135" si="48">((N123-G123)/G123)</f>
        <v>2.0402328039422636E-2</v>
      </c>
      <c r="T123" s="77">
        <f t="shared" ref="T123:T135" si="49">((O123-H123)/H123)</f>
        <v>6.4655172413793103E-3</v>
      </c>
      <c r="U123" s="77">
        <f t="shared" ref="U123:U135" si="50">P123-I123</f>
        <v>0</v>
      </c>
      <c r="V123" s="79">
        <f t="shared" ref="V123:V135" si="51">Q123-J123</f>
        <v>-3.4000000000000002E-3</v>
      </c>
    </row>
    <row r="124" spans="1:24">
      <c r="A124" s="160">
        <v>107</v>
      </c>
      <c r="B124" s="131" t="s">
        <v>140</v>
      </c>
      <c r="C124" s="132" t="s">
        <v>57</v>
      </c>
      <c r="D124" s="4">
        <v>15996830436.51</v>
      </c>
      <c r="E124" s="3">
        <f t="shared" si="45"/>
        <v>9.876508756612808E-3</v>
      </c>
      <c r="F124" s="4">
        <v>181473.38</v>
      </c>
      <c r="G124" s="4">
        <v>181473.38</v>
      </c>
      <c r="H124" s="58">
        <v>617</v>
      </c>
      <c r="I124" s="5">
        <v>1.5E-3</v>
      </c>
      <c r="J124" s="5">
        <v>6.4100000000000004E-2</v>
      </c>
      <c r="K124" s="4">
        <v>16423894127.98</v>
      </c>
      <c r="L124" s="3">
        <f t="shared" si="46"/>
        <v>9.9994325327401185E-3</v>
      </c>
      <c r="M124" s="4">
        <v>184727.24</v>
      </c>
      <c r="N124" s="4">
        <v>184727.24</v>
      </c>
      <c r="O124" s="58">
        <v>617</v>
      </c>
      <c r="P124" s="5">
        <v>1.1000000000000001E-3</v>
      </c>
      <c r="Q124" s="5">
        <v>6.3399999999999998E-2</v>
      </c>
      <c r="R124" s="77">
        <f t="shared" si="47"/>
        <v>2.6696769285951813E-2</v>
      </c>
      <c r="S124" s="77">
        <f t="shared" si="48"/>
        <v>1.7930233073302465E-2</v>
      </c>
      <c r="T124" s="77">
        <f t="shared" si="49"/>
        <v>0</v>
      </c>
      <c r="U124" s="77">
        <f t="shared" si="50"/>
        <v>-3.9999999999999996E-4</v>
      </c>
      <c r="V124" s="79">
        <f t="shared" si="51"/>
        <v>-7.0000000000000617E-4</v>
      </c>
    </row>
    <row r="125" spans="1:24">
      <c r="A125" s="157">
        <v>108</v>
      </c>
      <c r="B125" s="131" t="s">
        <v>141</v>
      </c>
      <c r="C125" s="132" t="s">
        <v>55</v>
      </c>
      <c r="D125" s="4">
        <v>7016529755.7332039</v>
      </c>
      <c r="E125" s="3">
        <f t="shared" si="45"/>
        <v>4.3320342644484582E-3</v>
      </c>
      <c r="F125" s="4">
        <v>1985.5984920158755</v>
      </c>
      <c r="G125" s="4">
        <v>1985.5984920158755</v>
      </c>
      <c r="H125" s="58">
        <v>210</v>
      </c>
      <c r="I125" s="5">
        <v>5.6570765819713639E-2</v>
      </c>
      <c r="J125" s="5">
        <v>5.329050379015092E-2</v>
      </c>
      <c r="K125" s="4">
        <v>7069324268.2125425</v>
      </c>
      <c r="L125" s="3">
        <f t="shared" si="46"/>
        <v>4.3040481460256408E-3</v>
      </c>
      <c r="M125" s="4">
        <v>2008.5669630361328</v>
      </c>
      <c r="N125" s="4">
        <v>2008.5669630361328</v>
      </c>
      <c r="O125" s="58">
        <v>215</v>
      </c>
      <c r="P125" s="5">
        <v>4.6510423446789802E-2</v>
      </c>
      <c r="Q125" s="5">
        <v>5.3146738449703419E-2</v>
      </c>
      <c r="R125" s="77">
        <f t="shared" si="47"/>
        <v>7.5243053642294142E-3</v>
      </c>
      <c r="S125" s="77">
        <f t="shared" si="48"/>
        <v>1.1567530451203461E-2</v>
      </c>
      <c r="T125" s="77">
        <f t="shared" si="49"/>
        <v>2.3809523809523808E-2</v>
      </c>
      <c r="U125" s="77">
        <f t="shared" si="50"/>
        <v>-1.0060342372923838E-2</v>
      </c>
      <c r="V125" s="79">
        <f t="shared" si="51"/>
        <v>-1.4376534044750061E-4</v>
      </c>
    </row>
    <row r="126" spans="1:24">
      <c r="A126" s="157">
        <v>109</v>
      </c>
      <c r="B126" s="131" t="s">
        <v>275</v>
      </c>
      <c r="C126" s="132" t="s">
        <v>31</v>
      </c>
      <c r="D126" s="4">
        <v>72258101702.681595</v>
      </c>
      <c r="E126" s="3">
        <f t="shared" si="45"/>
        <v>4.4612448511922281E-2</v>
      </c>
      <c r="F126" s="4">
        <f>100*1598.56</f>
        <v>159856</v>
      </c>
      <c r="G126" s="4">
        <f>100*1598.56</f>
        <v>159856</v>
      </c>
      <c r="H126" s="58">
        <v>1637</v>
      </c>
      <c r="I126" s="5">
        <v>5.4800000000000001E-2</v>
      </c>
      <c r="J126" s="5">
        <v>5.8063799999999999E-2</v>
      </c>
      <c r="K126" s="4">
        <v>73128843569.065598</v>
      </c>
      <c r="L126" s="3">
        <f t="shared" si="46"/>
        <v>4.452335918437357E-2</v>
      </c>
      <c r="M126" s="4">
        <f>100*1598.56</f>
        <v>159856</v>
      </c>
      <c r="N126" s="4">
        <f>100*1598.56</f>
        <v>159856</v>
      </c>
      <c r="O126" s="58">
        <v>1649</v>
      </c>
      <c r="P126" s="5">
        <v>5.0799999999999998E-2</v>
      </c>
      <c r="Q126" s="5">
        <v>5.7548299999999997E-2</v>
      </c>
      <c r="R126" s="77">
        <f>((K126-D126)/D126)</f>
        <v>1.2050439270696871E-2</v>
      </c>
      <c r="S126" s="77">
        <f>((N126-G126)/G126)</f>
        <v>0</v>
      </c>
      <c r="T126" s="77">
        <f>((O126-H126)/H126)</f>
        <v>7.3304825901038487E-3</v>
      </c>
      <c r="U126" s="77">
        <f>P126-I126</f>
        <v>-4.0000000000000036E-3</v>
      </c>
      <c r="V126" s="79">
        <f>Q126-J126</f>
        <v>-5.1550000000000207E-4</v>
      </c>
    </row>
    <row r="127" spans="1:24" ht="15.75">
      <c r="A127" s="158">
        <v>110</v>
      </c>
      <c r="B127" s="131" t="s">
        <v>250</v>
      </c>
      <c r="C127" s="132" t="s">
        <v>113</v>
      </c>
      <c r="D127" s="4">
        <f>1014762.18*1598.642</f>
        <v>1622241440.9595602</v>
      </c>
      <c r="E127" s="3">
        <f t="shared" si="45"/>
        <v>1.0015785227309557E-3</v>
      </c>
      <c r="F127" s="4">
        <f>1.077649*1598.642</f>
        <v>1722.7749526580001</v>
      </c>
      <c r="G127" s="4">
        <f>1.099463*1598.642</f>
        <v>1757.6477292460002</v>
      </c>
      <c r="H127" s="58">
        <v>38</v>
      </c>
      <c r="I127" s="5">
        <v>7.9000000000000008E-3</v>
      </c>
      <c r="J127" s="5">
        <v>8.1699999999999995E-2</v>
      </c>
      <c r="K127" s="4">
        <f>1012007.51*1629.645</f>
        <v>1649212978.63395</v>
      </c>
      <c r="L127" s="3">
        <f t="shared" si="46"/>
        <v>1.0040976752203304E-3</v>
      </c>
      <c r="M127" s="4">
        <f>1.074189*1629.645</f>
        <v>1750.546732905</v>
      </c>
      <c r="N127" s="4">
        <f>1.09655*1629.645</f>
        <v>1786.9872247499998</v>
      </c>
      <c r="O127" s="58">
        <v>37</v>
      </c>
      <c r="P127" s="5">
        <v>1.6999999999999999E-3</v>
      </c>
      <c r="Q127" s="5">
        <v>0.10299999999999999</v>
      </c>
      <c r="R127" s="77">
        <f t="shared" si="47"/>
        <v>1.6626093375124298E-2</v>
      </c>
      <c r="S127" s="77">
        <f t="shared" si="48"/>
        <v>1.6692477688112019E-2</v>
      </c>
      <c r="T127" s="77">
        <f t="shared" si="49"/>
        <v>-2.6315789473684209E-2</v>
      </c>
      <c r="U127" s="77">
        <f t="shared" si="50"/>
        <v>-6.2000000000000006E-3</v>
      </c>
      <c r="V127" s="79">
        <f t="shared" si="51"/>
        <v>2.1299999999999999E-2</v>
      </c>
      <c r="X127" s="113"/>
    </row>
    <row r="128" spans="1:24" ht="15.75">
      <c r="A128" s="157">
        <v>111</v>
      </c>
      <c r="B128" s="131" t="s">
        <v>256</v>
      </c>
      <c r="C128" s="132" t="s">
        <v>35</v>
      </c>
      <c r="D128" s="2">
        <f>1739665.13*1598.642</f>
        <v>2781101742.7534599</v>
      </c>
      <c r="E128" s="3">
        <f t="shared" si="45"/>
        <v>1.7170636285951805E-3</v>
      </c>
      <c r="F128" s="4">
        <f>10.36*1598.642</f>
        <v>16561.931120000001</v>
      </c>
      <c r="G128" s="4">
        <f>10.36*1598.642</f>
        <v>16561.931120000001</v>
      </c>
      <c r="H128" s="58">
        <v>64</v>
      </c>
      <c r="I128" s="5">
        <v>7.6399999999999996E-2</v>
      </c>
      <c r="J128" s="5">
        <v>9.5399999999999999E-2</v>
      </c>
      <c r="K128" s="2">
        <f>1810656.42*1629.645</f>
        <v>2950727181.5709</v>
      </c>
      <c r="L128" s="3">
        <f t="shared" si="46"/>
        <v>1.7965043579022118E-3</v>
      </c>
      <c r="M128" s="4">
        <f>10.36555*1629.645</f>
        <v>16892.166729750003</v>
      </c>
      <c r="N128" s="4">
        <f>10.36555*1629.645</f>
        <v>16892.166729750003</v>
      </c>
      <c r="O128" s="58">
        <v>64</v>
      </c>
      <c r="P128" s="5">
        <v>7.6399999999999996E-2</v>
      </c>
      <c r="Q128" s="5">
        <v>9.5299999999999996E-2</v>
      </c>
      <c r="R128" s="77">
        <f>((K128-D128)/D128)</f>
        <v>6.0992173069332058E-2</v>
      </c>
      <c r="S128" s="77">
        <f>((N128-G128)/G128)</f>
        <v>1.9939438665531741E-2</v>
      </c>
      <c r="T128" s="77">
        <f>((O128-H128)/H128)</f>
        <v>0</v>
      </c>
      <c r="U128" s="77">
        <f>P128-I128</f>
        <v>0</v>
      </c>
      <c r="V128" s="79">
        <f>Q128-J128</f>
        <v>-1.0000000000000286E-4</v>
      </c>
      <c r="X128" s="113"/>
    </row>
    <row r="129" spans="1:24" ht="15.75">
      <c r="A129" s="162">
        <v>112</v>
      </c>
      <c r="B129" s="132" t="s">
        <v>142</v>
      </c>
      <c r="C129" s="180" t="s">
        <v>39</v>
      </c>
      <c r="D129" s="4">
        <v>20087417256</v>
      </c>
      <c r="E129" s="3">
        <f t="shared" si="45"/>
        <v>1.2402053845230505E-2</v>
      </c>
      <c r="F129" s="4">
        <f>1.0439*1598.642</f>
        <v>1668.8223838000001</v>
      </c>
      <c r="G129" s="4">
        <f>1.0439*1598.642</f>
        <v>1668.8223838000001</v>
      </c>
      <c r="H129" s="58">
        <v>371</v>
      </c>
      <c r="I129" s="5">
        <v>9.1000000000000004E-3</v>
      </c>
      <c r="J129" s="5">
        <v>7.9200000000000007E-2</v>
      </c>
      <c r="K129" s="4">
        <v>20687295089</v>
      </c>
      <c r="L129" s="3">
        <f t="shared" si="46"/>
        <v>1.2595137907941669E-2</v>
      </c>
      <c r="M129" s="4">
        <f>1.0464*1629.645</f>
        <v>1705.260528</v>
      </c>
      <c r="N129" s="4">
        <f>1.0464*1629.645</f>
        <v>1705.260528</v>
      </c>
      <c r="O129" s="58">
        <v>371</v>
      </c>
      <c r="P129" s="5">
        <v>8.6E-3</v>
      </c>
      <c r="Q129" s="5">
        <v>8.1600000000000006E-2</v>
      </c>
      <c r="R129" s="77">
        <f t="shared" si="47"/>
        <v>2.9863362987634451E-2</v>
      </c>
      <c r="S129" s="77">
        <f t="shared" si="48"/>
        <v>2.1834644929095596E-2</v>
      </c>
      <c r="T129" s="77">
        <f t="shared" si="49"/>
        <v>0</v>
      </c>
      <c r="U129" s="77">
        <f t="shared" si="50"/>
        <v>-5.0000000000000044E-4</v>
      </c>
      <c r="V129" s="79">
        <f t="shared" si="51"/>
        <v>2.3999999999999994E-3</v>
      </c>
      <c r="X129" s="113"/>
    </row>
    <row r="130" spans="1:24">
      <c r="A130" s="162">
        <v>113</v>
      </c>
      <c r="B130" s="131" t="s">
        <v>143</v>
      </c>
      <c r="C130" s="132" t="s">
        <v>79</v>
      </c>
      <c r="D130" s="2">
        <f>327497.09*1602.85</f>
        <v>524928710.70649999</v>
      </c>
      <c r="E130" s="3">
        <f t="shared" si="45"/>
        <v>3.2409314010465332E-4</v>
      </c>
      <c r="F130" s="4">
        <f>1.08*1602.85</f>
        <v>1731.078</v>
      </c>
      <c r="G130" s="4">
        <f>1.08*1602.85</f>
        <v>1731.078</v>
      </c>
      <c r="H130" s="58">
        <v>3</v>
      </c>
      <c r="I130" s="5">
        <v>7.8840000000000004E-3</v>
      </c>
      <c r="J130" s="5">
        <v>4.1814999999999998E-2</v>
      </c>
      <c r="K130" s="2">
        <f>325889.65*1619.95</f>
        <v>527924938.51750004</v>
      </c>
      <c r="L130" s="3">
        <f t="shared" si="46"/>
        <v>3.2141888908449647E-4</v>
      </c>
      <c r="M130" s="4">
        <f>1.07*1619.95</f>
        <v>1733.3465000000001</v>
      </c>
      <c r="N130" s="4">
        <f>1.07*1619.95</f>
        <v>1733.3465000000001</v>
      </c>
      <c r="O130" s="58">
        <v>3</v>
      </c>
      <c r="P130" s="5">
        <v>-4.908E-3</v>
      </c>
      <c r="Q130" s="5">
        <v>3.6700999999999998E-2</v>
      </c>
      <c r="R130" s="77">
        <f t="shared" si="47"/>
        <v>5.7078756598537639E-3</v>
      </c>
      <c r="S130" s="77">
        <f t="shared" si="48"/>
        <v>1.3104551036984648E-3</v>
      </c>
      <c r="T130" s="77">
        <f t="shared" si="49"/>
        <v>0</v>
      </c>
      <c r="U130" s="77">
        <f t="shared" si="50"/>
        <v>-1.2792000000000001E-2</v>
      </c>
      <c r="V130" s="79">
        <f t="shared" si="51"/>
        <v>-5.1140000000000005E-3</v>
      </c>
    </row>
    <row r="131" spans="1:24">
      <c r="A131" s="160">
        <v>114</v>
      </c>
      <c r="B131" s="131" t="s">
        <v>144</v>
      </c>
      <c r="C131" s="132" t="s">
        <v>41</v>
      </c>
      <c r="D131" s="2">
        <v>931973190539.79004</v>
      </c>
      <c r="E131" s="3">
        <f t="shared" si="45"/>
        <v>0.57540407231463864</v>
      </c>
      <c r="F131" s="4">
        <v>2463.9</v>
      </c>
      <c r="G131" s="4">
        <v>2463.9</v>
      </c>
      <c r="H131" s="58">
        <v>8205</v>
      </c>
      <c r="I131" s="5">
        <v>1.5E-3</v>
      </c>
      <c r="J131" s="5">
        <v>4.9500000000000002E-2</v>
      </c>
      <c r="K131" s="2">
        <v>949318093710.89001</v>
      </c>
      <c r="L131" s="3">
        <f t="shared" si="46"/>
        <v>0.57797755856205224</v>
      </c>
      <c r="M131" s="4">
        <v>2493.75</v>
      </c>
      <c r="N131" s="4">
        <v>2493.75</v>
      </c>
      <c r="O131" s="58">
        <v>8279</v>
      </c>
      <c r="P131" s="5">
        <v>1.4E-3</v>
      </c>
      <c r="Q131" s="5">
        <v>5.0999999999999997E-2</v>
      </c>
      <c r="R131" s="77">
        <f t="shared" si="47"/>
        <v>1.8610946481254435E-2</v>
      </c>
      <c r="S131" s="77">
        <f t="shared" si="48"/>
        <v>1.2114939729696786E-2</v>
      </c>
      <c r="T131" s="77">
        <f t="shared" si="49"/>
        <v>9.0188909201706271E-3</v>
      </c>
      <c r="U131" s="77">
        <f t="shared" si="50"/>
        <v>-1.0000000000000005E-4</v>
      </c>
      <c r="V131" s="79">
        <f t="shared" si="51"/>
        <v>1.4999999999999944E-3</v>
      </c>
    </row>
    <row r="132" spans="1:24" ht="16.5" customHeight="1">
      <c r="A132" s="157">
        <v>115</v>
      </c>
      <c r="B132" s="131" t="s">
        <v>145</v>
      </c>
      <c r="C132" s="132" t="s">
        <v>44</v>
      </c>
      <c r="D132" s="2">
        <f>61749342.34*1598.56</f>
        <v>98710028691.030396</v>
      </c>
      <c r="E132" s="3">
        <f t="shared" si="45"/>
        <v>6.0943976783513223E-2</v>
      </c>
      <c r="F132" s="4">
        <f>1.1318*1598.56</f>
        <v>1809.2502079999997</v>
      </c>
      <c r="G132" s="4">
        <f>1.1318*1598.56</f>
        <v>1809.2502079999997</v>
      </c>
      <c r="H132" s="58">
        <v>374</v>
      </c>
      <c r="I132" s="5">
        <v>0.1017</v>
      </c>
      <c r="J132" s="5">
        <v>8.7300000000000003E-2</v>
      </c>
      <c r="K132" s="2">
        <f>62220138*1593.93</f>
        <v>99174544562.339996</v>
      </c>
      <c r="L132" s="3">
        <f t="shared" si="46"/>
        <v>6.0380879198855167E-2</v>
      </c>
      <c r="M132" s="4">
        <f>1.1339*1593.93</f>
        <v>1807.357227</v>
      </c>
      <c r="N132" s="4">
        <f>1.1339*1593.93</f>
        <v>1807.357227</v>
      </c>
      <c r="O132" s="58">
        <v>381</v>
      </c>
      <c r="P132" s="5">
        <v>0.10150000000000001</v>
      </c>
      <c r="Q132" s="5">
        <v>8.7599999999999997E-2</v>
      </c>
      <c r="R132" s="77">
        <f t="shared" si="47"/>
        <v>4.705862995578387E-3</v>
      </c>
      <c r="S132" s="77">
        <f t="shared" si="48"/>
        <v>-1.046279277255021E-3</v>
      </c>
      <c r="T132" s="77">
        <f t="shared" si="49"/>
        <v>1.871657754010695E-2</v>
      </c>
      <c r="U132" s="77">
        <f t="shared" si="50"/>
        <v>-1.9999999999999185E-4</v>
      </c>
      <c r="V132" s="79">
        <f t="shared" si="51"/>
        <v>2.9999999999999472E-4</v>
      </c>
    </row>
    <row r="133" spans="1:24" ht="16.5" customHeight="1">
      <c r="A133" s="157">
        <v>116</v>
      </c>
      <c r="B133" s="131" t="s">
        <v>278</v>
      </c>
      <c r="C133" s="132" t="s">
        <v>276</v>
      </c>
      <c r="D133" s="4">
        <v>101760870.34312341</v>
      </c>
      <c r="E133" s="3">
        <v>0</v>
      </c>
      <c r="F133" s="4">
        <v>161823.73599999998</v>
      </c>
      <c r="G133" s="4">
        <v>161823.73599999998</v>
      </c>
      <c r="H133" s="58">
        <v>5</v>
      </c>
      <c r="I133" s="5">
        <v>5.0000000000000001E-4</v>
      </c>
      <c r="J133" s="5">
        <v>2.7900000000000001E-2</v>
      </c>
      <c r="K133" s="4">
        <v>611878358.15515769</v>
      </c>
      <c r="L133" s="3">
        <f t="shared" si="46"/>
        <v>3.725326230758411E-4</v>
      </c>
      <c r="M133" s="4">
        <v>163712.147</v>
      </c>
      <c r="N133" s="4">
        <v>163712.147</v>
      </c>
      <c r="O133" s="58">
        <v>16</v>
      </c>
      <c r="P133" s="5">
        <v>9.9049128367689754E-4</v>
      </c>
      <c r="Q133" s="5">
        <v>2.9169924812029919E-2</v>
      </c>
      <c r="R133" s="77">
        <f>((K133-D133)/D133)</f>
        <v>5.0129041358627289</v>
      </c>
      <c r="S133" s="77">
        <f>((N133-G133)/G133)</f>
        <v>1.1669555076889476E-2</v>
      </c>
      <c r="T133" s="77">
        <f>((O133-H133)/H133)</f>
        <v>2.2000000000000002</v>
      </c>
      <c r="U133" s="77">
        <f>P133-I133</f>
        <v>4.9049128367689753E-4</v>
      </c>
      <c r="V133" s="79">
        <f>Q133-J133</f>
        <v>1.2699248120299177E-3</v>
      </c>
    </row>
    <row r="134" spans="1:24">
      <c r="A134" s="157">
        <v>117</v>
      </c>
      <c r="B134" s="131" t="s">
        <v>260</v>
      </c>
      <c r="C134" s="132" t="s">
        <v>258</v>
      </c>
      <c r="D134" s="4">
        <f>911082.09*1598.642</f>
        <v>1456494094.52178</v>
      </c>
      <c r="E134" s="3">
        <f>(D134/$D$135)</f>
        <v>8.9924543087409065E-4</v>
      </c>
      <c r="F134" s="4">
        <f>1.2034*1598.642</f>
        <v>1923.8057828000001</v>
      </c>
      <c r="G134" s="4">
        <f>1.2034*1598.642</f>
        <v>1923.8057828000001</v>
      </c>
      <c r="H134" s="58">
        <v>51</v>
      </c>
      <c r="I134" s="5">
        <v>1.9314999999999999E-2</v>
      </c>
      <c r="J134" s="5">
        <v>9.1703000000000007E-2</v>
      </c>
      <c r="K134" s="4">
        <f>977896.13*1629.645</f>
        <v>1593623538.77385</v>
      </c>
      <c r="L134" s="3">
        <f t="shared" si="46"/>
        <v>9.7025290922985136E-4</v>
      </c>
      <c r="M134" s="4">
        <f>1.2143*1629.645</f>
        <v>1978.8779235</v>
      </c>
      <c r="N134" s="4">
        <f>1.2143*1629.645</f>
        <v>1978.8779235</v>
      </c>
      <c r="O134" s="58">
        <v>53</v>
      </c>
      <c r="P134" s="5">
        <v>9.0449999999999992E-3</v>
      </c>
      <c r="Q134" s="5">
        <v>0.101578</v>
      </c>
      <c r="R134" s="77">
        <f t="shared" si="47"/>
        <v>9.4150360628200508E-2</v>
      </c>
      <c r="S134" s="77">
        <f t="shared" si="48"/>
        <v>2.8626663456560154E-2</v>
      </c>
      <c r="T134" s="77">
        <f t="shared" si="49"/>
        <v>3.9215686274509803E-2</v>
      </c>
      <c r="U134" s="77">
        <f t="shared" si="50"/>
        <v>-1.027E-2</v>
      </c>
      <c r="V134" s="79">
        <f t="shared" si="51"/>
        <v>9.8749999999999949E-3</v>
      </c>
    </row>
    <row r="135" spans="1:24">
      <c r="A135" s="71"/>
      <c r="B135" s="129"/>
      <c r="C135" s="64" t="s">
        <v>45</v>
      </c>
      <c r="D135" s="57">
        <f>SUM(D105:D134)</f>
        <v>1619684731793.4424</v>
      </c>
      <c r="E135" s="96">
        <f>(D135/$D$205)</f>
        <v>0.48405522296674791</v>
      </c>
      <c r="F135" s="30"/>
      <c r="G135" s="11"/>
      <c r="H135" s="63">
        <f>SUM(H105:H134)</f>
        <v>19482</v>
      </c>
      <c r="I135" s="33"/>
      <c r="J135" s="33"/>
      <c r="K135" s="57">
        <f>SUM(K105:K134)</f>
        <v>1642482618309.0815</v>
      </c>
      <c r="L135" s="96">
        <f>(K135/$K$205)</f>
        <v>0.48297617771327778</v>
      </c>
      <c r="M135" s="30"/>
      <c r="N135" s="11"/>
      <c r="O135" s="63">
        <f>SUM(O105:O134)</f>
        <v>19631</v>
      </c>
      <c r="P135" s="33"/>
      <c r="Q135" s="33"/>
      <c r="R135" s="77">
        <f t="shared" si="47"/>
        <v>1.4075508688901171E-2</v>
      </c>
      <c r="S135" s="77" t="e">
        <f t="shared" si="48"/>
        <v>#DIV/0!</v>
      </c>
      <c r="T135" s="77">
        <f t="shared" si="49"/>
        <v>7.6480854121753414E-3</v>
      </c>
      <c r="U135" s="77">
        <f t="shared" si="50"/>
        <v>0</v>
      </c>
      <c r="V135" s="79">
        <f t="shared" si="51"/>
        <v>0</v>
      </c>
    </row>
    <row r="136" spans="1:24" ht="8.25" customHeight="1">
      <c r="A136" s="166"/>
      <c r="B136" s="166"/>
      <c r="C136" s="166"/>
      <c r="D136" s="166"/>
      <c r="E136" s="166"/>
      <c r="F136" s="166"/>
      <c r="G136" s="166"/>
      <c r="H136" s="166"/>
      <c r="I136" s="166"/>
      <c r="J136" s="166"/>
      <c r="K136" s="166"/>
      <c r="L136" s="166"/>
      <c r="M136" s="166"/>
      <c r="N136" s="166"/>
      <c r="O136" s="166"/>
      <c r="P136" s="166"/>
      <c r="Q136" s="166"/>
      <c r="R136" s="166"/>
      <c r="S136" s="166"/>
      <c r="T136" s="166"/>
      <c r="U136" s="166"/>
      <c r="V136" s="166"/>
    </row>
    <row r="137" spans="1:24" ht="15.75">
      <c r="A137" s="164" t="s">
        <v>146</v>
      </c>
      <c r="B137" s="164"/>
      <c r="C137" s="164"/>
      <c r="D137" s="164"/>
      <c r="E137" s="164"/>
      <c r="F137" s="164"/>
      <c r="G137" s="164"/>
      <c r="H137" s="164"/>
      <c r="I137" s="164"/>
      <c r="J137" s="164"/>
      <c r="K137" s="164"/>
      <c r="L137" s="164"/>
      <c r="M137" s="164"/>
      <c r="N137" s="164"/>
      <c r="O137" s="164"/>
      <c r="P137" s="164"/>
      <c r="Q137" s="164"/>
      <c r="R137" s="164"/>
      <c r="S137" s="164"/>
      <c r="T137" s="164"/>
      <c r="U137" s="164"/>
      <c r="V137" s="164"/>
    </row>
    <row r="138" spans="1:24">
      <c r="A138" s="157">
        <v>118</v>
      </c>
      <c r="B138" s="131" t="s">
        <v>242</v>
      </c>
      <c r="C138" s="132" t="s">
        <v>243</v>
      </c>
      <c r="D138" s="2">
        <v>2391503627.0886087</v>
      </c>
      <c r="E138" s="3">
        <f>(D138/$D$143)</f>
        <v>2.4649162266249372E-2</v>
      </c>
      <c r="F138" s="14">
        <v>112.7</v>
      </c>
      <c r="G138" s="14">
        <v>112.7</v>
      </c>
      <c r="H138" s="58">
        <v>7</v>
      </c>
      <c r="I138" s="5">
        <v>2.684940071041364E-3</v>
      </c>
      <c r="J138" s="5">
        <v>0.1026</v>
      </c>
      <c r="K138" s="2">
        <v>2398145692.4899998</v>
      </c>
      <c r="L138" s="3">
        <f>(K138/$K$143)</f>
        <v>2.4688255872724128E-2</v>
      </c>
      <c r="M138" s="14">
        <v>113.01</v>
      </c>
      <c r="N138" s="14">
        <v>113.01</v>
      </c>
      <c r="O138" s="58">
        <v>7</v>
      </c>
      <c r="P138" s="5">
        <v>2.7506654835847133E-3</v>
      </c>
      <c r="Q138" s="5">
        <v>0.1056</v>
      </c>
      <c r="R138" s="77">
        <f t="shared" ref="R138:R143" si="52">((K138-D138)/D138)</f>
        <v>2.7773595348784853E-3</v>
      </c>
      <c r="S138" s="77">
        <f t="shared" ref="S138:T143" si="53">((N138-G138)/G138)</f>
        <v>2.7506654835847584E-3</v>
      </c>
      <c r="T138" s="77">
        <f t="shared" si="53"/>
        <v>0</v>
      </c>
      <c r="U138" s="77">
        <f t="shared" ref="U138:V143" si="54">P138-I138</f>
        <v>6.5725412543349293E-5</v>
      </c>
      <c r="V138" s="79">
        <f t="shared" si="54"/>
        <v>3.0000000000000027E-3</v>
      </c>
    </row>
    <row r="139" spans="1:24">
      <c r="A139" s="162">
        <v>119</v>
      </c>
      <c r="B139" s="131" t="s">
        <v>147</v>
      </c>
      <c r="C139" s="132" t="s">
        <v>39</v>
      </c>
      <c r="D139" s="2">
        <v>53749983529</v>
      </c>
      <c r="E139" s="3">
        <f>(D139/$D$143)</f>
        <v>0.55399960543963789</v>
      </c>
      <c r="F139" s="14">
        <v>102.5</v>
      </c>
      <c r="G139" s="14">
        <v>102.5</v>
      </c>
      <c r="H139" s="58">
        <v>666</v>
      </c>
      <c r="I139" s="5">
        <v>0</v>
      </c>
      <c r="J139" s="5">
        <v>7.6999999999999999E-2</v>
      </c>
      <c r="K139" s="2">
        <v>53749983529</v>
      </c>
      <c r="L139" s="3">
        <f>(K139/$K$143)</f>
        <v>0.55334142153008203</v>
      </c>
      <c r="M139" s="14">
        <v>102.5</v>
      </c>
      <c r="N139" s="14">
        <v>102.5</v>
      </c>
      <c r="O139" s="58">
        <v>666</v>
      </c>
      <c r="P139" s="5">
        <v>0</v>
      </c>
      <c r="Q139" s="5">
        <v>7.6999999999999999E-2</v>
      </c>
      <c r="R139" s="77">
        <f t="shared" si="52"/>
        <v>0</v>
      </c>
      <c r="S139" s="77">
        <f t="shared" si="53"/>
        <v>0</v>
      </c>
      <c r="T139" s="77">
        <f t="shared" si="53"/>
        <v>0</v>
      </c>
      <c r="U139" s="77">
        <f t="shared" si="54"/>
        <v>0</v>
      </c>
      <c r="V139" s="79">
        <f t="shared" si="54"/>
        <v>0</v>
      </c>
    </row>
    <row r="140" spans="1:24" ht="15.75" customHeight="1">
      <c r="A140" s="162">
        <v>120</v>
      </c>
      <c r="B140" s="131" t="s">
        <v>148</v>
      </c>
      <c r="C140" s="132" t="s">
        <v>119</v>
      </c>
      <c r="D140" s="2">
        <v>2481005609.1422834</v>
      </c>
      <c r="E140" s="3">
        <f>(D140/$D$143)</f>
        <v>2.5571656739518354E-2</v>
      </c>
      <c r="F140" s="14">
        <v>134.9</v>
      </c>
      <c r="G140" s="14">
        <v>134.9</v>
      </c>
      <c r="H140" s="58">
        <v>2835</v>
      </c>
      <c r="I140" s="5">
        <v>0.18007380073800919</v>
      </c>
      <c r="J140" s="5">
        <v>7.4681350033749427E-2</v>
      </c>
      <c r="K140" s="2">
        <v>2488653316.2969728</v>
      </c>
      <c r="L140" s="3">
        <f>(K140/$K$143)</f>
        <v>2.5620007176231776E-2</v>
      </c>
      <c r="M140" s="14">
        <v>148.35</v>
      </c>
      <c r="N140" s="14">
        <v>148.35</v>
      </c>
      <c r="O140" s="58">
        <v>2835</v>
      </c>
      <c r="P140" s="5">
        <v>0.20076506676289907</v>
      </c>
      <c r="Q140" s="5">
        <v>6.8896632777652511E-2</v>
      </c>
      <c r="R140" s="77">
        <f t="shared" si="52"/>
        <v>3.0825029683561361E-3</v>
      </c>
      <c r="S140" s="77">
        <f t="shared" si="53"/>
        <v>9.9703484062268255E-2</v>
      </c>
      <c r="T140" s="77">
        <f t="shared" si="53"/>
        <v>0</v>
      </c>
      <c r="U140" s="77">
        <f t="shared" si="54"/>
        <v>2.0691266024889882E-2</v>
      </c>
      <c r="V140" s="79">
        <f t="shared" si="54"/>
        <v>-5.7847172560969162E-3</v>
      </c>
    </row>
    <row r="141" spans="1:24">
      <c r="A141" s="158">
        <v>121</v>
      </c>
      <c r="B141" s="131" t="s">
        <v>149</v>
      </c>
      <c r="C141" s="132" t="s">
        <v>119</v>
      </c>
      <c r="D141" s="2">
        <v>10120909350.26</v>
      </c>
      <c r="E141" s="3">
        <f>(D141/$D$143)</f>
        <v>0.10431593497529575</v>
      </c>
      <c r="F141" s="14">
        <v>36.6</v>
      </c>
      <c r="G141" s="14">
        <v>36.6</v>
      </c>
      <c r="H141" s="58">
        <v>5261</v>
      </c>
      <c r="I141" s="5">
        <v>3.6749755252653782E-2</v>
      </c>
      <c r="J141" s="5">
        <v>0.19290123456790123</v>
      </c>
      <c r="K141" s="2">
        <v>10134214743.950001</v>
      </c>
      <c r="L141" s="3">
        <f>(K141/$K$143)</f>
        <v>0.1043289769471812</v>
      </c>
      <c r="M141" s="14">
        <v>36.6</v>
      </c>
      <c r="N141" s="14">
        <v>36.6</v>
      </c>
      <c r="O141" s="58">
        <v>5261</v>
      </c>
      <c r="P141" s="5">
        <v>6.4266900790167072E-2</v>
      </c>
      <c r="Q141" s="5">
        <v>0.19264705882352914</v>
      </c>
      <c r="R141" s="77">
        <f t="shared" si="52"/>
        <v>1.3146440926929878E-3</v>
      </c>
      <c r="S141" s="77">
        <f t="shared" si="53"/>
        <v>0</v>
      </c>
      <c r="T141" s="77">
        <f t="shared" si="53"/>
        <v>0</v>
      </c>
      <c r="U141" s="77">
        <f t="shared" si="54"/>
        <v>2.7517145537513291E-2</v>
      </c>
      <c r="V141" s="79">
        <f t="shared" si="54"/>
        <v>-2.5417574437208712E-4</v>
      </c>
    </row>
    <row r="142" spans="1:24">
      <c r="A142" s="160">
        <v>122</v>
      </c>
      <c r="B142" s="131" t="s">
        <v>150</v>
      </c>
      <c r="C142" s="132" t="s">
        <v>41</v>
      </c>
      <c r="D142" s="2">
        <v>28278297902.41</v>
      </c>
      <c r="E142" s="3">
        <f>(D142/$D$143)</f>
        <v>0.29146364057929863</v>
      </c>
      <c r="F142" s="14">
        <v>4.7</v>
      </c>
      <c r="G142" s="14">
        <v>4.7</v>
      </c>
      <c r="H142" s="58">
        <v>208263</v>
      </c>
      <c r="I142" s="5">
        <v>2.1700000000000001E-2</v>
      </c>
      <c r="J142" s="5">
        <v>-0.2656</v>
      </c>
      <c r="K142" s="2">
        <v>28366107293.540001</v>
      </c>
      <c r="L142" s="3">
        <f>(K142/$K$143)</f>
        <v>0.29202133847378081</v>
      </c>
      <c r="M142" s="14">
        <v>4.8</v>
      </c>
      <c r="N142" s="14">
        <v>4.8</v>
      </c>
      <c r="O142" s="58">
        <v>208255</v>
      </c>
      <c r="P142" s="5">
        <v>2.1299999999999999E-2</v>
      </c>
      <c r="Q142" s="5">
        <v>-0.25</v>
      </c>
      <c r="R142" s="77">
        <f t="shared" si="52"/>
        <v>3.1051865792289276E-3</v>
      </c>
      <c r="S142" s="77">
        <f t="shared" si="53"/>
        <v>2.1276595744680774E-2</v>
      </c>
      <c r="T142" s="77">
        <f t="shared" si="53"/>
        <v>-3.841296821807042E-5</v>
      </c>
      <c r="U142" s="77">
        <f t="shared" si="54"/>
        <v>-4.0000000000000105E-4</v>
      </c>
      <c r="V142" s="79">
        <f t="shared" si="54"/>
        <v>1.5600000000000003E-2</v>
      </c>
    </row>
    <row r="143" spans="1:24">
      <c r="A143" s="115"/>
      <c r="B143" s="130"/>
      <c r="C143" s="68" t="s">
        <v>45</v>
      </c>
      <c r="D143" s="56">
        <f>SUM(D138:D142)</f>
        <v>97021700017.900894</v>
      </c>
      <c r="E143" s="96">
        <f>(D143/$D$205)</f>
        <v>2.8995680278331614E-2</v>
      </c>
      <c r="F143" s="30"/>
      <c r="G143" s="34"/>
      <c r="H143" s="63">
        <f>SUM(H138:H142)</f>
        <v>217032</v>
      </c>
      <c r="I143" s="35"/>
      <c r="J143" s="35"/>
      <c r="K143" s="56">
        <f>SUM(K138:K142)</f>
        <v>97137104575.276978</v>
      </c>
      <c r="L143" s="96">
        <f>(K143/$K$205)</f>
        <v>2.8563411849192425E-2</v>
      </c>
      <c r="M143" s="30"/>
      <c r="N143" s="34"/>
      <c r="O143" s="63">
        <f>SUM(O138:O142)</f>
        <v>217024</v>
      </c>
      <c r="P143" s="35"/>
      <c r="Q143" s="35"/>
      <c r="R143" s="77">
        <f t="shared" si="52"/>
        <v>1.1894716064013594E-3</v>
      </c>
      <c r="S143" s="77" t="e">
        <f t="shared" si="53"/>
        <v>#DIV/0!</v>
      </c>
      <c r="T143" s="77">
        <f t="shared" si="53"/>
        <v>-3.686092373474879E-5</v>
      </c>
      <c r="U143" s="77">
        <f t="shared" si="54"/>
        <v>0</v>
      </c>
      <c r="V143" s="79">
        <f t="shared" si="54"/>
        <v>0</v>
      </c>
    </row>
    <row r="144" spans="1:24" ht="7.5" customHeight="1">
      <c r="A144" s="166"/>
      <c r="B144" s="166"/>
      <c r="C144" s="166"/>
      <c r="D144" s="166"/>
      <c r="E144" s="166"/>
      <c r="F144" s="166"/>
      <c r="G144" s="166"/>
      <c r="H144" s="166"/>
      <c r="I144" s="166"/>
      <c r="J144" s="166"/>
      <c r="K144" s="166"/>
      <c r="L144" s="166"/>
      <c r="M144" s="166"/>
      <c r="N144" s="166"/>
      <c r="O144" s="166"/>
      <c r="P144" s="166"/>
      <c r="Q144" s="166"/>
      <c r="R144" s="166"/>
      <c r="S144" s="166"/>
      <c r="T144" s="166"/>
      <c r="U144" s="166"/>
      <c r="V144" s="166"/>
    </row>
    <row r="145" spans="1:24" ht="15" customHeight="1">
      <c r="A145" s="164" t="s">
        <v>151</v>
      </c>
      <c r="B145" s="164"/>
      <c r="C145" s="164"/>
      <c r="D145" s="164"/>
      <c r="E145" s="164"/>
      <c r="F145" s="164"/>
      <c r="G145" s="164"/>
      <c r="H145" s="164"/>
      <c r="I145" s="164"/>
      <c r="J145" s="164"/>
      <c r="K145" s="164"/>
      <c r="L145" s="164"/>
      <c r="M145" s="164"/>
      <c r="N145" s="164"/>
      <c r="O145" s="164"/>
      <c r="P145" s="164"/>
      <c r="Q145" s="164"/>
      <c r="R145" s="164"/>
      <c r="S145" s="164"/>
      <c r="T145" s="164"/>
      <c r="U145" s="164"/>
      <c r="V145" s="164"/>
    </row>
    <row r="146" spans="1:24">
      <c r="A146" s="157">
        <v>123</v>
      </c>
      <c r="B146" s="131" t="s">
        <v>152</v>
      </c>
      <c r="C146" s="132" t="s">
        <v>49</v>
      </c>
      <c r="D146" s="4">
        <v>242459474.22999999</v>
      </c>
      <c r="E146" s="3">
        <f t="shared" ref="E146:E174" si="55">(D146/$D$175)</f>
        <v>4.7972054393056887E-3</v>
      </c>
      <c r="F146" s="4">
        <v>5.42</v>
      </c>
      <c r="G146" s="4">
        <v>5.5</v>
      </c>
      <c r="H146" s="60">
        <v>11835</v>
      </c>
      <c r="I146" s="6">
        <v>-0.16591600000000001</v>
      </c>
      <c r="J146" s="6">
        <v>4.5564E-2</v>
      </c>
      <c r="K146" s="4">
        <v>242727088.06</v>
      </c>
      <c r="L146" s="16">
        <f t="shared" ref="L146:L174" si="56">(K146/$K$175)</f>
        <v>4.8199926604257821E-3</v>
      </c>
      <c r="M146" s="4">
        <v>5.43</v>
      </c>
      <c r="N146" s="4">
        <v>5.51</v>
      </c>
      <c r="O146" s="60">
        <v>11835</v>
      </c>
      <c r="P146" s="6">
        <v>1.2130000000000001E-3</v>
      </c>
      <c r="Q146" s="6">
        <v>7.9423999999999995E-2</v>
      </c>
      <c r="R146" s="77">
        <f>((K146-D146)/D146)</f>
        <v>1.1037466399277571E-3</v>
      </c>
      <c r="S146" s="77">
        <f>((N146-G146)/G146)</f>
        <v>1.8181818181817794E-3</v>
      </c>
      <c r="T146" s="77">
        <f>((O146-H146)/H146)</f>
        <v>0</v>
      </c>
      <c r="U146" s="77">
        <f>P146-I146</f>
        <v>0.167129</v>
      </c>
      <c r="V146" s="79">
        <f>Q146-J146</f>
        <v>3.3859999999999994E-2</v>
      </c>
    </row>
    <row r="147" spans="1:24">
      <c r="A147" s="157">
        <v>124</v>
      </c>
      <c r="B147" s="131" t="s">
        <v>252</v>
      </c>
      <c r="C147" s="131" t="s">
        <v>251</v>
      </c>
      <c r="D147" s="4">
        <v>616743096.25542212</v>
      </c>
      <c r="E147" s="3">
        <f t="shared" si="55"/>
        <v>1.2202630338149369E-2</v>
      </c>
      <c r="F147" s="4">
        <v>1176.4265634499702</v>
      </c>
      <c r="G147" s="4">
        <v>1187.3025926690786</v>
      </c>
      <c r="H147" s="60">
        <v>169</v>
      </c>
      <c r="I147" s="6">
        <v>-4.8095015078470768E-3</v>
      </c>
      <c r="J147" s="6">
        <v>4.9984177342720523E-2</v>
      </c>
      <c r="K147" s="4">
        <v>612395302.33740473</v>
      </c>
      <c r="L147" s="16">
        <f t="shared" si="56"/>
        <v>1.2160739397227368E-2</v>
      </c>
      <c r="M147" s="4">
        <v>1168.1800657306758</v>
      </c>
      <c r="N147" s="4">
        <v>1178.9020007457052</v>
      </c>
      <c r="O147" s="60">
        <v>169</v>
      </c>
      <c r="P147" s="6">
        <v>-7.0496028969196274E-3</v>
      </c>
      <c r="Q147" s="6">
        <v>4.2582205844405509E-2</v>
      </c>
      <c r="R147" s="77">
        <f>((K147-D147)/D147)</f>
        <v>-7.0496028969195997E-3</v>
      </c>
      <c r="S147" s="77">
        <f>((N147-G147)/G147)</f>
        <v>-7.075358864069143E-3</v>
      </c>
      <c r="T147" s="77">
        <f>((O147-H147)/H147)</f>
        <v>0</v>
      </c>
      <c r="U147" s="77">
        <f>P147-I147</f>
        <v>-2.2401013890725506E-3</v>
      </c>
      <c r="V147" s="79">
        <f>Q147-J147</f>
        <v>-7.4019714983150145E-3</v>
      </c>
    </row>
    <row r="148" spans="1:24">
      <c r="A148" s="162">
        <v>125</v>
      </c>
      <c r="B148" s="131" t="s">
        <v>153</v>
      </c>
      <c r="C148" s="132" t="s">
        <v>20</v>
      </c>
      <c r="D148" s="4">
        <v>6379120192.4700003</v>
      </c>
      <c r="E148" s="3">
        <f t="shared" si="55"/>
        <v>0.12621470116804945</v>
      </c>
      <c r="F148" s="4">
        <v>740.8193</v>
      </c>
      <c r="G148" s="4">
        <v>763.15560000000005</v>
      </c>
      <c r="H148" s="60">
        <v>21319</v>
      </c>
      <c r="I148" s="6">
        <v>0.29249999999999998</v>
      </c>
      <c r="J148" s="6">
        <v>0.17810000000000001</v>
      </c>
      <c r="K148" s="4">
        <v>6377806014.3199997</v>
      </c>
      <c r="L148" s="16">
        <f t="shared" si="56"/>
        <v>0.12664832106024734</v>
      </c>
      <c r="M148" s="4">
        <v>740.81110000000001</v>
      </c>
      <c r="N148" s="4">
        <v>763.14710000000002</v>
      </c>
      <c r="O148" s="60">
        <v>21317</v>
      </c>
      <c r="P148" s="6">
        <v>-5.9999999999999995E-4</v>
      </c>
      <c r="Q148" s="6">
        <v>0.1731</v>
      </c>
      <c r="R148" s="77">
        <f t="shared" ref="R148:R175" si="57">((K148-D148)/D148)</f>
        <v>-2.0601244534502515E-4</v>
      </c>
      <c r="S148" s="77">
        <f t="shared" ref="S148:S175" si="58">((N148-G148)/G148)</f>
        <v>-1.1137964525224443E-5</v>
      </c>
      <c r="T148" s="77">
        <f t="shared" ref="T148:T175" si="59">((O148-H148)/H148)</f>
        <v>-9.3813030629954496E-5</v>
      </c>
      <c r="U148" s="77">
        <f t="shared" ref="U148:U175" si="60">P148-I148</f>
        <v>-0.29309999999999997</v>
      </c>
      <c r="V148" s="79">
        <f t="shared" ref="V148:V175" si="61">Q148-J148</f>
        <v>-5.0000000000000044E-3</v>
      </c>
    </row>
    <row r="149" spans="1:24">
      <c r="A149" s="160">
        <v>126</v>
      </c>
      <c r="B149" s="131" t="s">
        <v>154</v>
      </c>
      <c r="C149" s="132" t="s">
        <v>90</v>
      </c>
      <c r="D149" s="4">
        <v>3651754003.6700001</v>
      </c>
      <c r="E149" s="3">
        <f t="shared" si="55"/>
        <v>7.2252132959729432E-2</v>
      </c>
      <c r="F149" s="4">
        <v>20.658999999999999</v>
      </c>
      <c r="G149" s="4">
        <v>20.901700000000002</v>
      </c>
      <c r="H149" s="58">
        <v>6217</v>
      </c>
      <c r="I149" s="5">
        <v>9.7000000000000003E-3</v>
      </c>
      <c r="J149" s="5">
        <v>0.1201</v>
      </c>
      <c r="K149" s="4">
        <v>3586038127.5599999</v>
      </c>
      <c r="L149" s="16">
        <f t="shared" si="56"/>
        <v>7.1210335826109333E-2</v>
      </c>
      <c r="M149" s="4">
        <v>20.503599999999999</v>
      </c>
      <c r="N149" s="4">
        <v>20.745799999999999</v>
      </c>
      <c r="O149" s="58">
        <v>6211</v>
      </c>
      <c r="P149" s="5">
        <v>1.2999999999999999E-3</v>
      </c>
      <c r="Q149" s="5">
        <v>0.11169999999999999</v>
      </c>
      <c r="R149" s="77">
        <f t="shared" si="57"/>
        <v>-1.7995701803559579E-2</v>
      </c>
      <c r="S149" s="77">
        <f t="shared" si="58"/>
        <v>-7.4587234531163773E-3</v>
      </c>
      <c r="T149" s="77">
        <f t="shared" si="59"/>
        <v>-9.6509570532411131E-4</v>
      </c>
      <c r="U149" s="77">
        <f t="shared" si="60"/>
        <v>-8.4000000000000012E-3</v>
      </c>
      <c r="V149" s="79">
        <f t="shared" si="61"/>
        <v>-8.4000000000000047E-3</v>
      </c>
    </row>
    <row r="150" spans="1:24">
      <c r="A150" s="162">
        <v>127</v>
      </c>
      <c r="B150" s="131" t="s">
        <v>155</v>
      </c>
      <c r="C150" s="132" t="s">
        <v>100</v>
      </c>
      <c r="D150" s="2">
        <v>1768084871.1616058</v>
      </c>
      <c r="E150" s="3">
        <f t="shared" si="55"/>
        <v>3.4982614674172526E-2</v>
      </c>
      <c r="F150" s="4">
        <v>4.1580000000000004</v>
      </c>
      <c r="G150" s="4">
        <v>4.2672999999999996</v>
      </c>
      <c r="H150" s="58">
        <v>2748</v>
      </c>
      <c r="I150" s="5">
        <v>3.4521999999999999</v>
      </c>
      <c r="J150" s="5">
        <v>0.51380000000000003</v>
      </c>
      <c r="K150" s="2">
        <v>1717525399.9803581</v>
      </c>
      <c r="L150" s="16">
        <f t="shared" si="56"/>
        <v>3.4106040195867299E-2</v>
      </c>
      <c r="M150" s="4">
        <v>3.9489000000000001</v>
      </c>
      <c r="N150" s="4">
        <v>4.0434999999999999</v>
      </c>
      <c r="O150" s="58">
        <v>2747</v>
      </c>
      <c r="P150" s="5">
        <v>-2.7421000000000002</v>
      </c>
      <c r="Q150" s="5">
        <v>0.39650000000000002</v>
      </c>
      <c r="R150" s="77">
        <f t="shared" si="57"/>
        <v>-2.8595613256976109E-2</v>
      </c>
      <c r="S150" s="77">
        <f t="shared" si="58"/>
        <v>-5.2445340144822203E-2</v>
      </c>
      <c r="T150" s="77">
        <f t="shared" si="59"/>
        <v>-3.63901018922853E-4</v>
      </c>
      <c r="U150" s="77">
        <f t="shared" si="60"/>
        <v>-6.1943000000000001</v>
      </c>
      <c r="V150" s="79">
        <f t="shared" si="61"/>
        <v>-0.11730000000000002</v>
      </c>
    </row>
    <row r="151" spans="1:24">
      <c r="A151" s="157">
        <v>128</v>
      </c>
      <c r="B151" s="131" t="s">
        <v>156</v>
      </c>
      <c r="C151" s="132" t="s">
        <v>55</v>
      </c>
      <c r="D151" s="4">
        <v>3106466811.16047</v>
      </c>
      <c r="E151" s="3">
        <f t="shared" si="55"/>
        <v>6.1463300334409887E-2</v>
      </c>
      <c r="F151" s="4">
        <v>7028.4699861039599</v>
      </c>
      <c r="G151" s="4">
        <v>7075.9363484917703</v>
      </c>
      <c r="H151" s="58">
        <v>874</v>
      </c>
      <c r="I151" s="5">
        <v>1.5756052240377556</v>
      </c>
      <c r="J151" s="5">
        <v>0.32296089100983549</v>
      </c>
      <c r="K151" s="4">
        <v>2985777353.08497</v>
      </c>
      <c r="L151" s="16">
        <f t="shared" si="56"/>
        <v>5.9290559791075483E-2</v>
      </c>
      <c r="M151" s="4">
        <v>7044.6724280757999</v>
      </c>
      <c r="N151" s="4">
        <v>7093.1489563800396</v>
      </c>
      <c r="O151" s="58">
        <v>877</v>
      </c>
      <c r="P151" s="5">
        <v>0.12053210063433595</v>
      </c>
      <c r="Q151" s="5">
        <v>0.31801654706513649</v>
      </c>
      <c r="R151" s="77">
        <f t="shared" si="57"/>
        <v>-3.8851037339882134E-2</v>
      </c>
      <c r="S151" s="77">
        <f t="shared" si="58"/>
        <v>2.4325555008614733E-3</v>
      </c>
      <c r="T151" s="77">
        <f t="shared" si="59"/>
        <v>3.4324942791762012E-3</v>
      </c>
      <c r="U151" s="77">
        <f t="shared" si="60"/>
        <v>-1.4550731234034195</v>
      </c>
      <c r="V151" s="79">
        <f t="shared" si="61"/>
        <v>-4.9443439446990034E-3</v>
      </c>
    </row>
    <row r="152" spans="1:24">
      <c r="A152" s="160">
        <v>129</v>
      </c>
      <c r="B152" s="131" t="s">
        <v>157</v>
      </c>
      <c r="C152" s="132" t="s">
        <v>57</v>
      </c>
      <c r="D152" s="4">
        <v>719115688.13999999</v>
      </c>
      <c r="E152" s="3">
        <f t="shared" si="55"/>
        <v>1.4228133182219107E-2</v>
      </c>
      <c r="F152" s="4">
        <v>177.96</v>
      </c>
      <c r="G152" s="4">
        <v>179.16</v>
      </c>
      <c r="H152" s="58">
        <v>674</v>
      </c>
      <c r="I152" s="5">
        <v>2.5999999999999999E-3</v>
      </c>
      <c r="J152" s="5">
        <v>0.1517</v>
      </c>
      <c r="K152" s="4">
        <v>719584052</v>
      </c>
      <c r="L152" s="16">
        <f t="shared" si="56"/>
        <v>1.4289257441024007E-2</v>
      </c>
      <c r="M152" s="4">
        <v>177.86</v>
      </c>
      <c r="N152" s="4">
        <v>179.04</v>
      </c>
      <c r="O152" s="58">
        <v>674</v>
      </c>
      <c r="P152" s="5">
        <v>-5.9999999999999995E-4</v>
      </c>
      <c r="Q152" s="5">
        <v>0.15110000000000001</v>
      </c>
      <c r="R152" s="77">
        <f t="shared" si="57"/>
        <v>6.5130530139238395E-4</v>
      </c>
      <c r="S152" s="77">
        <f t="shared" si="58"/>
        <v>-6.6979236436707156E-4</v>
      </c>
      <c r="T152" s="77">
        <f t="shared" si="59"/>
        <v>0</v>
      </c>
      <c r="U152" s="77">
        <f t="shared" si="60"/>
        <v>-3.1999999999999997E-3</v>
      </c>
      <c r="V152" s="79">
        <f t="shared" si="61"/>
        <v>-5.9999999999998943E-4</v>
      </c>
    </row>
    <row r="153" spans="1:24">
      <c r="A153" s="162">
        <v>130</v>
      </c>
      <c r="B153" s="131" t="s">
        <v>158</v>
      </c>
      <c r="C153" s="132" t="s">
        <v>59</v>
      </c>
      <c r="D153" s="4">
        <v>3734808.11</v>
      </c>
      <c r="E153" s="3">
        <f t="shared" si="55"/>
        <v>7.3895408034495091E-5</v>
      </c>
      <c r="F153" s="4">
        <v>102.747</v>
      </c>
      <c r="G153" s="4">
        <v>102.99</v>
      </c>
      <c r="H153" s="58">
        <v>0</v>
      </c>
      <c r="I153" s="5">
        <v>0</v>
      </c>
      <c r="J153" s="5">
        <v>0</v>
      </c>
      <c r="K153" s="4">
        <v>3734808.11</v>
      </c>
      <c r="L153" s="16">
        <f t="shared" si="56"/>
        <v>7.4164559968060978E-5</v>
      </c>
      <c r="M153" s="4">
        <v>102.747</v>
      </c>
      <c r="N153" s="4">
        <v>102.99</v>
      </c>
      <c r="O153" s="58">
        <v>0</v>
      </c>
      <c r="P153" s="5">
        <v>0</v>
      </c>
      <c r="Q153" s="5">
        <v>0</v>
      </c>
      <c r="R153" s="77">
        <f t="shared" si="57"/>
        <v>0</v>
      </c>
      <c r="S153" s="77">
        <f t="shared" si="58"/>
        <v>0</v>
      </c>
      <c r="T153" s="77" t="e">
        <f t="shared" si="59"/>
        <v>#DIV/0!</v>
      </c>
      <c r="U153" s="77">
        <f t="shared" si="60"/>
        <v>0</v>
      </c>
      <c r="V153" s="79">
        <f t="shared" si="61"/>
        <v>0</v>
      </c>
    </row>
    <row r="154" spans="1:24">
      <c r="A154" s="160">
        <v>131</v>
      </c>
      <c r="B154" s="131" t="s">
        <v>159</v>
      </c>
      <c r="C154" s="132" t="s">
        <v>104</v>
      </c>
      <c r="D154" s="4">
        <v>197460358.78</v>
      </c>
      <c r="E154" s="3">
        <f t="shared" si="55"/>
        <v>3.9068710768880429E-3</v>
      </c>
      <c r="F154" s="4">
        <v>1.4696</v>
      </c>
      <c r="G154" s="4">
        <v>1.4814000000000001</v>
      </c>
      <c r="H154" s="58">
        <v>332</v>
      </c>
      <c r="I154" s="5">
        <v>7.2652501713501572E-3</v>
      </c>
      <c r="J154" s="5">
        <v>3.893708586652167E-3</v>
      </c>
      <c r="K154" s="4">
        <v>194325867.28999999</v>
      </c>
      <c r="L154" s="16">
        <f t="shared" si="56"/>
        <v>3.858857540601909E-3</v>
      </c>
      <c r="M154" s="4">
        <v>1.4746999999999999</v>
      </c>
      <c r="N154" s="4">
        <v>1.4865999999999999</v>
      </c>
      <c r="O154" s="58">
        <v>336</v>
      </c>
      <c r="P154" s="5">
        <v>3.4703320631463974E-3</v>
      </c>
      <c r="Q154" s="5">
        <v>7.3775531115511939E-3</v>
      </c>
      <c r="R154" s="77">
        <f t="shared" si="57"/>
        <v>-1.587402914370421E-2</v>
      </c>
      <c r="S154" s="77">
        <f t="shared" si="58"/>
        <v>3.510193060618247E-3</v>
      </c>
      <c r="T154" s="77">
        <f t="shared" si="59"/>
        <v>1.2048192771084338E-2</v>
      </c>
      <c r="U154" s="77">
        <f t="shared" si="60"/>
        <v>-3.7949181082037597E-3</v>
      </c>
      <c r="V154" s="79">
        <f t="shared" si="61"/>
        <v>3.4838445248990269E-3</v>
      </c>
    </row>
    <row r="155" spans="1:24">
      <c r="A155" s="157">
        <v>132</v>
      </c>
      <c r="B155" s="131" t="s">
        <v>160</v>
      </c>
      <c r="C155" s="132" t="s">
        <v>24</v>
      </c>
      <c r="D155" s="9">
        <v>132392865.36</v>
      </c>
      <c r="E155" s="3">
        <f t="shared" si="55"/>
        <v>2.6194718760619729E-3</v>
      </c>
      <c r="F155" s="4">
        <v>150.3638</v>
      </c>
      <c r="G155" s="4">
        <v>151.03890000000001</v>
      </c>
      <c r="H155" s="58">
        <v>121</v>
      </c>
      <c r="I155" s="5">
        <v>4.0930000000000003E-3</v>
      </c>
      <c r="J155" s="5">
        <v>0.20080000000000001</v>
      </c>
      <c r="K155" s="9">
        <v>130639198.31</v>
      </c>
      <c r="L155" s="16">
        <f t="shared" si="56"/>
        <v>2.5941891448986397E-3</v>
      </c>
      <c r="M155" s="4">
        <v>150.31460000000001</v>
      </c>
      <c r="N155" s="4">
        <v>151.02070000000001</v>
      </c>
      <c r="O155" s="58">
        <v>124</v>
      </c>
      <c r="P155" s="5">
        <v>-1.2899999999999999E-4</v>
      </c>
      <c r="Q155" s="5">
        <v>0.2006</v>
      </c>
      <c r="R155" s="77">
        <f t="shared" si="57"/>
        <v>-1.3245933194598221E-2</v>
      </c>
      <c r="S155" s="77">
        <f t="shared" si="58"/>
        <v>-1.204987589290396E-4</v>
      </c>
      <c r="T155" s="77">
        <f t="shared" si="59"/>
        <v>2.4793388429752067E-2</v>
      </c>
      <c r="U155" s="77">
        <f t="shared" si="60"/>
        <v>-4.2220000000000001E-3</v>
      </c>
      <c r="V155" s="79">
        <f t="shared" si="61"/>
        <v>-2.0000000000000573E-4</v>
      </c>
    </row>
    <row r="156" spans="1:24">
      <c r="A156" s="158">
        <v>133</v>
      </c>
      <c r="B156" s="131" t="s">
        <v>161</v>
      </c>
      <c r="C156" s="132" t="s">
        <v>63</v>
      </c>
      <c r="D156" s="9">
        <v>213311846.62</v>
      </c>
      <c r="E156" s="3">
        <f t="shared" si="55"/>
        <v>4.2205022267065104E-3</v>
      </c>
      <c r="F156" s="4">
        <v>114.58</v>
      </c>
      <c r="G156" s="4">
        <v>115.22</v>
      </c>
      <c r="H156" s="58">
        <v>27</v>
      </c>
      <c r="I156" s="5">
        <v>3.5000000000000001E-3</v>
      </c>
      <c r="J156" s="5">
        <v>0.14530000000000001</v>
      </c>
      <c r="K156" s="9">
        <v>215552003.36000001</v>
      </c>
      <c r="L156" s="16">
        <f t="shared" si="56"/>
        <v>4.2803589926413655E-3</v>
      </c>
      <c r="M156" s="4">
        <v>114.76</v>
      </c>
      <c r="N156" s="4">
        <v>115.49</v>
      </c>
      <c r="O156" s="58">
        <v>27</v>
      </c>
      <c r="P156" s="5">
        <v>2.0999999999999999E-3</v>
      </c>
      <c r="Q156" s="5">
        <v>0.1474</v>
      </c>
      <c r="R156" s="77">
        <f t="shared" si="57"/>
        <v>1.0501792448455479E-2</v>
      </c>
      <c r="S156" s="77">
        <f t="shared" si="58"/>
        <v>2.3433431695885788E-3</v>
      </c>
      <c r="T156" s="77">
        <f t="shared" si="59"/>
        <v>0</v>
      </c>
      <c r="U156" s="77">
        <f t="shared" si="60"/>
        <v>-1.4000000000000002E-3</v>
      </c>
      <c r="V156" s="79">
        <f t="shared" si="61"/>
        <v>2.0999999999999908E-3</v>
      </c>
    </row>
    <row r="157" spans="1:24" ht="15.75" customHeight="1">
      <c r="A157" s="162">
        <v>134</v>
      </c>
      <c r="B157" s="131" t="s">
        <v>162</v>
      </c>
      <c r="C157" s="132" t="s">
        <v>66</v>
      </c>
      <c r="D157" s="2">
        <v>314102470.88999999</v>
      </c>
      <c r="E157" s="3">
        <f t="shared" si="55"/>
        <v>6.2147048971304894E-3</v>
      </c>
      <c r="F157" s="4">
        <v>1.2232000000000001</v>
      </c>
      <c r="G157" s="4">
        <v>1.2363999999999999</v>
      </c>
      <c r="H157" s="58">
        <v>109</v>
      </c>
      <c r="I157" s="5">
        <v>-4.4768000000000004E-3</v>
      </c>
      <c r="J157" s="5">
        <v>5.7688999999999997E-2</v>
      </c>
      <c r="K157" s="2">
        <v>302507041.69999999</v>
      </c>
      <c r="L157" s="16">
        <f t="shared" si="56"/>
        <v>6.0070828203595099E-3</v>
      </c>
      <c r="M157" s="4">
        <v>1.2279</v>
      </c>
      <c r="N157" s="4">
        <v>1.2416</v>
      </c>
      <c r="O157" s="58">
        <v>106</v>
      </c>
      <c r="P157" s="5">
        <v>3.4320000000000002E-3</v>
      </c>
      <c r="Q157" s="5">
        <v>6.1297999999999998E-2</v>
      </c>
      <c r="R157" s="77">
        <f t="shared" si="57"/>
        <v>-3.6916071233520371E-2</v>
      </c>
      <c r="S157" s="77">
        <f t="shared" si="58"/>
        <v>4.2057586541573069E-3</v>
      </c>
      <c r="T157" s="77">
        <f t="shared" si="59"/>
        <v>-2.7522935779816515E-2</v>
      </c>
      <c r="U157" s="77">
        <f t="shared" si="60"/>
        <v>7.9088000000000006E-3</v>
      </c>
      <c r="V157" s="79">
        <f t="shared" si="61"/>
        <v>3.6090000000000011E-3</v>
      </c>
      <c r="X157" s="101"/>
    </row>
    <row r="158" spans="1:24">
      <c r="A158" s="157">
        <v>135</v>
      </c>
      <c r="B158" s="131" t="s">
        <v>163</v>
      </c>
      <c r="C158" s="132" t="s">
        <v>26</v>
      </c>
      <c r="D158" s="4">
        <v>8869360939.0300007</v>
      </c>
      <c r="E158" s="3">
        <f t="shared" si="55"/>
        <v>0.17548560094425694</v>
      </c>
      <c r="F158" s="4">
        <v>326.01</v>
      </c>
      <c r="G158" s="4">
        <v>328.1</v>
      </c>
      <c r="H158" s="58">
        <v>5467</v>
      </c>
      <c r="I158" s="5">
        <v>1.5900000000000001E-2</v>
      </c>
      <c r="J158" s="5">
        <v>0.2056</v>
      </c>
      <c r="K158" s="4">
        <v>8888528058.6100006</v>
      </c>
      <c r="L158" s="16">
        <f t="shared" si="56"/>
        <v>0.17650539273102681</v>
      </c>
      <c r="M158" s="4">
        <v>326.64</v>
      </c>
      <c r="N158" s="4">
        <v>328.78</v>
      </c>
      <c r="O158" s="58">
        <v>5465</v>
      </c>
      <c r="P158" s="5">
        <v>2E-3</v>
      </c>
      <c r="Q158" s="5">
        <v>0.2079</v>
      </c>
      <c r="R158" s="77">
        <f t="shared" si="57"/>
        <v>2.1610485481151406E-3</v>
      </c>
      <c r="S158" s="77">
        <f t="shared" si="58"/>
        <v>2.0725388601034742E-3</v>
      </c>
      <c r="T158" s="77">
        <f t="shared" si="59"/>
        <v>-3.6583135174684471E-4</v>
      </c>
      <c r="U158" s="77">
        <f t="shared" si="60"/>
        <v>-1.3900000000000001E-2</v>
      </c>
      <c r="V158" s="79">
        <f t="shared" si="61"/>
        <v>2.2999999999999965E-3</v>
      </c>
    </row>
    <row r="159" spans="1:24">
      <c r="A159" s="157">
        <v>136</v>
      </c>
      <c r="B159" s="131" t="s">
        <v>164</v>
      </c>
      <c r="C159" s="132" t="s">
        <v>71</v>
      </c>
      <c r="D159" s="4">
        <v>2889151238.0100002</v>
      </c>
      <c r="E159" s="3">
        <f t="shared" si="55"/>
        <v>5.7163581988182957E-2</v>
      </c>
      <c r="F159" s="4">
        <v>2.0234000000000001</v>
      </c>
      <c r="G159" s="4">
        <v>2.0569999999999999</v>
      </c>
      <c r="H159" s="58">
        <v>10308</v>
      </c>
      <c r="I159" s="5">
        <v>1.14E-2</v>
      </c>
      <c r="J159" s="5">
        <v>0.15970000000000001</v>
      </c>
      <c r="K159" s="4">
        <v>2916204948.75</v>
      </c>
      <c r="L159" s="16">
        <f t="shared" si="56"/>
        <v>5.7909014447525539E-2</v>
      </c>
      <c r="M159" s="4">
        <v>2.0459000000000001</v>
      </c>
      <c r="N159" s="4">
        <v>2.0802999999999998</v>
      </c>
      <c r="O159" s="58">
        <v>10308</v>
      </c>
      <c r="P159" s="5">
        <v>1.01E-2</v>
      </c>
      <c r="Q159" s="5">
        <v>0.17269999999999999</v>
      </c>
      <c r="R159" s="77">
        <f t="shared" si="57"/>
        <v>9.3638956604549101E-3</v>
      </c>
      <c r="S159" s="77">
        <f t="shared" si="58"/>
        <v>1.1327175498298434E-2</v>
      </c>
      <c r="T159" s="77">
        <f t="shared" si="59"/>
        <v>0</v>
      </c>
      <c r="U159" s="77">
        <f t="shared" si="60"/>
        <v>-1.3000000000000008E-3</v>
      </c>
      <c r="V159" s="79">
        <f t="shared" si="61"/>
        <v>1.2999999999999984E-2</v>
      </c>
    </row>
    <row r="160" spans="1:24">
      <c r="A160" s="158">
        <v>137</v>
      </c>
      <c r="B160" s="131" t="s">
        <v>165</v>
      </c>
      <c r="C160" s="132" t="s">
        <v>73</v>
      </c>
      <c r="D160" s="4">
        <v>189979378.98355374</v>
      </c>
      <c r="E160" s="3">
        <f t="shared" si="55"/>
        <v>3.7588554256753194E-3</v>
      </c>
      <c r="F160" s="4">
        <v>251.19</v>
      </c>
      <c r="G160" s="4">
        <v>259.82130521801548</v>
      </c>
      <c r="H160" s="58">
        <v>39</v>
      </c>
      <c r="I160" s="5">
        <v>1.4415643955503432E-2</v>
      </c>
      <c r="J160" s="5">
        <v>4.2999999999999997E-2</v>
      </c>
      <c r="K160" s="4">
        <v>189979378.98355374</v>
      </c>
      <c r="L160" s="16">
        <f t="shared" si="56"/>
        <v>3.7725464415682536E-3</v>
      </c>
      <c r="M160" s="4">
        <v>250.79</v>
      </c>
      <c r="N160" s="4">
        <v>259.56</v>
      </c>
      <c r="O160" s="58">
        <v>39</v>
      </c>
      <c r="P160" s="5">
        <v>-1.5924200804172672E-3</v>
      </c>
      <c r="Q160" s="5">
        <v>3.9399999999999998E-2</v>
      </c>
      <c r="R160" s="77">
        <f t="shared" si="57"/>
        <v>0</v>
      </c>
      <c r="S160" s="77">
        <f t="shared" si="58"/>
        <v>-1.0057112822068957E-3</v>
      </c>
      <c r="T160" s="77">
        <f t="shared" si="59"/>
        <v>0</v>
      </c>
      <c r="U160" s="77">
        <f t="shared" si="60"/>
        <v>-1.6008064035920699E-2</v>
      </c>
      <c r="V160" s="79">
        <f t="shared" si="61"/>
        <v>-3.599999999999999E-3</v>
      </c>
    </row>
    <row r="161" spans="1:22">
      <c r="A161" s="157">
        <v>138</v>
      </c>
      <c r="B161" s="131" t="s">
        <v>274</v>
      </c>
      <c r="C161" s="131" t="s">
        <v>254</v>
      </c>
      <c r="D161" s="4">
        <v>57977800.100000001</v>
      </c>
      <c r="E161" s="3">
        <f t="shared" si="55"/>
        <v>1.147125386137145E-3</v>
      </c>
      <c r="F161" s="4">
        <v>1.133</v>
      </c>
      <c r="G161" s="4">
        <v>1.1459999999999999</v>
      </c>
      <c r="H161" s="58">
        <v>21</v>
      </c>
      <c r="I161" s="5">
        <v>-2.1299999999999999E-2</v>
      </c>
      <c r="J161" s="5">
        <v>3.8699999999999998E-2</v>
      </c>
      <c r="K161" s="4">
        <v>57102363.450000003</v>
      </c>
      <c r="L161" s="16">
        <f t="shared" si="56"/>
        <v>1.1339194768979813E-3</v>
      </c>
      <c r="M161" s="4">
        <v>1.1140000000000001</v>
      </c>
      <c r="N161" s="4">
        <v>1.1259999999999999</v>
      </c>
      <c r="O161" s="58">
        <v>24</v>
      </c>
      <c r="P161" s="5">
        <v>-1.6799999999999999E-2</v>
      </c>
      <c r="Q161" s="5">
        <v>-1.5100000000000001E-2</v>
      </c>
      <c r="R161" s="77">
        <f t="shared" ref="R161" si="62">((K161-D161)/D161)</f>
        <v>-1.5099514788247347E-2</v>
      </c>
      <c r="S161" s="77">
        <f t="shared" ref="S161" si="63">((N161-G161)/G161)</f>
        <v>-1.745200698080281E-2</v>
      </c>
      <c r="T161" s="77">
        <f t="shared" ref="T161" si="64">((O161-H161)/H161)</f>
        <v>0.14285714285714285</v>
      </c>
      <c r="U161" s="77">
        <f t="shared" ref="U161" si="65">P161-I161</f>
        <v>4.5000000000000005E-3</v>
      </c>
      <c r="V161" s="79">
        <f t="shared" ref="V161" si="66">Q161-J161</f>
        <v>-5.3800000000000001E-2</v>
      </c>
    </row>
    <row r="162" spans="1:22" ht="13.5" customHeight="1">
      <c r="A162" s="157">
        <v>139</v>
      </c>
      <c r="B162" s="131" t="s">
        <v>237</v>
      </c>
      <c r="C162" s="132" t="s">
        <v>31</v>
      </c>
      <c r="D162" s="2">
        <v>2763244397.3299999</v>
      </c>
      <c r="E162" s="3">
        <f t="shared" si="55"/>
        <v>5.4672439982393857E-2</v>
      </c>
      <c r="F162" s="4">
        <v>3.9003640000000002</v>
      </c>
      <c r="G162" s="4">
        <v>4.0307440000000003</v>
      </c>
      <c r="H162" s="58">
        <v>2335</v>
      </c>
      <c r="I162" s="5">
        <v>-7.0202210370373663E-3</v>
      </c>
      <c r="J162" s="5">
        <v>7.2323976576031734E-2</v>
      </c>
      <c r="K162" s="2">
        <v>2758058771.3200002</v>
      </c>
      <c r="L162" s="16">
        <f t="shared" si="56"/>
        <v>5.4768600987374079E-2</v>
      </c>
      <c r="M162" s="4">
        <v>3.895213</v>
      </c>
      <c r="N162" s="4">
        <v>4.0277710000000004</v>
      </c>
      <c r="O162" s="58">
        <v>2335</v>
      </c>
      <c r="P162" s="5">
        <v>-1.3206459704786511E-3</v>
      </c>
      <c r="Q162" s="5">
        <v>7.0907816237318899E-2</v>
      </c>
      <c r="R162" s="77">
        <f t="shared" si="57"/>
        <v>-1.8766439968214146E-3</v>
      </c>
      <c r="S162" s="77">
        <f t="shared" si="58"/>
        <v>-7.3758095279677696E-4</v>
      </c>
      <c r="T162" s="77">
        <f t="shared" si="59"/>
        <v>0</v>
      </c>
      <c r="U162" s="77">
        <f t="shared" si="60"/>
        <v>5.6995750665587153E-3</v>
      </c>
      <c r="V162" s="79">
        <f>Q162-J162</f>
        <v>-1.4161603387128352E-3</v>
      </c>
    </row>
    <row r="163" spans="1:22" ht="13.5" customHeight="1">
      <c r="A163" s="157">
        <v>140</v>
      </c>
      <c r="B163" s="131" t="s">
        <v>291</v>
      </c>
      <c r="C163" s="132" t="s">
        <v>292</v>
      </c>
      <c r="D163" s="2">
        <v>0</v>
      </c>
      <c r="E163" s="3">
        <f t="shared" si="55"/>
        <v>0</v>
      </c>
      <c r="F163" s="4">
        <v>0</v>
      </c>
      <c r="G163" s="4">
        <v>0</v>
      </c>
      <c r="H163" s="58">
        <v>0</v>
      </c>
      <c r="I163" s="5">
        <v>0</v>
      </c>
      <c r="J163" s="5">
        <v>0</v>
      </c>
      <c r="K163" s="2">
        <v>54988593</v>
      </c>
      <c r="L163" s="16">
        <f t="shared" si="56"/>
        <v>1.0919449361235852E-3</v>
      </c>
      <c r="M163" s="4">
        <v>2.0402</v>
      </c>
      <c r="N163" s="4">
        <v>2.0537000000000001</v>
      </c>
      <c r="O163" s="58">
        <v>51</v>
      </c>
      <c r="P163" s="5">
        <v>1.3299999999999999E-2</v>
      </c>
      <c r="Q163" s="5">
        <v>2.4400000000000002E-2</v>
      </c>
      <c r="R163" s="77" t="e">
        <f t="shared" ref="R163" si="67">((K163-D163)/D163)</f>
        <v>#DIV/0!</v>
      </c>
      <c r="S163" s="77" t="e">
        <f t="shared" ref="S163" si="68">((N163-G163)/G163)</f>
        <v>#DIV/0!</v>
      </c>
      <c r="T163" s="77" t="e">
        <f t="shared" ref="T163" si="69">((O163-H163)/H163)</f>
        <v>#DIV/0!</v>
      </c>
      <c r="U163" s="77">
        <f t="shared" ref="U163" si="70">P163-I163</f>
        <v>1.3299999999999999E-2</v>
      </c>
      <c r="V163" s="79">
        <f>Q163-J163</f>
        <v>2.4400000000000002E-2</v>
      </c>
    </row>
    <row r="164" spans="1:22">
      <c r="A164" s="158">
        <v>141</v>
      </c>
      <c r="B164" s="131" t="s">
        <v>166</v>
      </c>
      <c r="C164" s="132" t="s">
        <v>113</v>
      </c>
      <c r="D164" s="2">
        <v>216986117.38999999</v>
      </c>
      <c r="E164" s="3">
        <f t="shared" si="55"/>
        <v>4.293199867329971E-3</v>
      </c>
      <c r="F164" s="4">
        <v>185.83109999999999</v>
      </c>
      <c r="G164" s="4">
        <v>189.41</v>
      </c>
      <c r="H164" s="58">
        <v>141</v>
      </c>
      <c r="I164" s="5">
        <v>3.7000000000000002E-3</v>
      </c>
      <c r="J164" s="5">
        <v>2.9000000000000001E-2</v>
      </c>
      <c r="K164" s="2">
        <v>216540905.40000001</v>
      </c>
      <c r="L164" s="16">
        <f t="shared" si="56"/>
        <v>4.2999962758666389E-3</v>
      </c>
      <c r="M164" s="4">
        <v>185.44892100000001</v>
      </c>
      <c r="N164" s="4">
        <v>189.10254399999999</v>
      </c>
      <c r="O164" s="58">
        <v>139</v>
      </c>
      <c r="P164" s="5">
        <v>3.5000000000000001E-3</v>
      </c>
      <c r="Q164" s="5">
        <v>0.16550000000000001</v>
      </c>
      <c r="R164" s="77">
        <f t="shared" si="57"/>
        <v>-2.0517994208808206E-3</v>
      </c>
      <c r="S164" s="77">
        <f t="shared" si="58"/>
        <v>-1.6232300300934584E-3</v>
      </c>
      <c r="T164" s="77">
        <f t="shared" si="59"/>
        <v>-1.4184397163120567E-2</v>
      </c>
      <c r="U164" s="77">
        <f t="shared" si="60"/>
        <v>-2.0000000000000009E-4</v>
      </c>
      <c r="V164" s="79">
        <f t="shared" si="61"/>
        <v>0.13650000000000001</v>
      </c>
    </row>
    <row r="165" spans="1:22">
      <c r="A165" s="162">
        <v>142</v>
      </c>
      <c r="B165" s="131" t="s">
        <v>167</v>
      </c>
      <c r="C165" s="132" t="s">
        <v>28</v>
      </c>
      <c r="D165" s="2">
        <v>2032606643.6800001</v>
      </c>
      <c r="E165" s="3">
        <f t="shared" si="55"/>
        <v>4.0216335855701883E-2</v>
      </c>
      <c r="F165" s="4">
        <v>552.22</v>
      </c>
      <c r="G165" s="4">
        <v>552.22</v>
      </c>
      <c r="H165" s="58">
        <v>823</v>
      </c>
      <c r="I165" s="5">
        <v>9.8790000000000003E-2</v>
      </c>
      <c r="J165" s="5">
        <v>0.30029</v>
      </c>
      <c r="K165" s="2">
        <v>2069523391.71</v>
      </c>
      <c r="L165" s="16">
        <f t="shared" si="56"/>
        <v>4.1095897612201886E-2</v>
      </c>
      <c r="M165" s="4">
        <v>552.22</v>
      </c>
      <c r="N165" s="4">
        <v>552.22</v>
      </c>
      <c r="O165" s="58">
        <v>823</v>
      </c>
      <c r="P165" s="5">
        <v>1.8159999999999999E-2</v>
      </c>
      <c r="Q165" s="5">
        <v>0.32379999999999998</v>
      </c>
      <c r="R165" s="77">
        <f t="shared" si="57"/>
        <v>1.8162268702990571E-2</v>
      </c>
      <c r="S165" s="77">
        <f t="shared" si="58"/>
        <v>0</v>
      </c>
      <c r="T165" s="77">
        <f t="shared" si="59"/>
        <v>0</v>
      </c>
      <c r="U165" s="77">
        <f t="shared" si="60"/>
        <v>-8.0630000000000007E-2</v>
      </c>
      <c r="V165" s="79">
        <f t="shared" si="61"/>
        <v>2.3509999999999975E-2</v>
      </c>
    </row>
    <row r="166" spans="1:22">
      <c r="A166" s="162">
        <v>143</v>
      </c>
      <c r="B166" s="131" t="s">
        <v>168</v>
      </c>
      <c r="C166" s="132" t="s">
        <v>79</v>
      </c>
      <c r="D166" s="4">
        <v>27118559.550000001</v>
      </c>
      <c r="E166" s="3">
        <f t="shared" si="55"/>
        <v>5.3655688973402267E-4</v>
      </c>
      <c r="F166" s="4">
        <v>1.7</v>
      </c>
      <c r="G166" s="4">
        <v>1.7</v>
      </c>
      <c r="H166" s="58">
        <v>8</v>
      </c>
      <c r="I166" s="5">
        <v>8.2129999999999998E-3</v>
      </c>
      <c r="J166" s="5">
        <v>4.2238999999999999E-2</v>
      </c>
      <c r="K166" s="4">
        <v>27129019.140000001</v>
      </c>
      <c r="L166" s="16">
        <f t="shared" si="56"/>
        <v>5.3871891342851456E-4</v>
      </c>
      <c r="M166" s="4">
        <v>1.69</v>
      </c>
      <c r="N166" s="4">
        <v>1.69</v>
      </c>
      <c r="O166" s="58">
        <v>8</v>
      </c>
      <c r="P166" s="5">
        <v>-3.2989999999999998E-3</v>
      </c>
      <c r="Q166" s="5">
        <v>3.8800000000000001E-2</v>
      </c>
      <c r="R166" s="77">
        <f t="shared" si="57"/>
        <v>3.8569858331578865E-4</v>
      </c>
      <c r="S166" s="77">
        <f t="shared" si="58"/>
        <v>-5.8823529411764757E-3</v>
      </c>
      <c r="T166" s="77">
        <f t="shared" si="59"/>
        <v>0</v>
      </c>
      <c r="U166" s="77">
        <f t="shared" si="60"/>
        <v>-1.1512E-2</v>
      </c>
      <c r="V166" s="79">
        <f t="shared" si="61"/>
        <v>-3.4389999999999976E-3</v>
      </c>
    </row>
    <row r="167" spans="1:22">
      <c r="A167" s="157">
        <v>144</v>
      </c>
      <c r="B167" s="131" t="s">
        <v>169</v>
      </c>
      <c r="C167" s="132" t="s">
        <v>37</v>
      </c>
      <c r="D167" s="4">
        <v>268925257.39999998</v>
      </c>
      <c r="E167" s="3">
        <f t="shared" si="55"/>
        <v>5.3208467586717918E-3</v>
      </c>
      <c r="F167" s="4">
        <v>2.7580770000000001</v>
      </c>
      <c r="G167" s="4">
        <v>2.8091970000000002</v>
      </c>
      <c r="H167" s="58">
        <v>118</v>
      </c>
      <c r="I167" s="5">
        <v>-9.9400000000000002E-2</v>
      </c>
      <c r="J167" s="5">
        <v>0.1875</v>
      </c>
      <c r="K167" s="4">
        <v>243808972.46000001</v>
      </c>
      <c r="L167" s="16">
        <f t="shared" si="56"/>
        <v>4.8414763559997192E-3</v>
      </c>
      <c r="M167" s="4">
        <v>2.498837</v>
      </c>
      <c r="N167" s="4">
        <v>2.5508999999999999</v>
      </c>
      <c r="O167" s="58">
        <v>118</v>
      </c>
      <c r="P167" s="5">
        <v>-0.12280000000000001</v>
      </c>
      <c r="Q167" s="5">
        <v>7.7100000000000002E-2</v>
      </c>
      <c r="R167" s="77">
        <f t="shared" si="57"/>
        <v>-9.3395039137740624E-2</v>
      </c>
      <c r="S167" s="77">
        <f t="shared" si="58"/>
        <v>-9.1946915791238634E-2</v>
      </c>
      <c r="T167" s="77">
        <f t="shared" si="59"/>
        <v>0</v>
      </c>
      <c r="U167" s="77">
        <f t="shared" si="60"/>
        <v>-2.3400000000000004E-2</v>
      </c>
      <c r="V167" s="79">
        <f t="shared" si="61"/>
        <v>-0.1104</v>
      </c>
    </row>
    <row r="168" spans="1:22">
      <c r="A168" s="160">
        <v>145</v>
      </c>
      <c r="B168" s="131" t="s">
        <v>170</v>
      </c>
      <c r="C168" s="132" t="s">
        <v>41</v>
      </c>
      <c r="D168" s="2">
        <v>2589724485.1199999</v>
      </c>
      <c r="E168" s="3">
        <f t="shared" si="55"/>
        <v>5.1239244932684135E-2</v>
      </c>
      <c r="F168" s="4">
        <v>5603.07</v>
      </c>
      <c r="G168" s="4">
        <v>5666.96</v>
      </c>
      <c r="H168" s="58">
        <v>2248</v>
      </c>
      <c r="I168" s="5">
        <v>-4.3E-3</v>
      </c>
      <c r="J168" s="5">
        <v>0.12859999999999999</v>
      </c>
      <c r="K168" s="2">
        <v>2542046971.6900001</v>
      </c>
      <c r="L168" s="3">
        <f t="shared" si="56"/>
        <v>5.0479111515459037E-2</v>
      </c>
      <c r="M168" s="4">
        <v>5585.95</v>
      </c>
      <c r="N168" s="4">
        <v>5650.36</v>
      </c>
      <c r="O168" s="58">
        <v>2247</v>
      </c>
      <c r="P168" s="5">
        <v>-2.8999999999999998E-3</v>
      </c>
      <c r="Q168" s="5">
        <v>0.12529999999999999</v>
      </c>
      <c r="R168" s="77">
        <f t="shared" si="57"/>
        <v>-1.8410264761346069E-2</v>
      </c>
      <c r="S168" s="77">
        <f t="shared" si="58"/>
        <v>-2.929260132416739E-3</v>
      </c>
      <c r="T168" s="77">
        <f t="shared" si="59"/>
        <v>-4.4483985765124553E-4</v>
      </c>
      <c r="U168" s="77">
        <f t="shared" si="60"/>
        <v>1.4000000000000002E-3</v>
      </c>
      <c r="V168" s="79">
        <f t="shared" si="61"/>
        <v>-3.2999999999999974E-3</v>
      </c>
    </row>
    <row r="169" spans="1:22">
      <c r="A169" s="162">
        <v>146</v>
      </c>
      <c r="B169" s="131" t="s">
        <v>272</v>
      </c>
      <c r="C169" s="131" t="s">
        <v>270</v>
      </c>
      <c r="D169" s="2">
        <v>80785742.629999995</v>
      </c>
      <c r="E169" s="3">
        <f t="shared" si="55"/>
        <v>1.5983941448101746E-3</v>
      </c>
      <c r="F169" s="4">
        <v>1057.6099999999999</v>
      </c>
      <c r="G169" s="4">
        <v>1071.31</v>
      </c>
      <c r="H169" s="58">
        <v>5</v>
      </c>
      <c r="I169" s="5">
        <v>1.3143457919338797E-2</v>
      </c>
      <c r="J169" s="5">
        <v>7.0448999999999998E-2</v>
      </c>
      <c r="K169" s="2">
        <v>81937498.810000002</v>
      </c>
      <c r="L169" s="3">
        <f t="shared" si="56"/>
        <v>1.6270872197841431E-3</v>
      </c>
      <c r="M169" s="4">
        <v>1058.78</v>
      </c>
      <c r="N169" s="4">
        <v>1073.55</v>
      </c>
      <c r="O169" s="58">
        <v>5</v>
      </c>
      <c r="P169" s="5">
        <v>1.3625527185230357E-2</v>
      </c>
      <c r="Q169" s="5">
        <v>7.1688000000000002E-2</v>
      </c>
      <c r="R169" s="77">
        <f>((K169-D169)/D169)</f>
        <v>1.4256923839582301E-2</v>
      </c>
      <c r="S169" s="77">
        <f>((N169-G169)/G169)</f>
        <v>2.090898059385247E-3</v>
      </c>
      <c r="T169" s="77">
        <f t="shared" si="59"/>
        <v>0</v>
      </c>
      <c r="U169" s="77">
        <f>P169-I169</f>
        <v>4.8206926589156041E-4</v>
      </c>
      <c r="V169" s="79">
        <f>Q169-J169</f>
        <v>1.239000000000004E-3</v>
      </c>
    </row>
    <row r="170" spans="1:22">
      <c r="A170" s="157">
        <v>147</v>
      </c>
      <c r="B170" s="131" t="s">
        <v>253</v>
      </c>
      <c r="C170" s="131" t="s">
        <v>254</v>
      </c>
      <c r="D170" s="2">
        <v>671050679.82000005</v>
      </c>
      <c r="E170" s="3">
        <f t="shared" si="55"/>
        <v>1.3277138299114444E-2</v>
      </c>
      <c r="F170" s="4">
        <v>1.2849999999999999</v>
      </c>
      <c r="G170" s="4">
        <v>1.2849999999999999</v>
      </c>
      <c r="H170" s="58">
        <v>40</v>
      </c>
      <c r="I170" s="5">
        <v>3.0999999999999999E-3</v>
      </c>
      <c r="J170" s="5">
        <v>0.20280000000000001</v>
      </c>
      <c r="K170" s="2">
        <v>672771146.74000001</v>
      </c>
      <c r="L170" s="3">
        <f t="shared" si="56"/>
        <v>1.335966255497391E-2</v>
      </c>
      <c r="M170" s="4">
        <v>1.288</v>
      </c>
      <c r="N170" s="4">
        <v>1.288</v>
      </c>
      <c r="O170" s="58">
        <v>41</v>
      </c>
      <c r="P170" s="5">
        <v>2.3E-3</v>
      </c>
      <c r="Q170" s="5">
        <v>0.20599999999999999</v>
      </c>
      <c r="R170" s="77">
        <f>((K170-D170)/D170)</f>
        <v>2.5638405141940224E-3</v>
      </c>
      <c r="S170" s="77">
        <f>((N170-G170)/G170)</f>
        <v>2.3346303501946409E-3</v>
      </c>
      <c r="T170" s="77">
        <f>((O170-H170)/H170)</f>
        <v>2.5000000000000001E-2</v>
      </c>
      <c r="U170" s="77">
        <f>P170-I170</f>
        <v>-7.9999999999999993E-4</v>
      </c>
      <c r="V170" s="79">
        <f>Q170-J170</f>
        <v>3.1999999999999806E-3</v>
      </c>
    </row>
    <row r="171" spans="1:22">
      <c r="A171" s="157">
        <v>148</v>
      </c>
      <c r="B171" s="131" t="s">
        <v>171</v>
      </c>
      <c r="C171" s="132" t="s">
        <v>44</v>
      </c>
      <c r="D171" s="4">
        <v>1794398262.8199999</v>
      </c>
      <c r="E171" s="3">
        <f t="shared" si="55"/>
        <v>3.5503240836507945E-2</v>
      </c>
      <c r="F171" s="4">
        <v>1.6891</v>
      </c>
      <c r="G171" s="4">
        <v>1.6989000000000001</v>
      </c>
      <c r="H171" s="58">
        <v>2151</v>
      </c>
      <c r="I171" s="5">
        <v>8.3000000000000001E-3</v>
      </c>
      <c r="J171" s="5">
        <v>0.1062</v>
      </c>
      <c r="K171" s="4">
        <v>1793863923.51</v>
      </c>
      <c r="L171" s="16">
        <f t="shared" si="56"/>
        <v>3.5621944852663005E-2</v>
      </c>
      <c r="M171" s="4">
        <v>1.6911</v>
      </c>
      <c r="N171" s="4">
        <v>1.7008000000000001</v>
      </c>
      <c r="O171" s="58">
        <v>2156</v>
      </c>
      <c r="P171" s="5">
        <v>1.1999999999999999E-3</v>
      </c>
      <c r="Q171" s="5">
        <v>0.10730000000000001</v>
      </c>
      <c r="R171" s="77">
        <f t="shared" si="57"/>
        <v>-2.9778189216489649E-4</v>
      </c>
      <c r="S171" s="77">
        <f t="shared" si="58"/>
        <v>1.1183707104597167E-3</v>
      </c>
      <c r="T171" s="77">
        <f t="shared" si="59"/>
        <v>2.3245002324500234E-3</v>
      </c>
      <c r="U171" s="77">
        <f t="shared" si="60"/>
        <v>-7.1000000000000004E-3</v>
      </c>
      <c r="V171" s="79">
        <f t="shared" si="61"/>
        <v>1.1000000000000038E-3</v>
      </c>
    </row>
    <row r="172" spans="1:22">
      <c r="A172" s="157">
        <v>149</v>
      </c>
      <c r="B172" s="131" t="s">
        <v>172</v>
      </c>
      <c r="C172" s="132" t="s">
        <v>44</v>
      </c>
      <c r="D172" s="4">
        <v>1069643017.99</v>
      </c>
      <c r="E172" s="3">
        <f t="shared" si="55"/>
        <v>2.1163525658516317E-2</v>
      </c>
      <c r="F172" s="4">
        <v>1.3886000000000001</v>
      </c>
      <c r="G172" s="4">
        <v>1.3965000000000001</v>
      </c>
      <c r="H172" s="58">
        <v>752</v>
      </c>
      <c r="I172" s="5">
        <v>7.3000000000000001E-3</v>
      </c>
      <c r="J172" s="5">
        <v>0.16819999999999999</v>
      </c>
      <c r="K172" s="4">
        <v>1071614561.3099999</v>
      </c>
      <c r="L172" s="16">
        <f t="shared" si="56"/>
        <v>2.1279760580503519E-2</v>
      </c>
      <c r="M172" s="4">
        <v>1.3907</v>
      </c>
      <c r="N172" s="4">
        <v>1.3985000000000001</v>
      </c>
      <c r="O172" s="58">
        <v>757</v>
      </c>
      <c r="P172" s="5">
        <v>1.5E-3</v>
      </c>
      <c r="Q172" s="5">
        <v>0.16969999999999999</v>
      </c>
      <c r="R172" s="77">
        <f t="shared" si="57"/>
        <v>1.8431787866055747E-3</v>
      </c>
      <c r="S172" s="77">
        <f t="shared" si="58"/>
        <v>1.4321518080916589E-3</v>
      </c>
      <c r="T172" s="77">
        <f t="shared" si="59"/>
        <v>6.648936170212766E-3</v>
      </c>
      <c r="U172" s="77">
        <f t="shared" si="60"/>
        <v>-5.7999999999999996E-3</v>
      </c>
      <c r="V172" s="79">
        <f t="shared" si="61"/>
        <v>1.5000000000000013E-3</v>
      </c>
    </row>
    <row r="173" spans="1:22">
      <c r="A173" s="162">
        <v>150</v>
      </c>
      <c r="B173" s="131" t="s">
        <v>173</v>
      </c>
      <c r="C173" s="132" t="s">
        <v>86</v>
      </c>
      <c r="D173" s="2">
        <v>9204488981.6900005</v>
      </c>
      <c r="E173" s="3">
        <f t="shared" si="55"/>
        <v>0.18211630933054734</v>
      </c>
      <c r="F173" s="4">
        <v>499.88</v>
      </c>
      <c r="G173" s="4">
        <v>505.16</v>
      </c>
      <c r="H173" s="58">
        <v>34</v>
      </c>
      <c r="I173" s="5">
        <v>2.5000000000000001E-3</v>
      </c>
      <c r="J173" s="5">
        <v>0.4365</v>
      </c>
      <c r="K173" s="2">
        <v>9215147102.2099991</v>
      </c>
      <c r="L173" s="16">
        <f t="shared" si="56"/>
        <v>0.18299128355388433</v>
      </c>
      <c r="M173" s="4">
        <v>500.42</v>
      </c>
      <c r="N173" s="4">
        <v>505.72</v>
      </c>
      <c r="O173" s="58">
        <v>35</v>
      </c>
      <c r="P173" s="5">
        <v>1.1000000000000001E-3</v>
      </c>
      <c r="Q173" s="5">
        <v>0.438</v>
      </c>
      <c r="R173" s="77">
        <f t="shared" si="57"/>
        <v>1.1579263706220065E-3</v>
      </c>
      <c r="S173" s="77">
        <f t="shared" si="58"/>
        <v>1.1085596642647919E-3</v>
      </c>
      <c r="T173" s="77">
        <f t="shared" si="59"/>
        <v>2.9411764705882353E-2</v>
      </c>
      <c r="U173" s="77">
        <f t="shared" si="60"/>
        <v>-1.4E-3</v>
      </c>
      <c r="V173" s="79">
        <f t="shared" si="61"/>
        <v>1.5000000000000013E-3</v>
      </c>
    </row>
    <row r="174" spans="1:22">
      <c r="A174" s="162">
        <v>151</v>
      </c>
      <c r="B174" s="131" t="s">
        <v>174</v>
      </c>
      <c r="C174" s="132" t="s">
        <v>39</v>
      </c>
      <c r="D174" s="2">
        <v>471627928.73000002</v>
      </c>
      <c r="E174" s="3">
        <f t="shared" si="55"/>
        <v>9.3314401188785909E-3</v>
      </c>
      <c r="F174" s="4">
        <v>239.33</v>
      </c>
      <c r="G174" s="4">
        <v>242.65</v>
      </c>
      <c r="H174" s="58">
        <v>690</v>
      </c>
      <c r="I174" s="5">
        <v>8.8000000000000005E-3</v>
      </c>
      <c r="J174" s="5">
        <v>0.2412</v>
      </c>
      <c r="K174" s="2">
        <v>470535844.08999997</v>
      </c>
      <c r="L174" s="16">
        <f t="shared" si="56"/>
        <v>9.3437421142729057E-3</v>
      </c>
      <c r="M174" s="4">
        <v>239.01</v>
      </c>
      <c r="N174" s="4">
        <v>242.17</v>
      </c>
      <c r="O174" s="58">
        <v>690</v>
      </c>
      <c r="P174" s="5">
        <v>-1.6999999999999999E-3</v>
      </c>
      <c r="Q174" s="5">
        <v>0.23910000000000001</v>
      </c>
      <c r="R174" s="77">
        <f t="shared" si="57"/>
        <v>-2.3155639720930259E-3</v>
      </c>
      <c r="S174" s="77">
        <f t="shared" si="58"/>
        <v>-1.978157840511099E-3</v>
      </c>
      <c r="T174" s="77">
        <f t="shared" si="59"/>
        <v>0</v>
      </c>
      <c r="U174" s="77">
        <f t="shared" si="60"/>
        <v>-1.0500000000000001E-2</v>
      </c>
      <c r="V174" s="79">
        <f t="shared" si="61"/>
        <v>-2.0999999999999908E-3</v>
      </c>
    </row>
    <row r="175" spans="1:22">
      <c r="A175" s="80"/>
      <c r="B175" s="129"/>
      <c r="C175" s="68" t="s">
        <v>45</v>
      </c>
      <c r="D175" s="69">
        <f>SUM(D146:D174)</f>
        <v>50541815917.121063</v>
      </c>
      <c r="E175" s="96">
        <f>(D175/$D$205)</f>
        <v>1.5104809900761835E-2</v>
      </c>
      <c r="F175" s="30"/>
      <c r="G175" s="36"/>
      <c r="H175" s="63">
        <f>SUM(H146:H174)</f>
        <v>69605</v>
      </c>
      <c r="I175" s="37"/>
      <c r="J175" s="37"/>
      <c r="K175" s="69">
        <f>SUM(K146:K174)</f>
        <v>50358393707.296288</v>
      </c>
      <c r="L175" s="96">
        <f>(K175/$K$205)</f>
        <v>1.4808013331410158E-2</v>
      </c>
      <c r="M175" s="30"/>
      <c r="N175" s="36"/>
      <c r="O175" s="63">
        <f>SUM(O146:O174)</f>
        <v>69664</v>
      </c>
      <c r="P175" s="37"/>
      <c r="Q175" s="37"/>
      <c r="R175" s="77">
        <f t="shared" si="57"/>
        <v>-3.6291179194185095E-3</v>
      </c>
      <c r="S175" s="77" t="e">
        <f t="shared" si="58"/>
        <v>#DIV/0!</v>
      </c>
      <c r="T175" s="77">
        <f t="shared" si="59"/>
        <v>8.476402557287551E-4</v>
      </c>
      <c r="U175" s="77">
        <f t="shared" si="60"/>
        <v>0</v>
      </c>
      <c r="V175" s="79">
        <f t="shared" si="61"/>
        <v>0</v>
      </c>
    </row>
    <row r="176" spans="1:22" ht="8.25" customHeight="1">
      <c r="A176" s="166"/>
      <c r="B176" s="166"/>
      <c r="C176" s="166"/>
      <c r="D176" s="166"/>
      <c r="E176" s="166"/>
      <c r="F176" s="166"/>
      <c r="G176" s="166"/>
      <c r="H176" s="166"/>
      <c r="I176" s="166"/>
      <c r="J176" s="166"/>
      <c r="K176" s="166"/>
      <c r="L176" s="166"/>
      <c r="M176" s="166"/>
      <c r="N176" s="166"/>
      <c r="O176" s="166"/>
      <c r="P176" s="166"/>
      <c r="Q176" s="166"/>
      <c r="R176" s="166"/>
      <c r="S176" s="166"/>
      <c r="T176" s="166"/>
      <c r="U176" s="166"/>
      <c r="V176" s="166"/>
    </row>
    <row r="177" spans="1:24" ht="15" customHeight="1">
      <c r="A177" s="164" t="s">
        <v>175</v>
      </c>
      <c r="B177" s="164"/>
      <c r="C177" s="164"/>
      <c r="D177" s="164"/>
      <c r="E177" s="164"/>
      <c r="F177" s="164"/>
      <c r="G177" s="164"/>
      <c r="H177" s="164"/>
      <c r="I177" s="164"/>
      <c r="J177" s="164"/>
      <c r="K177" s="164"/>
      <c r="L177" s="164"/>
      <c r="M177" s="164"/>
      <c r="N177" s="164"/>
      <c r="O177" s="164"/>
      <c r="P177" s="164"/>
      <c r="Q177" s="164"/>
      <c r="R177" s="164"/>
      <c r="S177" s="164"/>
      <c r="T177" s="164"/>
      <c r="U177" s="164"/>
      <c r="V177" s="164"/>
    </row>
    <row r="178" spans="1:24">
      <c r="A178" s="162">
        <v>152</v>
      </c>
      <c r="B178" s="131" t="s">
        <v>176</v>
      </c>
      <c r="C178" s="132" t="s">
        <v>20</v>
      </c>
      <c r="D178" s="17">
        <v>981122968.92999995</v>
      </c>
      <c r="E178" s="3">
        <f>(D178/$D$181)</f>
        <v>0.18565285218141592</v>
      </c>
      <c r="F178" s="17">
        <v>64.647599999999997</v>
      </c>
      <c r="G178" s="17">
        <v>66.596800000000002</v>
      </c>
      <c r="H178" s="60">
        <v>1594</v>
      </c>
      <c r="I178" s="6">
        <v>1.0505</v>
      </c>
      <c r="J178" s="6">
        <v>0.27950000000000003</v>
      </c>
      <c r="K178" s="17">
        <v>971272731.00999999</v>
      </c>
      <c r="L178" s="16">
        <f>(K178/$K$181)</f>
        <v>0.18355405649499623</v>
      </c>
      <c r="M178" s="17">
        <v>64.705299999999994</v>
      </c>
      <c r="N178" s="17">
        <v>66.656300000000002</v>
      </c>
      <c r="O178" s="60">
        <v>1598</v>
      </c>
      <c r="P178" s="6">
        <v>4.6699999999999998E-2</v>
      </c>
      <c r="Q178" s="6">
        <v>0.27329999999999999</v>
      </c>
      <c r="R178" s="77">
        <f>((K178-D178)/D178)</f>
        <v>-1.0039758758010222E-2</v>
      </c>
      <c r="S178" s="77">
        <f t="shared" ref="S178:T181" si="71">((N178-G178)/G178)</f>
        <v>8.9343632126468364E-4</v>
      </c>
      <c r="T178" s="77">
        <f t="shared" si="71"/>
        <v>2.509410288582183E-3</v>
      </c>
      <c r="U178" s="77">
        <f t="shared" ref="U178:V181" si="72">P178-I178</f>
        <v>-1.0038</v>
      </c>
      <c r="V178" s="79">
        <f t="shared" si="72"/>
        <v>-6.2000000000000388E-3</v>
      </c>
    </row>
    <row r="179" spans="1:24">
      <c r="A179" s="160">
        <v>153</v>
      </c>
      <c r="B179" s="131" t="s">
        <v>177</v>
      </c>
      <c r="C179" s="132" t="s">
        <v>178</v>
      </c>
      <c r="D179" s="94">
        <v>917149935.86000001</v>
      </c>
      <c r="E179" s="3">
        <f>(D179/$D$181)</f>
        <v>0.17354756423255238</v>
      </c>
      <c r="F179" s="17">
        <v>26.081600000000002</v>
      </c>
      <c r="G179" s="17">
        <v>26.335899999999999</v>
      </c>
      <c r="H179" s="58">
        <v>1490</v>
      </c>
      <c r="I179" s="5">
        <v>4.4999999999999997E-3</v>
      </c>
      <c r="J179" s="5">
        <v>0.1973</v>
      </c>
      <c r="K179" s="94">
        <v>913482366.79999995</v>
      </c>
      <c r="L179" s="16">
        <f>(K179/$K$181)</f>
        <v>0.17263265878825926</v>
      </c>
      <c r="M179" s="17">
        <v>25.950299999999999</v>
      </c>
      <c r="N179" s="17">
        <v>26.2014</v>
      </c>
      <c r="O179" s="58">
        <v>1489</v>
      </c>
      <c r="P179" s="5">
        <v>1.6000000000000001E-3</v>
      </c>
      <c r="Q179" s="5">
        <v>0.19120000000000001</v>
      </c>
      <c r="R179" s="77">
        <f>((K179-D179)/D179)</f>
        <v>-3.9988762105304283E-3</v>
      </c>
      <c r="S179" s="77">
        <f t="shared" si="71"/>
        <v>-5.1070971563530838E-3</v>
      </c>
      <c r="T179" s="77">
        <f t="shared" si="71"/>
        <v>-6.711409395973154E-4</v>
      </c>
      <c r="U179" s="77">
        <f t="shared" si="72"/>
        <v>-2.8999999999999998E-3</v>
      </c>
      <c r="V179" s="79">
        <f t="shared" si="72"/>
        <v>-6.0999999999999943E-3</v>
      </c>
    </row>
    <row r="180" spans="1:24">
      <c r="A180" s="160">
        <v>154</v>
      </c>
      <c r="B180" s="131" t="s">
        <v>179</v>
      </c>
      <c r="C180" s="132" t="s">
        <v>41</v>
      </c>
      <c r="D180" s="9">
        <v>3386445091.1999998</v>
      </c>
      <c r="E180" s="3">
        <f>(D180/$D$181)</f>
        <v>0.64079958358603173</v>
      </c>
      <c r="F180" s="17">
        <v>2.4700000000000002</v>
      </c>
      <c r="G180" s="17">
        <v>2.5</v>
      </c>
      <c r="H180" s="58">
        <v>10132</v>
      </c>
      <c r="I180" s="5">
        <v>0</v>
      </c>
      <c r="J180" s="5">
        <v>0.2019</v>
      </c>
      <c r="K180" s="9">
        <v>3406725513.1700001</v>
      </c>
      <c r="L180" s="16">
        <f>(K180/$K$181)</f>
        <v>0.64381328471674459</v>
      </c>
      <c r="M180" s="17">
        <v>2.4900000000000002</v>
      </c>
      <c r="N180" s="17">
        <v>2.5299999999999998</v>
      </c>
      <c r="O180" s="58">
        <v>10134</v>
      </c>
      <c r="P180" s="5">
        <v>1.2E-2</v>
      </c>
      <c r="Q180" s="5">
        <v>0.21629999999999999</v>
      </c>
      <c r="R180" s="77">
        <f>((K180-D180)/D180)</f>
        <v>5.9887053898203977E-3</v>
      </c>
      <c r="S180" s="77">
        <f t="shared" si="71"/>
        <v>1.1999999999999922E-2</v>
      </c>
      <c r="T180" s="77">
        <f t="shared" si="71"/>
        <v>1.9739439399921041E-4</v>
      </c>
      <c r="U180" s="77">
        <f t="shared" si="72"/>
        <v>1.2E-2</v>
      </c>
      <c r="V180" s="79">
        <f t="shared" si="72"/>
        <v>1.4399999999999996E-2</v>
      </c>
    </row>
    <row r="181" spans="1:24">
      <c r="A181" s="71"/>
      <c r="B181" s="129"/>
      <c r="C181" s="64" t="s">
        <v>45</v>
      </c>
      <c r="D181" s="69">
        <f>SUM(D178:D180)</f>
        <v>5284717995.9899998</v>
      </c>
      <c r="E181" s="96">
        <f>(D181/$D$205)</f>
        <v>1.5793785652549804E-3</v>
      </c>
      <c r="F181" s="30"/>
      <c r="G181" s="36"/>
      <c r="H181" s="63">
        <f>SUM(H178:H180)</f>
        <v>13216</v>
      </c>
      <c r="I181" s="37"/>
      <c r="J181" s="37"/>
      <c r="K181" s="69">
        <f>SUM(K178:K180)</f>
        <v>5291480610.9799995</v>
      </c>
      <c r="L181" s="96">
        <f>(K181/$K$205)</f>
        <v>1.5559732879036881E-3</v>
      </c>
      <c r="M181" s="30"/>
      <c r="N181" s="36"/>
      <c r="O181" s="63">
        <f>SUM(O178:O180)</f>
        <v>13221</v>
      </c>
      <c r="P181" s="37"/>
      <c r="Q181" s="37"/>
      <c r="R181" s="77">
        <f>((K181-D181)/D181)</f>
        <v>1.2796548453732418E-3</v>
      </c>
      <c r="S181" s="77" t="e">
        <f t="shared" si="71"/>
        <v>#DIV/0!</v>
      </c>
      <c r="T181" s="77">
        <f t="shared" si="71"/>
        <v>3.7832929782082324E-4</v>
      </c>
      <c r="U181" s="77">
        <f t="shared" si="72"/>
        <v>0</v>
      </c>
      <c r="V181" s="79">
        <f t="shared" si="72"/>
        <v>0</v>
      </c>
    </row>
    <row r="182" spans="1:24" ht="6" customHeight="1">
      <c r="A182" s="166"/>
      <c r="B182" s="166"/>
      <c r="C182" s="166"/>
      <c r="D182" s="166"/>
      <c r="E182" s="166"/>
      <c r="F182" s="166"/>
      <c r="G182" s="166"/>
      <c r="H182" s="166"/>
      <c r="I182" s="166"/>
      <c r="J182" s="166"/>
      <c r="K182" s="166"/>
      <c r="L182" s="166"/>
      <c r="M182" s="166"/>
      <c r="N182" s="166"/>
      <c r="O182" s="166"/>
      <c r="P182" s="166"/>
      <c r="Q182" s="166"/>
      <c r="R182" s="166"/>
      <c r="S182" s="166"/>
      <c r="T182" s="166"/>
      <c r="U182" s="166"/>
      <c r="V182" s="166"/>
    </row>
    <row r="183" spans="1:24" ht="15" customHeight="1">
      <c r="A183" s="164" t="s">
        <v>180</v>
      </c>
      <c r="B183" s="164"/>
      <c r="C183" s="164"/>
      <c r="D183" s="164"/>
      <c r="E183" s="164"/>
      <c r="F183" s="164"/>
      <c r="G183" s="164"/>
      <c r="H183" s="164"/>
      <c r="I183" s="164"/>
      <c r="J183" s="164"/>
      <c r="K183" s="164"/>
      <c r="L183" s="164"/>
      <c r="M183" s="164"/>
      <c r="N183" s="164"/>
      <c r="O183" s="164"/>
      <c r="P183" s="164"/>
      <c r="Q183" s="164"/>
      <c r="R183" s="164"/>
      <c r="S183" s="164"/>
      <c r="T183" s="164"/>
      <c r="U183" s="164"/>
      <c r="V183" s="164"/>
    </row>
    <row r="184" spans="1:24">
      <c r="A184" s="165" t="s">
        <v>229</v>
      </c>
      <c r="B184" s="165"/>
      <c r="C184" s="165"/>
      <c r="D184" s="165"/>
      <c r="E184" s="165"/>
      <c r="F184" s="165"/>
      <c r="G184" s="165"/>
      <c r="H184" s="165"/>
      <c r="I184" s="165"/>
      <c r="J184" s="165"/>
      <c r="K184" s="165"/>
      <c r="L184" s="165"/>
      <c r="M184" s="165"/>
      <c r="N184" s="165"/>
      <c r="O184" s="165"/>
      <c r="P184" s="165"/>
      <c r="Q184" s="165"/>
      <c r="R184" s="165"/>
      <c r="S184" s="165"/>
      <c r="T184" s="165"/>
      <c r="U184" s="165"/>
      <c r="V184" s="165"/>
    </row>
    <row r="185" spans="1:24">
      <c r="A185" s="157">
        <v>155</v>
      </c>
      <c r="B185" s="131" t="s">
        <v>181</v>
      </c>
      <c r="C185" s="132" t="s">
        <v>182</v>
      </c>
      <c r="D185" s="13">
        <v>4525111622.3299999</v>
      </c>
      <c r="E185" s="3">
        <f>(D185/$D$204)</f>
        <v>8.8314084370877705E-2</v>
      </c>
      <c r="F185" s="18">
        <v>2.13</v>
      </c>
      <c r="G185" s="18">
        <v>2.17</v>
      </c>
      <c r="H185" s="59">
        <v>14984</v>
      </c>
      <c r="I185" s="12">
        <v>4.0599999999999997E-2</v>
      </c>
      <c r="J185" s="12">
        <v>0.1769</v>
      </c>
      <c r="K185" s="13">
        <v>4597411583.9899998</v>
      </c>
      <c r="L185" s="3">
        <f>(K185/$K$204)</f>
        <v>8.917548071181236E-2</v>
      </c>
      <c r="M185" s="18">
        <v>2.16</v>
      </c>
      <c r="N185" s="18">
        <v>2.2000000000000002</v>
      </c>
      <c r="O185" s="59">
        <v>14984</v>
      </c>
      <c r="P185" s="12">
        <v>1.66E-2</v>
      </c>
      <c r="Q185" s="12">
        <v>0.19639999999999999</v>
      </c>
      <c r="R185" s="77">
        <f>((K185-D185)/D185)</f>
        <v>1.5977497947945046E-2</v>
      </c>
      <c r="S185" s="77">
        <f>((N185-G185)/G185)</f>
        <v>1.3824884792626843E-2</v>
      </c>
      <c r="T185" s="77">
        <f>((O185-H185)/H185)</f>
        <v>0</v>
      </c>
      <c r="U185" s="77">
        <f>P185-I185</f>
        <v>-2.3999999999999997E-2</v>
      </c>
      <c r="V185" s="79">
        <f>Q185-J185</f>
        <v>1.949999999999999E-2</v>
      </c>
    </row>
    <row r="186" spans="1:24">
      <c r="A186" s="160">
        <v>156</v>
      </c>
      <c r="B186" s="131" t="s">
        <v>183</v>
      </c>
      <c r="C186" s="132" t="s">
        <v>41</v>
      </c>
      <c r="D186" s="13">
        <v>662789056.13999999</v>
      </c>
      <c r="E186" s="3">
        <f>(D186/$D$204)</f>
        <v>1.2935285029257056E-2</v>
      </c>
      <c r="F186" s="18">
        <v>441.59</v>
      </c>
      <c r="G186" s="18">
        <v>447.25</v>
      </c>
      <c r="H186" s="59">
        <v>840</v>
      </c>
      <c r="I186" s="12">
        <v>2.4799999999999999E-2</v>
      </c>
      <c r="J186" s="12">
        <v>0.17119999999999999</v>
      </c>
      <c r="K186" s="13">
        <v>663556942.40999997</v>
      </c>
      <c r="L186" s="3">
        <f>(K186/$K$204)</f>
        <v>1.2870940144914562E-2</v>
      </c>
      <c r="M186" s="18">
        <v>436.41</v>
      </c>
      <c r="N186" s="18">
        <v>441.9</v>
      </c>
      <c r="O186" s="59">
        <v>841</v>
      </c>
      <c r="P186" s="12">
        <v>-1.2E-2</v>
      </c>
      <c r="Q186" s="12">
        <v>0.15720000000000001</v>
      </c>
      <c r="R186" s="77">
        <f>((K186-D186)/D186)</f>
        <v>1.158568118900535E-3</v>
      </c>
      <c r="S186" s="77">
        <f>((N186-G186)/G186)</f>
        <v>-1.1961989938513187E-2</v>
      </c>
      <c r="T186" s="77">
        <f>((O186-H186)/H186)</f>
        <v>1.1904761904761906E-3</v>
      </c>
      <c r="U186" s="77">
        <f>P186-I186</f>
        <v>-3.6799999999999999E-2</v>
      </c>
      <c r="V186" s="79">
        <f>Q186-J186</f>
        <v>-1.3999999999999985E-2</v>
      </c>
    </row>
    <row r="187" spans="1:24" ht="6" customHeight="1">
      <c r="A187" s="166"/>
      <c r="B187" s="166"/>
      <c r="C187" s="166"/>
      <c r="D187" s="166"/>
      <c r="E187" s="166"/>
      <c r="F187" s="166"/>
      <c r="G187" s="166"/>
      <c r="H187" s="166"/>
      <c r="I187" s="166"/>
      <c r="J187" s="166"/>
      <c r="K187" s="166"/>
      <c r="L187" s="166"/>
      <c r="M187" s="166"/>
      <c r="N187" s="166"/>
      <c r="O187" s="166"/>
      <c r="P187" s="166"/>
      <c r="Q187" s="166"/>
      <c r="R187" s="166"/>
      <c r="S187" s="166"/>
      <c r="T187" s="166"/>
      <c r="U187" s="166"/>
      <c r="V187" s="166"/>
    </row>
    <row r="188" spans="1:24" ht="15" customHeight="1">
      <c r="A188" s="165" t="s">
        <v>228</v>
      </c>
      <c r="B188" s="165"/>
      <c r="C188" s="165"/>
      <c r="D188" s="165"/>
      <c r="E188" s="165"/>
      <c r="F188" s="165"/>
      <c r="G188" s="165"/>
      <c r="H188" s="165"/>
      <c r="I188" s="165"/>
      <c r="J188" s="165"/>
      <c r="K188" s="165"/>
      <c r="L188" s="165"/>
      <c r="M188" s="165"/>
      <c r="N188" s="165"/>
      <c r="O188" s="165"/>
      <c r="P188" s="165"/>
      <c r="Q188" s="165"/>
      <c r="R188" s="165"/>
      <c r="S188" s="165"/>
      <c r="T188" s="165"/>
      <c r="U188" s="165"/>
      <c r="V188" s="165"/>
    </row>
    <row r="189" spans="1:24">
      <c r="A189" s="162">
        <v>157</v>
      </c>
      <c r="B189" s="131" t="s">
        <v>184</v>
      </c>
      <c r="C189" s="132" t="s">
        <v>185</v>
      </c>
      <c r="D189" s="2">
        <v>409341580.54000002</v>
      </c>
      <c r="E189" s="3">
        <f t="shared" ref="E189:E200" si="73">(D189/$D$204)</f>
        <v>7.9888917440016378E-3</v>
      </c>
      <c r="F189" s="2">
        <v>1048.46</v>
      </c>
      <c r="G189" s="2">
        <v>1048.46</v>
      </c>
      <c r="H189" s="58">
        <v>22</v>
      </c>
      <c r="I189" s="5">
        <v>2.5000000000000001E-3</v>
      </c>
      <c r="J189" s="5">
        <v>8.1500000000000003E-2</v>
      </c>
      <c r="K189" s="2">
        <v>410338951.35000002</v>
      </c>
      <c r="L189" s="3">
        <f t="shared" ref="L189:L200" si="74">(K189/$K$204)</f>
        <v>7.9592989604945555E-3</v>
      </c>
      <c r="M189" s="2">
        <v>1050.76</v>
      </c>
      <c r="N189" s="2">
        <v>1050.76</v>
      </c>
      <c r="O189" s="58">
        <v>22</v>
      </c>
      <c r="P189" s="5">
        <v>2.5000000000000001E-3</v>
      </c>
      <c r="Q189" s="5">
        <v>8.4000000000000005E-2</v>
      </c>
      <c r="R189" s="77">
        <f>((K189-D189)/D189)</f>
        <v>2.4365245492145682E-3</v>
      </c>
      <c r="S189" s="77">
        <f>((N189-G189)/G189)</f>
        <v>2.1936936077675395E-3</v>
      </c>
      <c r="T189" s="77">
        <f>((O189-H189)/H189)</f>
        <v>0</v>
      </c>
      <c r="U189" s="77">
        <f>P189-I189</f>
        <v>0</v>
      </c>
      <c r="V189" s="79">
        <f>Q189-J189</f>
        <v>2.5000000000000022E-3</v>
      </c>
      <c r="X189" s="67"/>
    </row>
    <row r="190" spans="1:24">
      <c r="A190" s="160">
        <v>158</v>
      </c>
      <c r="B190" s="131" t="s">
        <v>186</v>
      </c>
      <c r="C190" s="132" t="s">
        <v>57</v>
      </c>
      <c r="D190" s="2">
        <v>127799243.86</v>
      </c>
      <c r="E190" s="3">
        <f t="shared" si="73"/>
        <v>2.4941866956587821E-3</v>
      </c>
      <c r="F190" s="17">
        <v>115</v>
      </c>
      <c r="G190" s="17">
        <v>115</v>
      </c>
      <c r="H190" s="58">
        <v>75</v>
      </c>
      <c r="I190" s="5">
        <v>2.7000000000000001E-3</v>
      </c>
      <c r="J190" s="5">
        <v>0.14630000000000001</v>
      </c>
      <c r="K190" s="2">
        <v>128208508.23999999</v>
      </c>
      <c r="L190" s="3">
        <f t="shared" si="74"/>
        <v>2.4868461621884719E-3</v>
      </c>
      <c r="M190" s="17">
        <v>115.3</v>
      </c>
      <c r="N190" s="17">
        <v>115.3</v>
      </c>
      <c r="O190" s="58">
        <v>75</v>
      </c>
      <c r="P190" s="5">
        <v>2.5999999999999999E-3</v>
      </c>
      <c r="Q190" s="5">
        <v>0.14630000000000001</v>
      </c>
      <c r="R190" s="77">
        <f t="shared" ref="R190:R205" si="75">((K190-D190)/D190)</f>
        <v>3.2024006374273334E-3</v>
      </c>
      <c r="S190" s="77">
        <f t="shared" ref="S190:S204" si="76">((N190-G190)/G190)</f>
        <v>2.6086956521738885E-3</v>
      </c>
      <c r="T190" s="77">
        <f t="shared" ref="T190:T204" si="77">((O190-H190)/H190)</f>
        <v>0</v>
      </c>
      <c r="U190" s="77">
        <f t="shared" ref="U190:U204" si="78">P190-I190</f>
        <v>-1.0000000000000026E-4</v>
      </c>
      <c r="V190" s="79">
        <f t="shared" ref="V190:V204" si="79">Q190-J190</f>
        <v>0</v>
      </c>
    </row>
    <row r="191" spans="1:24">
      <c r="A191" s="158">
        <v>159</v>
      </c>
      <c r="B191" s="161" t="s">
        <v>187</v>
      </c>
      <c r="C191" s="132" t="s">
        <v>63</v>
      </c>
      <c r="D191" s="9">
        <v>58605742.880000003</v>
      </c>
      <c r="E191" s="3">
        <f t="shared" si="73"/>
        <v>1.1437756575510259E-3</v>
      </c>
      <c r="F191" s="17">
        <v>104.32</v>
      </c>
      <c r="G191" s="17">
        <v>107.46</v>
      </c>
      <c r="H191" s="58">
        <v>13</v>
      </c>
      <c r="I191" s="5">
        <v>1.4E-3</v>
      </c>
      <c r="J191" s="5">
        <v>9.8400000000000001E-2</v>
      </c>
      <c r="K191" s="9">
        <v>60585190.369999997</v>
      </c>
      <c r="L191" s="3">
        <f t="shared" si="74"/>
        <v>1.1751641932768852E-3</v>
      </c>
      <c r="M191" s="17">
        <v>104.49</v>
      </c>
      <c r="N191" s="17">
        <v>107.77</v>
      </c>
      <c r="O191" s="58">
        <v>13</v>
      </c>
      <c r="P191" s="5">
        <v>2.5000000000000001E-3</v>
      </c>
      <c r="Q191" s="5">
        <v>0.1009</v>
      </c>
      <c r="R191" s="77">
        <f t="shared" si="75"/>
        <v>3.3775657345613268E-2</v>
      </c>
      <c r="S191" s="77">
        <f t="shared" si="76"/>
        <v>2.8847943420807955E-3</v>
      </c>
      <c r="T191" s="77">
        <f t="shared" si="77"/>
        <v>0</v>
      </c>
      <c r="U191" s="77">
        <f t="shared" si="78"/>
        <v>1.1000000000000001E-3</v>
      </c>
      <c r="V191" s="79">
        <f t="shared" si="79"/>
        <v>2.5000000000000022E-3</v>
      </c>
    </row>
    <row r="192" spans="1:24">
      <c r="A192" s="162">
        <v>160</v>
      </c>
      <c r="B192" s="131" t="s">
        <v>279</v>
      </c>
      <c r="C192" s="132" t="s">
        <v>66</v>
      </c>
      <c r="D192" s="9">
        <v>111121304.56</v>
      </c>
      <c r="E192" s="3">
        <v>0</v>
      </c>
      <c r="F192" s="17">
        <v>1.0041</v>
      </c>
      <c r="G192" s="17">
        <v>1.0055000000000001</v>
      </c>
      <c r="H192" s="58">
        <v>23</v>
      </c>
      <c r="I192" s="5">
        <v>6.96E-4</v>
      </c>
      <c r="J192" s="5">
        <v>3.4779999999999998E-2</v>
      </c>
      <c r="K192" s="9">
        <v>111331708.73999999</v>
      </c>
      <c r="L192" s="3">
        <f t="shared" si="74"/>
        <v>2.1594887610085632E-3</v>
      </c>
      <c r="M192" s="17">
        <v>1.0075000000000001</v>
      </c>
      <c r="N192" s="17">
        <v>1.0075000000000001</v>
      </c>
      <c r="O192" s="58">
        <v>23</v>
      </c>
      <c r="P192" s="5">
        <v>1.392E-3</v>
      </c>
      <c r="Q192" s="5">
        <v>5.4300000000000001E-2</v>
      </c>
      <c r="R192" s="77">
        <f t="shared" ref="R192" si="80">((K192-D192)/D192)</f>
        <v>1.8934639116514728E-3</v>
      </c>
      <c r="S192" s="77">
        <f t="shared" ref="S192" si="81">((N192-G192)/G192)</f>
        <v>1.9890601690701159E-3</v>
      </c>
      <c r="T192" s="77">
        <f t="shared" ref="T192" si="82">((O192-H192)/H192)</f>
        <v>0</v>
      </c>
      <c r="U192" s="77">
        <f t="shared" ref="U192" si="83">P192-I192</f>
        <v>6.96E-4</v>
      </c>
      <c r="V192" s="79">
        <f t="shared" ref="V192" si="84">Q192-J192</f>
        <v>1.9520000000000003E-2</v>
      </c>
    </row>
    <row r="193" spans="1:22">
      <c r="A193" s="157">
        <v>161</v>
      </c>
      <c r="B193" s="131" t="s">
        <v>188</v>
      </c>
      <c r="C193" s="132" t="s">
        <v>26</v>
      </c>
      <c r="D193" s="2">
        <v>8664949546.3999996</v>
      </c>
      <c r="E193" s="3">
        <f t="shared" si="73"/>
        <v>0.16910899645744962</v>
      </c>
      <c r="F193" s="17">
        <v>146.99</v>
      </c>
      <c r="G193" s="17">
        <v>146.99</v>
      </c>
      <c r="H193" s="58">
        <v>698</v>
      </c>
      <c r="I193" s="5">
        <v>3.0999999999999999E-3</v>
      </c>
      <c r="J193" s="5">
        <v>9.9299999999999999E-2</v>
      </c>
      <c r="K193" s="2">
        <v>8636992257.9099998</v>
      </c>
      <c r="L193" s="3">
        <f>(K193/$K$204)</f>
        <v>0.16753077735861058</v>
      </c>
      <c r="M193" s="17">
        <v>147.4</v>
      </c>
      <c r="N193" s="17">
        <v>147.4</v>
      </c>
      <c r="O193" s="58">
        <v>696</v>
      </c>
      <c r="P193" s="5">
        <v>2.8E-3</v>
      </c>
      <c r="Q193" s="5">
        <v>0.1024</v>
      </c>
      <c r="R193" s="77">
        <f>((K193-D193)/D193)</f>
        <v>-3.2264802397626311E-3</v>
      </c>
      <c r="S193" s="77">
        <f>((N193-G193)/G193)</f>
        <v>2.7893053949248014E-3</v>
      </c>
      <c r="T193" s="77">
        <f t="shared" si="77"/>
        <v>-2.8653295128939827E-3</v>
      </c>
      <c r="U193" s="77">
        <f t="shared" si="78"/>
        <v>-2.9999999999999992E-4</v>
      </c>
      <c r="V193" s="79">
        <f t="shared" si="79"/>
        <v>3.1000000000000055E-3</v>
      </c>
    </row>
    <row r="194" spans="1:22">
      <c r="A194" s="157">
        <v>162</v>
      </c>
      <c r="B194" s="131" t="s">
        <v>246</v>
      </c>
      <c r="C194" s="132" t="s">
        <v>55</v>
      </c>
      <c r="D194" s="2">
        <v>325175086.86209702</v>
      </c>
      <c r="E194" s="3">
        <f t="shared" si="73"/>
        <v>6.346261142981471E-3</v>
      </c>
      <c r="F194" s="17">
        <v>1123.34969458869</v>
      </c>
      <c r="G194" s="17">
        <v>1123.34969458869</v>
      </c>
      <c r="H194" s="58">
        <v>87</v>
      </c>
      <c r="I194" s="5">
        <v>0.15174788188694299</v>
      </c>
      <c r="J194" s="5">
        <v>0.1376187433366223</v>
      </c>
      <c r="K194" s="2">
        <v>326119180.80517101</v>
      </c>
      <c r="L194" s="3">
        <f t="shared" si="74"/>
        <v>6.3256974465627554E-3</v>
      </c>
      <c r="M194" s="7">
        <v>1126.61128287781</v>
      </c>
      <c r="N194" s="7">
        <v>1126.61128287781</v>
      </c>
      <c r="O194" s="58">
        <v>87</v>
      </c>
      <c r="P194" s="5">
        <v>0.15180889283546023</v>
      </c>
      <c r="Q194" s="5">
        <v>0.13840444856247977</v>
      </c>
      <c r="R194" s="77">
        <f t="shared" si="75"/>
        <v>2.9033403271584799E-3</v>
      </c>
      <c r="S194" s="77">
        <f t="shared" si="76"/>
        <v>2.9034487700771083E-3</v>
      </c>
      <c r="T194" s="77">
        <f t="shared" si="77"/>
        <v>0</v>
      </c>
      <c r="U194" s="77">
        <f t="shared" si="78"/>
        <v>6.1010948517237207E-5</v>
      </c>
      <c r="V194" s="79">
        <f t="shared" si="79"/>
        <v>7.8570522585746927E-4</v>
      </c>
    </row>
    <row r="195" spans="1:22">
      <c r="A195" s="157">
        <v>163</v>
      </c>
      <c r="B195" s="131" t="s">
        <v>189</v>
      </c>
      <c r="C195" s="132" t="s">
        <v>182</v>
      </c>
      <c r="D195" s="2">
        <v>23776753436.220001</v>
      </c>
      <c r="E195" s="3">
        <f t="shared" si="73"/>
        <v>0.46403766012531683</v>
      </c>
      <c r="F195" s="7">
        <v>1232.07</v>
      </c>
      <c r="G195" s="7">
        <v>1232.07</v>
      </c>
      <c r="H195" s="58">
        <v>8946</v>
      </c>
      <c r="I195" s="5">
        <v>2.5000000000000001E-3</v>
      </c>
      <c r="J195" s="5">
        <v>9.64E-2</v>
      </c>
      <c r="K195" s="2">
        <v>24060037946.98</v>
      </c>
      <c r="L195" s="3">
        <f t="shared" si="74"/>
        <v>0.46668987769946318</v>
      </c>
      <c r="M195" s="7">
        <v>1234.33</v>
      </c>
      <c r="N195" s="7">
        <v>1234.33</v>
      </c>
      <c r="O195" s="58">
        <v>8946</v>
      </c>
      <c r="P195" s="5">
        <v>1.8E-3</v>
      </c>
      <c r="Q195" s="5">
        <v>9.8299999999999998E-2</v>
      </c>
      <c r="R195" s="77">
        <f t="shared" si="75"/>
        <v>1.1914347832217523E-2</v>
      </c>
      <c r="S195" s="77">
        <f t="shared" si="76"/>
        <v>1.8343113621790896E-3</v>
      </c>
      <c r="T195" s="77">
        <f t="shared" si="77"/>
        <v>0</v>
      </c>
      <c r="U195" s="77">
        <f t="shared" si="78"/>
        <v>-7.000000000000001E-4</v>
      </c>
      <c r="V195" s="79">
        <f t="shared" si="79"/>
        <v>1.8999999999999989E-3</v>
      </c>
    </row>
    <row r="196" spans="1:22">
      <c r="A196" s="157">
        <v>164</v>
      </c>
      <c r="B196" s="131" t="s">
        <v>193</v>
      </c>
      <c r="C196" s="132" t="s">
        <v>194</v>
      </c>
      <c r="D196" s="2">
        <v>388744042.06</v>
      </c>
      <c r="E196" s="3">
        <f t="shared" si="73"/>
        <v>7.5869010522850687E-3</v>
      </c>
      <c r="F196" s="18">
        <v>123.82</v>
      </c>
      <c r="G196" s="18">
        <v>124.52</v>
      </c>
      <c r="H196" s="59">
        <v>166</v>
      </c>
      <c r="I196" s="5">
        <v>2E-3</v>
      </c>
      <c r="J196" s="5">
        <v>0.25090000000000001</v>
      </c>
      <c r="K196" s="2">
        <v>388499458.57999998</v>
      </c>
      <c r="L196" s="3">
        <f t="shared" si="74"/>
        <v>7.5356807504023751E-3</v>
      </c>
      <c r="M196" s="18">
        <v>123.74</v>
      </c>
      <c r="N196" s="18">
        <v>124.44</v>
      </c>
      <c r="O196" s="59">
        <v>166</v>
      </c>
      <c r="P196" s="5">
        <v>-6.9999999999999999E-4</v>
      </c>
      <c r="Q196" s="5">
        <v>0.25</v>
      </c>
      <c r="R196" s="77">
        <f>((K196-D196)/D196)</f>
        <v>-6.2916328879008068E-4</v>
      </c>
      <c r="S196" s="77">
        <f>((N196-G196)/G196)</f>
        <v>-6.424670735624662E-4</v>
      </c>
      <c r="T196" s="77">
        <f>((O196-H196)/H196)</f>
        <v>0</v>
      </c>
      <c r="U196" s="77">
        <f>P196-I196</f>
        <v>-2.7000000000000001E-3</v>
      </c>
      <c r="V196" s="79">
        <f>Q196-J196</f>
        <v>-9.000000000000119E-4</v>
      </c>
    </row>
    <row r="197" spans="1:22">
      <c r="A197" s="157">
        <v>165</v>
      </c>
      <c r="B197" s="131" t="s">
        <v>241</v>
      </c>
      <c r="C197" s="132" t="s">
        <v>194</v>
      </c>
      <c r="D197" s="2">
        <v>102128001.42</v>
      </c>
      <c r="E197" s="3">
        <f t="shared" si="73"/>
        <v>1.9931753483223248E-3</v>
      </c>
      <c r="F197" s="18">
        <v>106.7</v>
      </c>
      <c r="G197" s="18">
        <v>106.7</v>
      </c>
      <c r="H197" s="59">
        <v>72</v>
      </c>
      <c r="I197" s="5">
        <v>-4.4999999999999997E-3</v>
      </c>
      <c r="J197" s="5">
        <v>6.4600000000000005E-2</v>
      </c>
      <c r="K197" s="2">
        <v>102609630.64</v>
      </c>
      <c r="L197" s="3">
        <f t="shared" si="74"/>
        <v>1.9903075830426703E-3</v>
      </c>
      <c r="M197" s="18">
        <v>106.67</v>
      </c>
      <c r="N197" s="18">
        <v>106.67</v>
      </c>
      <c r="O197" s="59">
        <v>72</v>
      </c>
      <c r="P197" s="5">
        <v>-2.9999999999999997E-4</v>
      </c>
      <c r="Q197" s="5">
        <v>6.4299999999999996E-2</v>
      </c>
      <c r="R197" s="77">
        <f>((K197-D197)/D197)</f>
        <v>4.7159369938055019E-3</v>
      </c>
      <c r="S197" s="77">
        <f>((N197-G197)/G197)</f>
        <v>-2.8116213683225056E-4</v>
      </c>
      <c r="T197" s="77">
        <f>((O197-H197)/H197)</f>
        <v>0</v>
      </c>
      <c r="U197" s="77">
        <f>P197-I197</f>
        <v>4.1999999999999997E-3</v>
      </c>
      <c r="V197" s="79">
        <f>Q197-J197</f>
        <v>-3.0000000000000859E-4</v>
      </c>
    </row>
    <row r="198" spans="1:22" ht="13.5" customHeight="1">
      <c r="A198" s="157">
        <v>166</v>
      </c>
      <c r="B198" s="131" t="s">
        <v>190</v>
      </c>
      <c r="C198" s="132" t="s">
        <v>77</v>
      </c>
      <c r="D198" s="2">
        <v>1064479854.51</v>
      </c>
      <c r="E198" s="3">
        <f t="shared" si="73"/>
        <v>2.077486071689218E-2</v>
      </c>
      <c r="F198" s="14">
        <v>104.41</v>
      </c>
      <c r="G198" s="14">
        <v>104.41</v>
      </c>
      <c r="H198" s="58">
        <v>569</v>
      </c>
      <c r="I198" s="5">
        <v>2.3E-3</v>
      </c>
      <c r="J198" s="5">
        <v>7.8899999999999998E-2</v>
      </c>
      <c r="K198" s="2">
        <v>1056754787.55</v>
      </c>
      <c r="L198" s="3">
        <f t="shared" si="74"/>
        <v>2.0497754976397903E-2</v>
      </c>
      <c r="M198" s="14">
        <v>104.95</v>
      </c>
      <c r="N198" s="14">
        <v>104.95</v>
      </c>
      <c r="O198" s="58">
        <v>572</v>
      </c>
      <c r="P198" s="5">
        <v>2.3E-3</v>
      </c>
      <c r="Q198" s="5">
        <v>8.1299999999999997E-2</v>
      </c>
      <c r="R198" s="77">
        <f t="shared" si="75"/>
        <v>-7.2571283780246184E-3</v>
      </c>
      <c r="S198" s="77">
        <f t="shared" si="76"/>
        <v>5.1719183986208821E-3</v>
      </c>
      <c r="T198" s="77">
        <f t="shared" si="77"/>
        <v>5.272407732864675E-3</v>
      </c>
      <c r="U198" s="77">
        <f t="shared" si="78"/>
        <v>0</v>
      </c>
      <c r="V198" s="79">
        <f t="shared" si="79"/>
        <v>2.3999999999999994E-3</v>
      </c>
    </row>
    <row r="199" spans="1:22" ht="15.75" customHeight="1">
      <c r="A199" s="160">
        <v>167</v>
      </c>
      <c r="B199" s="131" t="s">
        <v>191</v>
      </c>
      <c r="C199" s="132" t="s">
        <v>41</v>
      </c>
      <c r="D199" s="2">
        <v>7014329132.4799995</v>
      </c>
      <c r="E199" s="3">
        <f t="shared" si="73"/>
        <v>0.13689475675121121</v>
      </c>
      <c r="F199" s="14">
        <v>131.86000000000001</v>
      </c>
      <c r="G199" s="14">
        <v>131.86000000000001</v>
      </c>
      <c r="H199" s="58">
        <v>1231</v>
      </c>
      <c r="I199" s="5">
        <v>1.6999999999999999E-3</v>
      </c>
      <c r="J199" s="5">
        <v>2.7799999999999998E-2</v>
      </c>
      <c r="K199" s="2">
        <v>7006933233.9099998</v>
      </c>
      <c r="L199" s="3">
        <f t="shared" si="74"/>
        <v>0.13591270392789295</v>
      </c>
      <c r="M199" s="14">
        <v>132.07</v>
      </c>
      <c r="N199" s="14">
        <v>132.07</v>
      </c>
      <c r="O199" s="58">
        <v>1231</v>
      </c>
      <c r="P199" s="5">
        <v>1.6000000000000001E-3</v>
      </c>
      <c r="Q199" s="5">
        <v>2.9499999999999998E-2</v>
      </c>
      <c r="R199" s="77">
        <f t="shared" si="75"/>
        <v>-1.0543985647540875E-3</v>
      </c>
      <c r="S199" s="77">
        <f t="shared" si="76"/>
        <v>1.5925982102228083E-3</v>
      </c>
      <c r="T199" s="77">
        <f t="shared" si="77"/>
        <v>0</v>
      </c>
      <c r="U199" s="77">
        <f t="shared" si="78"/>
        <v>-9.9999999999999829E-5</v>
      </c>
      <c r="V199" s="79">
        <f t="shared" si="79"/>
        <v>1.7000000000000001E-3</v>
      </c>
    </row>
    <row r="200" spans="1:22">
      <c r="A200" s="157">
        <v>168</v>
      </c>
      <c r="B200" s="131" t="s">
        <v>192</v>
      </c>
      <c r="C200" s="132" t="s">
        <v>44</v>
      </c>
      <c r="D200" s="2">
        <v>3809463541.5599999</v>
      </c>
      <c r="E200" s="3">
        <f t="shared" si="73"/>
        <v>7.4347179184915554E-2</v>
      </c>
      <c r="F200" s="14">
        <v>1.1758999999999999</v>
      </c>
      <c r="G200" s="14">
        <v>1.1758999999999999</v>
      </c>
      <c r="H200" s="58">
        <v>907</v>
      </c>
      <c r="I200" s="5">
        <v>9.7699999999999995E-2</v>
      </c>
      <c r="J200" s="5">
        <v>9.7900000000000001E-2</v>
      </c>
      <c r="K200" s="2">
        <v>3807227418.0100002</v>
      </c>
      <c r="L200" s="3">
        <f t="shared" si="74"/>
        <v>7.3848366407425065E-2</v>
      </c>
      <c r="M200" s="14">
        <v>1.1779999999999999</v>
      </c>
      <c r="N200" s="14">
        <v>1.1779999999999999</v>
      </c>
      <c r="O200" s="58">
        <v>958</v>
      </c>
      <c r="P200" s="5">
        <v>9.7500000000000003E-2</v>
      </c>
      <c r="Q200" s="5">
        <v>9.7699999999999995E-2</v>
      </c>
      <c r="R200" s="77">
        <f t="shared" si="75"/>
        <v>-5.8699171828377884E-4</v>
      </c>
      <c r="S200" s="77">
        <f t="shared" si="76"/>
        <v>1.7858661450803563E-3</v>
      </c>
      <c r="T200" s="77">
        <f t="shared" si="77"/>
        <v>5.6229327453142228E-2</v>
      </c>
      <c r="U200" s="77">
        <f t="shared" si="78"/>
        <v>-1.9999999999999185E-4</v>
      </c>
      <c r="V200" s="79">
        <f t="shared" si="79"/>
        <v>-2.0000000000000573E-4</v>
      </c>
    </row>
    <row r="201" spans="1:22" ht="6" customHeight="1">
      <c r="A201" s="167"/>
      <c r="B201" s="168"/>
      <c r="C201" s="168"/>
      <c r="D201" s="168"/>
      <c r="E201" s="168"/>
      <c r="F201" s="168"/>
      <c r="G201" s="168"/>
      <c r="H201" s="168"/>
      <c r="I201" s="168"/>
      <c r="J201" s="168"/>
      <c r="K201" s="168"/>
      <c r="L201" s="168"/>
      <c r="M201" s="168"/>
      <c r="N201" s="168"/>
      <c r="O201" s="168"/>
      <c r="P201" s="168"/>
      <c r="Q201" s="168"/>
      <c r="R201" s="168"/>
      <c r="S201" s="168"/>
      <c r="T201" s="168"/>
      <c r="U201" s="168"/>
      <c r="V201" s="169"/>
    </row>
    <row r="202" spans="1:22">
      <c r="A202" s="165" t="s">
        <v>282</v>
      </c>
      <c r="B202" s="165"/>
      <c r="C202" s="165"/>
      <c r="D202" s="165"/>
      <c r="E202" s="165"/>
      <c r="F202" s="165"/>
      <c r="G202" s="165"/>
      <c r="H202" s="165"/>
      <c r="I202" s="165"/>
      <c r="J202" s="165"/>
      <c r="K202" s="165"/>
      <c r="L202" s="165"/>
      <c r="M202" s="165"/>
      <c r="N202" s="165"/>
      <c r="O202" s="165"/>
      <c r="P202" s="165"/>
      <c r="Q202" s="165"/>
      <c r="R202" s="165"/>
      <c r="S202" s="165"/>
      <c r="T202" s="165"/>
      <c r="U202" s="165"/>
      <c r="V202" s="165"/>
    </row>
    <row r="203" spans="1:22">
      <c r="A203" s="157">
        <v>169</v>
      </c>
      <c r="B203" s="131" t="s">
        <v>283</v>
      </c>
      <c r="C203" s="132" t="s">
        <v>182</v>
      </c>
      <c r="D203" s="2">
        <v>198053150.68000001</v>
      </c>
      <c r="E203" s="3">
        <f t="shared" ref="E203" si="85">(D203/$D$204)</f>
        <v>3.8652930842102725E-3</v>
      </c>
      <c r="F203" s="7">
        <v>1079.01</v>
      </c>
      <c r="G203" s="7">
        <v>1079.01</v>
      </c>
      <c r="H203" s="58">
        <v>63</v>
      </c>
      <c r="I203" s="5">
        <v>7.2700000000000001E-2</v>
      </c>
      <c r="J203" s="5">
        <v>7.9000000000000001E-2</v>
      </c>
      <c r="K203" s="2">
        <v>198053150.68000001</v>
      </c>
      <c r="L203" s="3">
        <f t="shared" ref="L203" si="86">(K203/$K$204)</f>
        <v>3.8416149165069889E-3</v>
      </c>
      <c r="M203" s="7">
        <v>1079.01</v>
      </c>
      <c r="N203" s="7">
        <v>1079.01</v>
      </c>
      <c r="O203" s="58">
        <v>63</v>
      </c>
      <c r="P203" s="5">
        <v>7.2700000000000001E-2</v>
      </c>
      <c r="Q203" s="5">
        <v>7.9000000000000001E-2</v>
      </c>
      <c r="R203" s="77">
        <f t="shared" ref="R203" si="87">((K203-D203)/D203)</f>
        <v>0</v>
      </c>
      <c r="S203" s="77">
        <f t="shared" ref="S203" si="88">((N203-G203)/G203)</f>
        <v>0</v>
      </c>
      <c r="T203" s="77">
        <f t="shared" ref="T203" si="89">((O203-H203)/H203)</f>
        <v>0</v>
      </c>
      <c r="U203" s="77">
        <f t="shared" ref="U203" si="90">P203-I203</f>
        <v>0</v>
      </c>
      <c r="V203" s="79">
        <f t="shared" ref="V203" si="91">Q203-J203</f>
        <v>0</v>
      </c>
    </row>
    <row r="204" spans="1:22">
      <c r="A204" s="81"/>
      <c r="B204" s="129"/>
      <c r="C204" s="64" t="s">
        <v>45</v>
      </c>
      <c r="D204" s="57">
        <f>SUM(D185:D203)</f>
        <v>51238844342.502098</v>
      </c>
      <c r="E204" s="96">
        <f>(D204/$D$205)</f>
        <v>1.5313122199593214E-2</v>
      </c>
      <c r="F204" s="30"/>
      <c r="G204" s="34"/>
      <c r="H204" s="57">
        <f>SUM(H185:H203)</f>
        <v>28696</v>
      </c>
      <c r="I204" s="35"/>
      <c r="J204" s="35"/>
      <c r="K204" s="57">
        <f>SUM(K185:K203)</f>
        <v>51554659950.165176</v>
      </c>
      <c r="L204" s="96">
        <f>(K204/$K$205)</f>
        <v>1.5159778452737922E-2</v>
      </c>
      <c r="M204" s="30"/>
      <c r="N204" s="34"/>
      <c r="O204" s="57">
        <f>SUM(O185:O203)</f>
        <v>28749</v>
      </c>
      <c r="P204" s="35"/>
      <c r="Q204" s="35"/>
      <c r="R204" s="77">
        <f t="shared" si="75"/>
        <v>6.163597397943507E-3</v>
      </c>
      <c r="S204" s="77" t="e">
        <f t="shared" si="76"/>
        <v>#DIV/0!</v>
      </c>
      <c r="T204" s="77">
        <f t="shared" si="77"/>
        <v>1.846947309729579E-3</v>
      </c>
      <c r="U204" s="77">
        <f t="shared" si="78"/>
        <v>0</v>
      </c>
      <c r="V204" s="79">
        <f t="shared" si="79"/>
        <v>0</v>
      </c>
    </row>
    <row r="205" spans="1:22">
      <c r="A205" s="82"/>
      <c r="B205" s="38"/>
      <c r="C205" s="65" t="s">
        <v>195</v>
      </c>
      <c r="D205" s="66">
        <f>SUM(D23,D62,D101,D135,D143,D175,D181,D204)</f>
        <v>3346074280257.7017</v>
      </c>
      <c r="E205" s="39"/>
      <c r="F205" s="39"/>
      <c r="G205" s="40"/>
      <c r="H205" s="66">
        <f>SUM(H23,H62,H101,H135,H143,H175,H181,H204)</f>
        <v>764760</v>
      </c>
      <c r="I205" s="41"/>
      <c r="J205" s="41"/>
      <c r="K205" s="66">
        <f>SUM(K23,K62,K101,K135,K143,K175,K181,K204)</f>
        <v>3400752861322.5991</v>
      </c>
      <c r="L205" s="39"/>
      <c r="M205" s="39"/>
      <c r="N205" s="40"/>
      <c r="O205" s="66">
        <f>SUM(O23,O62,O101,O135,O143,O175,O181,O204)</f>
        <v>768308</v>
      </c>
      <c r="P205" s="42"/>
      <c r="Q205" s="66"/>
      <c r="R205" s="25">
        <f t="shared" si="75"/>
        <v>1.6341113939851427E-2</v>
      </c>
      <c r="S205" s="25"/>
      <c r="T205" s="25"/>
      <c r="U205" s="25"/>
      <c r="V205" s="25"/>
    </row>
    <row r="206" spans="1:22" ht="6.75" customHeight="1">
      <c r="A206" s="166"/>
      <c r="B206" s="166"/>
      <c r="C206" s="166"/>
      <c r="D206" s="166"/>
      <c r="E206" s="166"/>
      <c r="F206" s="166"/>
      <c r="G206" s="166"/>
      <c r="H206" s="166"/>
      <c r="I206" s="166"/>
      <c r="J206" s="166"/>
      <c r="K206" s="166"/>
      <c r="L206" s="166"/>
      <c r="M206" s="166"/>
      <c r="N206" s="166"/>
      <c r="O206" s="166"/>
      <c r="P206" s="166"/>
      <c r="Q206" s="166"/>
      <c r="R206" s="166"/>
      <c r="S206" s="166"/>
      <c r="T206" s="166"/>
      <c r="U206" s="166"/>
      <c r="V206" s="19"/>
    </row>
    <row r="207" spans="1:22" ht="15.75">
      <c r="A207" s="164" t="s">
        <v>196</v>
      </c>
      <c r="B207" s="164"/>
      <c r="C207" s="164"/>
      <c r="D207" s="164"/>
      <c r="E207" s="164"/>
      <c r="F207" s="164"/>
      <c r="G207" s="164"/>
      <c r="H207" s="164"/>
      <c r="I207" s="164"/>
      <c r="J207" s="164"/>
      <c r="K207" s="164"/>
      <c r="L207" s="164"/>
      <c r="M207" s="164"/>
      <c r="N207" s="164"/>
      <c r="O207" s="164"/>
      <c r="P207" s="164"/>
      <c r="Q207" s="164"/>
      <c r="R207" s="164"/>
      <c r="S207" s="164"/>
      <c r="T207" s="164"/>
      <c r="U207" s="164"/>
      <c r="V207" s="164"/>
    </row>
    <row r="208" spans="1:22">
      <c r="A208" s="162">
        <v>1</v>
      </c>
      <c r="B208" s="131" t="s">
        <v>197</v>
      </c>
      <c r="C208" s="132" t="s">
        <v>198</v>
      </c>
      <c r="D208" s="2">
        <v>103175705234</v>
      </c>
      <c r="E208" s="3">
        <f>(D208/$D$210)</f>
        <v>0.93401689657948406</v>
      </c>
      <c r="F208" s="14">
        <v>107.39</v>
      </c>
      <c r="G208" s="14">
        <v>107.39</v>
      </c>
      <c r="H208" s="62">
        <v>0</v>
      </c>
      <c r="I208" s="20">
        <v>0</v>
      </c>
      <c r="J208" s="20">
        <v>0.13800000000000001</v>
      </c>
      <c r="K208" s="2">
        <v>103175705234</v>
      </c>
      <c r="L208" s="3">
        <f>(K208/$K$210)</f>
        <v>0.93375981226053273</v>
      </c>
      <c r="M208" s="14">
        <v>107.39</v>
      </c>
      <c r="N208" s="14">
        <v>107.39</v>
      </c>
      <c r="O208" s="62">
        <v>0</v>
      </c>
      <c r="P208" s="20">
        <v>0</v>
      </c>
      <c r="Q208" s="20">
        <v>0.13800000000000001</v>
      </c>
      <c r="R208" s="77">
        <f>((K208-D208)/D208)</f>
        <v>0</v>
      </c>
      <c r="S208" s="77">
        <f>((N208-G208)/G208)</f>
        <v>0</v>
      </c>
      <c r="T208" s="77" t="e">
        <f>((O208-H208)/H208)</f>
        <v>#DIV/0!</v>
      </c>
      <c r="U208" s="77">
        <f>P208-I208</f>
        <v>0</v>
      </c>
      <c r="V208" s="79">
        <f>Q208-J208</f>
        <v>0</v>
      </c>
    </row>
    <row r="209" spans="1:22">
      <c r="A209" s="157">
        <v>2</v>
      </c>
      <c r="B209" s="131" t="s">
        <v>199</v>
      </c>
      <c r="C209" s="132" t="s">
        <v>44</v>
      </c>
      <c r="D209" s="2">
        <v>7288790228.3900003</v>
      </c>
      <c r="E209" s="3">
        <f>(D209/$D$210)</f>
        <v>6.5983103420516012E-2</v>
      </c>
      <c r="F209" s="21">
        <v>1000000</v>
      </c>
      <c r="G209" s="21">
        <v>1000000</v>
      </c>
      <c r="H209" s="62">
        <v>0</v>
      </c>
      <c r="I209" s="20">
        <v>0.19719999999999999</v>
      </c>
      <c r="J209" s="20">
        <v>0.19719999999999999</v>
      </c>
      <c r="K209" s="2">
        <v>7319203498.71</v>
      </c>
      <c r="L209" s="3">
        <f>(K209/$K$210)</f>
        <v>6.624018773946716E-2</v>
      </c>
      <c r="M209" s="21">
        <v>1000000</v>
      </c>
      <c r="N209" s="21">
        <v>1000000</v>
      </c>
      <c r="O209" s="62">
        <v>0</v>
      </c>
      <c r="P209" s="20">
        <v>0.19719999999999999</v>
      </c>
      <c r="Q209" s="20">
        <v>0.19719999999999999</v>
      </c>
      <c r="R209" s="77">
        <f>((K209-D209)/D209)</f>
        <v>4.1726088098322997E-3</v>
      </c>
      <c r="S209" s="77">
        <f>((N209-G209)/G209)</f>
        <v>0</v>
      </c>
      <c r="T209" s="77" t="e">
        <f>((O209-H209)/H209)</f>
        <v>#DIV/0!</v>
      </c>
      <c r="U209" s="77">
        <f>P209-I209</f>
        <v>0</v>
      </c>
      <c r="V209" s="79">
        <f>Q209-J209</f>
        <v>0</v>
      </c>
    </row>
    <row r="210" spans="1:22">
      <c r="A210" s="38"/>
      <c r="B210" s="38"/>
      <c r="C210" s="65" t="s">
        <v>200</v>
      </c>
      <c r="D210" s="70">
        <f>SUM(D208:D209)</f>
        <v>110464495462.39</v>
      </c>
      <c r="E210" s="24"/>
      <c r="F210" s="22"/>
      <c r="G210" s="22"/>
      <c r="H210" s="70">
        <f>SUM(H208:H209)</f>
        <v>0</v>
      </c>
      <c r="I210" s="23"/>
      <c r="J210" s="23"/>
      <c r="K210" s="70">
        <f>SUM(K208:K209)</f>
        <v>110494908732.71001</v>
      </c>
      <c r="L210" s="24"/>
      <c r="M210" s="22"/>
      <c r="N210" s="22"/>
      <c r="O210" s="23"/>
      <c r="P210" s="23"/>
      <c r="Q210" s="70"/>
      <c r="R210" s="25">
        <f>((K210-D210)/D210)</f>
        <v>2.7532167863258988E-4</v>
      </c>
      <c r="S210" s="26"/>
      <c r="T210" s="26"/>
      <c r="U210" s="25"/>
      <c r="V210" s="83"/>
    </row>
    <row r="211" spans="1:22" ht="8.25" customHeight="1">
      <c r="A211" s="163"/>
      <c r="B211" s="163"/>
      <c r="C211" s="163"/>
      <c r="D211" s="163"/>
      <c r="E211" s="163"/>
      <c r="F211" s="163"/>
      <c r="G211" s="163"/>
      <c r="H211" s="163"/>
      <c r="I211" s="163"/>
      <c r="J211" s="163"/>
      <c r="K211" s="163"/>
      <c r="L211" s="163"/>
      <c r="M211" s="163"/>
      <c r="N211" s="163"/>
      <c r="O211" s="163"/>
      <c r="P211" s="163"/>
      <c r="Q211" s="163"/>
      <c r="R211" s="163"/>
      <c r="S211" s="163"/>
      <c r="T211" s="163"/>
      <c r="U211" s="163"/>
      <c r="V211" s="163"/>
    </row>
    <row r="212" spans="1:22" ht="15.75">
      <c r="A212" s="164" t="s">
        <v>201</v>
      </c>
      <c r="B212" s="164"/>
      <c r="C212" s="164"/>
      <c r="D212" s="164"/>
      <c r="E212" s="164"/>
      <c r="F212" s="164"/>
      <c r="G212" s="164"/>
      <c r="H212" s="164"/>
      <c r="I212" s="164"/>
      <c r="J212" s="164"/>
      <c r="K212" s="164"/>
      <c r="L212" s="164"/>
      <c r="M212" s="164"/>
      <c r="N212" s="164"/>
      <c r="O212" s="164"/>
      <c r="P212" s="164"/>
      <c r="Q212" s="164"/>
      <c r="R212" s="164"/>
      <c r="S212" s="164"/>
      <c r="T212" s="164"/>
      <c r="U212" s="164"/>
      <c r="V212" s="164"/>
    </row>
    <row r="213" spans="1:22">
      <c r="A213" s="158">
        <v>1</v>
      </c>
      <c r="B213" s="131" t="s">
        <v>202</v>
      </c>
      <c r="C213" s="132" t="s">
        <v>73</v>
      </c>
      <c r="D213" s="27">
        <v>930630494.49764609</v>
      </c>
      <c r="E213" s="10">
        <f t="shared" ref="E213:E224" si="92">(D213/$D$225)</f>
        <v>7.6339614000341824E-2</v>
      </c>
      <c r="F213" s="21">
        <v>216.13245484960947</v>
      </c>
      <c r="G213" s="21">
        <v>220.91653057381879</v>
      </c>
      <c r="H213" s="61">
        <v>61</v>
      </c>
      <c r="I213" s="28">
        <v>2.2701308355237426E-3</v>
      </c>
      <c r="J213" s="28">
        <v>0.2346</v>
      </c>
      <c r="K213" s="27">
        <v>930630494.49764609</v>
      </c>
      <c r="L213" s="10">
        <f t="shared" ref="L213:L224" si="93">(K213/$K$225)</f>
        <v>7.6480077638071381E-2</v>
      </c>
      <c r="M213" s="21">
        <v>215.75</v>
      </c>
      <c r="N213" s="21">
        <v>220.64</v>
      </c>
      <c r="O213" s="61">
        <v>61</v>
      </c>
      <c r="P213" s="28">
        <v>-1.7695391924160697E-3</v>
      </c>
      <c r="Q213" s="28">
        <v>0.23250000000000001</v>
      </c>
      <c r="R213" s="77">
        <f>((K213-D213)/D213)</f>
        <v>0</v>
      </c>
      <c r="S213" s="77">
        <f>((N213-G213)/G213)</f>
        <v>-1.2517423349919991E-3</v>
      </c>
      <c r="T213" s="77">
        <f>((O213-H213)/H213)</f>
        <v>0</v>
      </c>
      <c r="U213" s="77">
        <f>P213-I213</f>
        <v>-4.0396700279398123E-3</v>
      </c>
      <c r="V213" s="79">
        <f>Q213-J213</f>
        <v>-2.0999999999999908E-3</v>
      </c>
    </row>
    <row r="214" spans="1:22">
      <c r="A214" s="157">
        <v>2</v>
      </c>
      <c r="B214" s="131" t="s">
        <v>203</v>
      </c>
      <c r="C214" s="132" t="s">
        <v>182</v>
      </c>
      <c r="D214" s="27">
        <v>1029232020.79</v>
      </c>
      <c r="E214" s="10">
        <f t="shared" si="92"/>
        <v>8.4427896623259779E-2</v>
      </c>
      <c r="F214" s="21">
        <v>29.27</v>
      </c>
      <c r="G214" s="21">
        <v>32.36</v>
      </c>
      <c r="H214" s="61">
        <v>212</v>
      </c>
      <c r="I214" s="28">
        <v>3.6700000000000003E-2</v>
      </c>
      <c r="J214" s="28">
        <v>0.36580000000000001</v>
      </c>
      <c r="K214" s="27">
        <v>1017407541.67</v>
      </c>
      <c r="L214" s="10">
        <f t="shared" si="93"/>
        <v>8.3611495901478594E-2</v>
      </c>
      <c r="M214" s="21">
        <v>28.94</v>
      </c>
      <c r="N214" s="21">
        <v>31.98</v>
      </c>
      <c r="O214" s="61">
        <v>212</v>
      </c>
      <c r="P214" s="28">
        <v>3.6700000000000003E-2</v>
      </c>
      <c r="Q214" s="28">
        <v>0.35010000000000002</v>
      </c>
      <c r="R214" s="77">
        <f t="shared" ref="R214:R225" si="94">((K214-D214)/D214)</f>
        <v>-1.1488642872696457E-2</v>
      </c>
      <c r="S214" s="77">
        <f t="shared" ref="S214:S225" si="95">((N214-G214)/G214)</f>
        <v>-1.1742892459826916E-2</v>
      </c>
      <c r="T214" s="77">
        <f t="shared" ref="T214:T225" si="96">((O214-H214)/H214)</f>
        <v>0</v>
      </c>
      <c r="U214" s="77">
        <f t="shared" ref="U214:U225" si="97">P214-I214</f>
        <v>0</v>
      </c>
      <c r="V214" s="79">
        <f t="shared" ref="V214:V225" si="98">Q214-J214</f>
        <v>-1.5699999999999992E-2</v>
      </c>
    </row>
    <row r="215" spans="1:22">
      <c r="A215" s="157">
        <v>3</v>
      </c>
      <c r="B215" s="131" t="s">
        <v>204</v>
      </c>
      <c r="C215" s="132" t="s">
        <v>35</v>
      </c>
      <c r="D215" s="27">
        <v>280652279.07999998</v>
      </c>
      <c r="E215" s="10">
        <f t="shared" si="92"/>
        <v>2.3021904805353013E-2</v>
      </c>
      <c r="F215" s="21">
        <v>21.26</v>
      </c>
      <c r="G215" s="21">
        <v>21.44</v>
      </c>
      <c r="H215" s="61">
        <v>143</v>
      </c>
      <c r="I215" s="28">
        <v>-5.4502232259497463E-2</v>
      </c>
      <c r="J215" s="28">
        <v>-9.8500000000000004E-2</v>
      </c>
      <c r="K215" s="27">
        <v>282994753.81999999</v>
      </c>
      <c r="L215" s="10">
        <f t="shared" si="93"/>
        <v>2.325677148050433E-2</v>
      </c>
      <c r="M215" s="21">
        <v>21.259927999999999</v>
      </c>
      <c r="N215" s="21">
        <v>21.440719999999999</v>
      </c>
      <c r="O215" s="61">
        <v>164</v>
      </c>
      <c r="P215" s="28">
        <v>-5.4502232259497463E-2</v>
      </c>
      <c r="Q215" s="28">
        <v>-9.8500000000000004E-2</v>
      </c>
      <c r="R215" s="77">
        <f t="shared" si="94"/>
        <v>8.3465373866865571E-3</v>
      </c>
      <c r="S215" s="77">
        <f t="shared" si="95"/>
        <v>3.3582089552127396E-5</v>
      </c>
      <c r="T215" s="77">
        <f t="shared" si="96"/>
        <v>0.14685314685314685</v>
      </c>
      <c r="U215" s="77">
        <f t="shared" si="97"/>
        <v>0</v>
      </c>
      <c r="V215" s="79">
        <f t="shared" si="98"/>
        <v>0</v>
      </c>
    </row>
    <row r="216" spans="1:22">
      <c r="A216" s="157">
        <v>4</v>
      </c>
      <c r="B216" s="131" t="s">
        <v>205</v>
      </c>
      <c r="C216" s="132" t="s">
        <v>35</v>
      </c>
      <c r="D216" s="27">
        <v>637912828.62</v>
      </c>
      <c r="E216" s="10">
        <f t="shared" si="92"/>
        <v>5.2327985586808193E-2</v>
      </c>
      <c r="F216" s="21">
        <v>47.9</v>
      </c>
      <c r="G216" s="21">
        <v>48.18</v>
      </c>
      <c r="H216" s="61">
        <v>122</v>
      </c>
      <c r="I216" s="28">
        <v>-5.3036812573749037E-3</v>
      </c>
      <c r="J216" s="28">
        <v>0.26829999999999998</v>
      </c>
      <c r="K216" s="27">
        <v>625183971.29000008</v>
      </c>
      <c r="L216" s="10">
        <f t="shared" si="93"/>
        <v>5.1378198914647684E-2</v>
      </c>
      <c r="M216" s="21">
        <v>47.442034999999997</v>
      </c>
      <c r="N216" s="21">
        <v>47.728355999999998</v>
      </c>
      <c r="O216" s="61">
        <v>198</v>
      </c>
      <c r="P216" s="28">
        <v>-5.3036812573749037E-3</v>
      </c>
      <c r="Q216" s="28">
        <v>0.25625831078052896</v>
      </c>
      <c r="R216" s="77">
        <f t="shared" si="94"/>
        <v>-1.9953913385840388E-2</v>
      </c>
      <c r="S216" s="77">
        <f t="shared" si="95"/>
        <v>-9.3740971357410066E-3</v>
      </c>
      <c r="T216" s="77">
        <f t="shared" si="96"/>
        <v>0.62295081967213117</v>
      </c>
      <c r="U216" s="77">
        <f t="shared" si="97"/>
        <v>0</v>
      </c>
      <c r="V216" s="79">
        <f t="shared" si="98"/>
        <v>-1.2041689219471019E-2</v>
      </c>
    </row>
    <row r="217" spans="1:22">
      <c r="A217" s="162">
        <v>5</v>
      </c>
      <c r="B217" s="131" t="s">
        <v>206</v>
      </c>
      <c r="C217" s="132" t="s">
        <v>207</v>
      </c>
      <c r="D217" s="27">
        <v>1245592209.52</v>
      </c>
      <c r="E217" s="10">
        <f t="shared" si="92"/>
        <v>0.10217592163463134</v>
      </c>
      <c r="F217" s="21">
        <v>34490</v>
      </c>
      <c r="G217" s="21">
        <v>40070</v>
      </c>
      <c r="H217" s="61">
        <v>226</v>
      </c>
      <c r="I217" s="28">
        <v>0.01</v>
      </c>
      <c r="J217" s="28">
        <v>1.1299999999999999</v>
      </c>
      <c r="K217" s="27">
        <v>1261310083.4300001</v>
      </c>
      <c r="L217" s="10">
        <f t="shared" si="93"/>
        <v>0.10365563311836296</v>
      </c>
      <c r="M217" s="21">
        <v>34350</v>
      </c>
      <c r="N217" s="21">
        <v>39950</v>
      </c>
      <c r="O217" s="61">
        <v>225</v>
      </c>
      <c r="P217" s="28">
        <v>0.01</v>
      </c>
      <c r="Q217" s="28">
        <v>1.1599999999999999</v>
      </c>
      <c r="R217" s="77">
        <f t="shared" si="94"/>
        <v>1.2618795934872704E-2</v>
      </c>
      <c r="S217" s="77">
        <f t="shared" si="95"/>
        <v>-2.9947591714499623E-3</v>
      </c>
      <c r="T217" s="77">
        <f t="shared" si="96"/>
        <v>-4.4247787610619468E-3</v>
      </c>
      <c r="U217" s="77">
        <f t="shared" si="97"/>
        <v>0</v>
      </c>
      <c r="V217" s="79">
        <f t="shared" si="98"/>
        <v>3.0000000000000027E-2</v>
      </c>
    </row>
    <row r="218" spans="1:22">
      <c r="A218" s="160">
        <v>6</v>
      </c>
      <c r="B218" s="131" t="s">
        <v>208</v>
      </c>
      <c r="C218" s="132" t="s">
        <v>209</v>
      </c>
      <c r="D218" s="27">
        <v>1060105040.4</v>
      </c>
      <c r="E218" s="10">
        <f t="shared" si="92"/>
        <v>8.6960410240626895E-2</v>
      </c>
      <c r="F218" s="21">
        <v>1057.19</v>
      </c>
      <c r="G218" s="21">
        <v>1057.19</v>
      </c>
      <c r="H218" s="61">
        <v>126</v>
      </c>
      <c r="I218" s="28">
        <v>3.8999999999999998E-3</v>
      </c>
      <c r="J218" s="28">
        <v>0.12659999999999999</v>
      </c>
      <c r="K218" s="27">
        <v>1055498109.63</v>
      </c>
      <c r="L218" s="10">
        <f t="shared" si="93"/>
        <v>8.6741814123461602E-2</v>
      </c>
      <c r="M218" s="21">
        <v>1056</v>
      </c>
      <c r="N218" s="21">
        <v>1056</v>
      </c>
      <c r="O218" s="61">
        <v>126</v>
      </c>
      <c r="P218" s="28">
        <v>-4.4000000000000003E-3</v>
      </c>
      <c r="Q218" s="28">
        <v>0.12180000000000001</v>
      </c>
      <c r="R218" s="77">
        <f t="shared" si="94"/>
        <v>-4.3457304648430771E-3</v>
      </c>
      <c r="S218" s="77">
        <f t="shared" si="95"/>
        <v>-1.1256254788638319E-3</v>
      </c>
      <c r="T218" s="77">
        <f t="shared" si="96"/>
        <v>0</v>
      </c>
      <c r="U218" s="77">
        <f t="shared" si="97"/>
        <v>-8.3000000000000001E-3</v>
      </c>
      <c r="V218" s="79">
        <f t="shared" si="98"/>
        <v>-4.7999999999999848E-3</v>
      </c>
    </row>
    <row r="219" spans="1:22">
      <c r="A219" s="160">
        <v>7</v>
      </c>
      <c r="B219" s="131" t="s">
        <v>210</v>
      </c>
      <c r="C219" s="132" t="s">
        <v>209</v>
      </c>
      <c r="D219" s="27">
        <v>861734719.69000006</v>
      </c>
      <c r="E219" s="10">
        <f t="shared" si="92"/>
        <v>7.0688093997325771E-2</v>
      </c>
      <c r="F219" s="21">
        <v>589.99</v>
      </c>
      <c r="G219" s="21">
        <v>589.99</v>
      </c>
      <c r="H219" s="61">
        <v>572</v>
      </c>
      <c r="I219" s="28">
        <v>1.2800000000000001E-2</v>
      </c>
      <c r="J219" s="28">
        <v>0.29070000000000001</v>
      </c>
      <c r="K219" s="27">
        <v>859405707.51999998</v>
      </c>
      <c r="L219" s="10">
        <f t="shared" si="93"/>
        <v>7.0626758549547516E-2</v>
      </c>
      <c r="M219" s="21">
        <v>495</v>
      </c>
      <c r="N219" s="21">
        <v>495</v>
      </c>
      <c r="O219" s="61">
        <v>572</v>
      </c>
      <c r="P219" s="28">
        <v>-2.7000000000000001E-3</v>
      </c>
      <c r="Q219" s="28">
        <v>0.28720000000000001</v>
      </c>
      <c r="R219" s="77">
        <f t="shared" si="94"/>
        <v>-2.7027020227732195E-3</v>
      </c>
      <c r="S219" s="77">
        <f t="shared" si="95"/>
        <v>-0.16100272885981121</v>
      </c>
      <c r="T219" s="77">
        <f t="shared" si="96"/>
        <v>0</v>
      </c>
      <c r="U219" s="77">
        <f t="shared" si="97"/>
        <v>-1.55E-2</v>
      </c>
      <c r="V219" s="79">
        <f t="shared" si="98"/>
        <v>-3.5000000000000031E-3</v>
      </c>
    </row>
    <row r="220" spans="1:22">
      <c r="A220" s="157">
        <v>8</v>
      </c>
      <c r="B220" s="131" t="s">
        <v>211</v>
      </c>
      <c r="C220" s="132" t="s">
        <v>212</v>
      </c>
      <c r="D220" s="27">
        <v>51166340.490000002</v>
      </c>
      <c r="E220" s="10">
        <f t="shared" si="92"/>
        <v>4.1971746100208417E-3</v>
      </c>
      <c r="F220" s="21">
        <v>15.7</v>
      </c>
      <c r="G220" s="21">
        <v>15.8</v>
      </c>
      <c r="H220" s="61">
        <v>61</v>
      </c>
      <c r="I220" s="28">
        <v>1.0500000000000001E-2</v>
      </c>
      <c r="J220" s="28">
        <v>0.43230000000000002</v>
      </c>
      <c r="K220" s="27">
        <v>50564763.740000002</v>
      </c>
      <c r="L220" s="10">
        <f t="shared" si="93"/>
        <v>4.1554592069040766E-3</v>
      </c>
      <c r="M220" s="21">
        <v>15.51</v>
      </c>
      <c r="N220" s="21">
        <v>15.61</v>
      </c>
      <c r="O220" s="61">
        <v>61</v>
      </c>
      <c r="P220" s="28">
        <v>0</v>
      </c>
      <c r="Q220" s="28">
        <v>0.43230000000000002</v>
      </c>
      <c r="R220" s="77">
        <f t="shared" si="94"/>
        <v>-1.1757275275873457E-2</v>
      </c>
      <c r="S220" s="77">
        <f t="shared" si="95"/>
        <v>-1.2025316455696282E-2</v>
      </c>
      <c r="T220" s="77">
        <f t="shared" si="96"/>
        <v>0</v>
      </c>
      <c r="U220" s="77">
        <f t="shared" si="97"/>
        <v>-1.0500000000000001E-2</v>
      </c>
      <c r="V220" s="79">
        <f t="shared" si="98"/>
        <v>0</v>
      </c>
    </row>
    <row r="221" spans="1:22">
      <c r="A221" s="157">
        <v>9</v>
      </c>
      <c r="B221" s="131" t="s">
        <v>213</v>
      </c>
      <c r="C221" s="132" t="s">
        <v>212</v>
      </c>
      <c r="D221" s="29">
        <v>535145599.89999998</v>
      </c>
      <c r="E221" s="10">
        <f t="shared" si="92"/>
        <v>4.3897990418205336E-2</v>
      </c>
      <c r="F221" s="21">
        <v>8.52</v>
      </c>
      <c r="G221" s="21">
        <v>8.6199999999999992</v>
      </c>
      <c r="H221" s="61">
        <v>102</v>
      </c>
      <c r="I221" s="28">
        <v>0</v>
      </c>
      <c r="J221" s="28">
        <v>-3.1699999999999999E-2</v>
      </c>
      <c r="K221" s="29">
        <v>534405445.52999997</v>
      </c>
      <c r="L221" s="10">
        <f t="shared" si="93"/>
        <v>4.3917935427642385E-2</v>
      </c>
      <c r="M221" s="21">
        <v>8.51</v>
      </c>
      <c r="N221" s="21">
        <v>8.61</v>
      </c>
      <c r="O221" s="61">
        <v>102</v>
      </c>
      <c r="P221" s="28">
        <v>0</v>
      </c>
      <c r="Q221" s="28">
        <v>-3.1699999999999999E-2</v>
      </c>
      <c r="R221" s="77">
        <f t="shared" si="94"/>
        <v>-1.383089705191099E-3</v>
      </c>
      <c r="S221" s="77">
        <f t="shared" si="95"/>
        <v>-1.1600928074245694E-3</v>
      </c>
      <c r="T221" s="77">
        <f t="shared" si="96"/>
        <v>0</v>
      </c>
      <c r="U221" s="77">
        <f t="shared" si="97"/>
        <v>0</v>
      </c>
      <c r="V221" s="79">
        <f t="shared" si="98"/>
        <v>0</v>
      </c>
    </row>
    <row r="222" spans="1:22" ht="15" customHeight="1">
      <c r="A222" s="157">
        <v>10</v>
      </c>
      <c r="B222" s="131" t="s">
        <v>214</v>
      </c>
      <c r="C222" s="132" t="s">
        <v>212</v>
      </c>
      <c r="D222" s="27">
        <v>436601484.73000002</v>
      </c>
      <c r="E222" s="10">
        <f t="shared" si="92"/>
        <v>3.5814417229317046E-2</v>
      </c>
      <c r="F222" s="21">
        <v>123.02</v>
      </c>
      <c r="G222" s="21">
        <v>125.02</v>
      </c>
      <c r="H222" s="61">
        <v>203</v>
      </c>
      <c r="I222" s="28">
        <v>1.4500000000000001E-2</v>
      </c>
      <c r="J222" s="28">
        <v>0.37159999999999999</v>
      </c>
      <c r="K222" s="27">
        <v>442405140.87</v>
      </c>
      <c r="L222" s="10">
        <f t="shared" si="93"/>
        <v>3.6357265016856898E-2</v>
      </c>
      <c r="M222" s="21">
        <v>124.57</v>
      </c>
      <c r="N222" s="21">
        <v>126.67</v>
      </c>
      <c r="O222" s="61">
        <v>266</v>
      </c>
      <c r="P222" s="28">
        <v>0</v>
      </c>
      <c r="Q222" s="28">
        <v>0.37159999999999999</v>
      </c>
      <c r="R222" s="77">
        <f t="shared" si="94"/>
        <v>1.3292799825426707E-2</v>
      </c>
      <c r="S222" s="77">
        <f t="shared" si="95"/>
        <v>1.3197888337865987E-2</v>
      </c>
      <c r="T222" s="77">
        <f t="shared" si="96"/>
        <v>0.31034482758620691</v>
      </c>
      <c r="U222" s="77">
        <f t="shared" si="97"/>
        <v>-1.4500000000000001E-2</v>
      </c>
      <c r="V222" s="79">
        <f t="shared" si="98"/>
        <v>0</v>
      </c>
    </row>
    <row r="223" spans="1:22">
      <c r="A223" s="157">
        <v>11</v>
      </c>
      <c r="B223" s="131" t="s">
        <v>215</v>
      </c>
      <c r="C223" s="132" t="s">
        <v>212</v>
      </c>
      <c r="D223" s="27">
        <v>5056012301.71</v>
      </c>
      <c r="E223" s="10">
        <f t="shared" si="92"/>
        <v>0.41474465942776767</v>
      </c>
      <c r="F223" s="21">
        <v>36.14</v>
      </c>
      <c r="G223" s="21">
        <v>36.340000000000003</v>
      </c>
      <c r="H223" s="61">
        <v>282</v>
      </c>
      <c r="I223" s="28">
        <v>0</v>
      </c>
      <c r="J223" s="28">
        <v>0.31850000000000001</v>
      </c>
      <c r="K223" s="27">
        <v>5042825356.5900002</v>
      </c>
      <c r="L223" s="10">
        <f t="shared" si="93"/>
        <v>0.4144240674118741</v>
      </c>
      <c r="M223" s="21">
        <v>36.04</v>
      </c>
      <c r="N223" s="21">
        <v>36.24</v>
      </c>
      <c r="O223" s="61">
        <v>282</v>
      </c>
      <c r="P223" s="28">
        <v>5.5999999999999999E-3</v>
      </c>
      <c r="Q223" s="28">
        <v>0.32590000000000002</v>
      </c>
      <c r="R223" s="77">
        <f t="shared" si="94"/>
        <v>-2.6081710907902484E-3</v>
      </c>
      <c r="S223" s="77">
        <f t="shared" si="95"/>
        <v>-2.7517886626307487E-3</v>
      </c>
      <c r="T223" s="77">
        <f t="shared" si="96"/>
        <v>0</v>
      </c>
      <c r="U223" s="77">
        <f t="shared" si="97"/>
        <v>5.5999999999999999E-3</v>
      </c>
      <c r="V223" s="79">
        <f t="shared" si="98"/>
        <v>7.4000000000000177E-3</v>
      </c>
    </row>
    <row r="224" spans="1:22">
      <c r="A224" s="157">
        <v>12</v>
      </c>
      <c r="B224" s="131" t="s">
        <v>216</v>
      </c>
      <c r="C224" s="132" t="s">
        <v>212</v>
      </c>
      <c r="D224" s="29">
        <v>65877505.950000003</v>
      </c>
      <c r="E224" s="10">
        <f t="shared" si="92"/>
        <v>5.4039314263422114E-3</v>
      </c>
      <c r="F224" s="21">
        <v>38.450000000000003</v>
      </c>
      <c r="G224" s="21">
        <v>38.65</v>
      </c>
      <c r="H224" s="61">
        <v>58</v>
      </c>
      <c r="I224" s="28">
        <v>0</v>
      </c>
      <c r="J224" s="28">
        <v>0.81130000000000002</v>
      </c>
      <c r="K224" s="29">
        <v>65642033.299999997</v>
      </c>
      <c r="L224" s="10">
        <f t="shared" si="93"/>
        <v>5.3945232106485256E-3</v>
      </c>
      <c r="M224" s="21">
        <v>38.380000000000003</v>
      </c>
      <c r="N224" s="21">
        <v>38.58</v>
      </c>
      <c r="O224" s="61">
        <v>58</v>
      </c>
      <c r="P224" s="28">
        <v>0</v>
      </c>
      <c r="Q224" s="28">
        <v>0.81130000000000002</v>
      </c>
      <c r="R224" s="77">
        <f t="shared" si="94"/>
        <v>-3.5744014076477945E-3</v>
      </c>
      <c r="S224" s="77">
        <f t="shared" si="95"/>
        <v>-1.8111254851229052E-3</v>
      </c>
      <c r="T224" s="77">
        <f t="shared" si="96"/>
        <v>0</v>
      </c>
      <c r="U224" s="77">
        <f t="shared" si="97"/>
        <v>0</v>
      </c>
      <c r="V224" s="79">
        <f t="shared" si="98"/>
        <v>0</v>
      </c>
    </row>
    <row r="225" spans="1:22">
      <c r="A225" s="127"/>
      <c r="B225" s="127"/>
      <c r="C225" s="128" t="s">
        <v>217</v>
      </c>
      <c r="D225" s="70">
        <f>SUM(D213:D224)</f>
        <v>12190662825.377647</v>
      </c>
      <c r="E225" s="24"/>
      <c r="F225" s="24"/>
      <c r="G225" s="22"/>
      <c r="H225" s="70">
        <f>SUM(H213:H224)</f>
        <v>2168</v>
      </c>
      <c r="I225" s="23"/>
      <c r="J225" s="23"/>
      <c r="K225" s="70">
        <f>SUM(K213:K224)</f>
        <v>12168273401.887646</v>
      </c>
      <c r="L225" s="24"/>
      <c r="M225" s="24"/>
      <c r="N225" s="22"/>
      <c r="O225" s="70">
        <f>SUM(O213:O224)</f>
        <v>2327</v>
      </c>
      <c r="P225" s="23"/>
      <c r="Q225" s="23"/>
      <c r="R225" s="77">
        <f t="shared" si="94"/>
        <v>-1.8366042774469148E-3</v>
      </c>
      <c r="S225" s="77" t="e">
        <f t="shared" si="95"/>
        <v>#DIV/0!</v>
      </c>
      <c r="T225" s="77">
        <f t="shared" si="96"/>
        <v>7.3339483394833954E-2</v>
      </c>
      <c r="U225" s="77">
        <f t="shared" si="97"/>
        <v>0</v>
      </c>
      <c r="V225" s="79">
        <f t="shared" si="98"/>
        <v>0</v>
      </c>
    </row>
    <row r="226" spans="1:22">
      <c r="A226" s="84"/>
      <c r="B226" s="84"/>
      <c r="C226" s="85" t="s">
        <v>218</v>
      </c>
      <c r="D226" s="86">
        <f>SUM(D205,D210,D225)</f>
        <v>3468729438545.4692</v>
      </c>
      <c r="E226" s="87"/>
      <c r="F226" s="87"/>
      <c r="G226" s="88"/>
      <c r="H226" s="86">
        <f>SUM(H205,H210,H225)</f>
        <v>766928</v>
      </c>
      <c r="I226" s="89"/>
      <c r="J226" s="89"/>
      <c r="K226" s="86">
        <f>SUM(K205,K210,K225)</f>
        <v>3523416043457.1968</v>
      </c>
      <c r="L226" s="87"/>
      <c r="M226" s="87"/>
      <c r="N226" s="88"/>
      <c r="O226" s="86">
        <f>SUM(O205,O210,O225)</f>
        <v>770635</v>
      </c>
      <c r="P226" s="90"/>
      <c r="Q226" s="86"/>
      <c r="R226" s="91"/>
      <c r="S226" s="92"/>
      <c r="T226" s="92"/>
      <c r="U226" s="93"/>
      <c r="V226" s="93"/>
    </row>
    <row r="227" spans="1:22">
      <c r="A227" s="105" t="s">
        <v>247</v>
      </c>
      <c r="B227" s="106" t="s">
        <v>290</v>
      </c>
      <c r="C227" s="107"/>
      <c r="D227" s="107"/>
      <c r="E227" s="107"/>
      <c r="F227" s="107"/>
      <c r="G227" s="107"/>
      <c r="H227" s="107"/>
      <c r="I227" s="107"/>
      <c r="J227" s="107"/>
      <c r="K227" s="107"/>
      <c r="L227" s="107"/>
      <c r="M227" s="107"/>
      <c r="N227" s="107"/>
      <c r="O227" s="107"/>
      <c r="P227" s="107"/>
      <c r="Q227" s="107"/>
      <c r="R227" s="107"/>
      <c r="S227" s="107"/>
      <c r="T227" s="107"/>
      <c r="U227" s="107"/>
      <c r="V227" s="107"/>
    </row>
    <row r="229" spans="1:22">
      <c r="B229" s="109"/>
      <c r="C229" s="109"/>
      <c r="D229" s="108"/>
      <c r="K229" s="108"/>
    </row>
    <row r="230" spans="1:22">
      <c r="B230" s="121"/>
      <c r="C230" s="122"/>
      <c r="D230" s="123"/>
      <c r="F230" s="124"/>
      <c r="G230" s="124"/>
      <c r="I230" s="125"/>
      <c r="J230" s="126"/>
    </row>
    <row r="233" spans="1:22">
      <c r="B233" s="109"/>
    </row>
  </sheetData>
  <mergeCells count="33">
    <mergeCell ref="A102:V102"/>
    <mergeCell ref="A1:V1"/>
    <mergeCell ref="U2:V2"/>
    <mergeCell ref="A4:V4"/>
    <mergeCell ref="A5:V5"/>
    <mergeCell ref="A24:V24"/>
    <mergeCell ref="A25:V25"/>
    <mergeCell ref="A63:V63"/>
    <mergeCell ref="A64:V64"/>
    <mergeCell ref="R2:T2"/>
    <mergeCell ref="K2:Q2"/>
    <mergeCell ref="D2:J2"/>
    <mergeCell ref="A183:V183"/>
    <mergeCell ref="A103:V103"/>
    <mergeCell ref="A104:V104"/>
    <mergeCell ref="A120:V120"/>
    <mergeCell ref="A121:V121"/>
    <mergeCell ref="A136:V136"/>
    <mergeCell ref="A137:V137"/>
    <mergeCell ref="A144:V144"/>
    <mergeCell ref="A145:V145"/>
    <mergeCell ref="A176:V176"/>
    <mergeCell ref="A177:V177"/>
    <mergeCell ref="A182:V182"/>
    <mergeCell ref="A211:V211"/>
    <mergeCell ref="A212:V212"/>
    <mergeCell ref="A184:V184"/>
    <mergeCell ref="A187:V187"/>
    <mergeCell ref="A188:V188"/>
    <mergeCell ref="A206:U206"/>
    <mergeCell ref="A207:V207"/>
    <mergeCell ref="A202:V202"/>
    <mergeCell ref="A201:V201"/>
  </mergeCells>
  <pageMargins left="0.7" right="0.7" top="0.75" bottom="0.75" header="0.3" footer="0.3"/>
  <pageSetup paperSize="9" orientation="portrait" horizontalDpi="300" verticalDpi="300" r:id="rId1"/>
  <ignoredErrors>
    <ignoredError sqref="L87 E87 E69 L44 E44" formula="1"/>
    <ignoredError sqref="S143 S23 T35 S62 S101 S135 T153 S175 S181 S204 S225 T208:T209" evalError="1"/>
    <ignoredError sqref="Q112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92D050"/>
  </sheetPr>
  <dimension ref="A1:E29"/>
  <sheetViews>
    <sheetView workbookViewId="0">
      <selection activeCell="G6" sqref="G6"/>
    </sheetView>
  </sheetViews>
  <sheetFormatPr defaultRowHeight="15"/>
  <cols>
    <col min="1" max="1" width="34" customWidth="1"/>
    <col min="2" max="2" width="16.85546875" customWidth="1"/>
    <col min="3" max="3" width="17.42578125" customWidth="1"/>
  </cols>
  <sheetData>
    <row r="1" spans="1:5">
      <c r="A1" s="95"/>
      <c r="B1" s="95"/>
      <c r="C1" s="95"/>
      <c r="D1" s="95"/>
    </row>
    <row r="2" spans="1:5" ht="33">
      <c r="A2" s="140" t="s">
        <v>219</v>
      </c>
      <c r="B2" s="146" t="s">
        <v>287</v>
      </c>
      <c r="C2" s="146" t="s">
        <v>294</v>
      </c>
      <c r="D2" s="95"/>
    </row>
    <row r="3" spans="1:5" ht="16.5">
      <c r="A3" s="147" t="s">
        <v>14</v>
      </c>
      <c r="B3" s="143">
        <f t="shared" ref="B3:C10" si="0">B13</f>
        <v>28.027790368799899</v>
      </c>
      <c r="C3" s="143">
        <f t="shared" si="0"/>
        <v>27.785128483915297</v>
      </c>
      <c r="D3" s="95"/>
    </row>
    <row r="4" spans="1:5" ht="17.25" customHeight="1">
      <c r="A4" s="142" t="s">
        <v>46</v>
      </c>
      <c r="B4" s="145">
        <f t="shared" si="0"/>
        <v>1275.7036996293593</v>
      </c>
      <c r="C4" s="145">
        <f t="shared" si="0"/>
        <v>1307.6229551246593</v>
      </c>
      <c r="D4" s="95"/>
    </row>
    <row r="5" spans="1:5" ht="19.5" customHeight="1">
      <c r="A5" s="142" t="s">
        <v>220</v>
      </c>
      <c r="B5" s="143">
        <f t="shared" si="0"/>
        <v>218.57098019258581</v>
      </c>
      <c r="C5" s="143">
        <f t="shared" si="0"/>
        <v>218.5205205612252</v>
      </c>
      <c r="D5" s="95"/>
    </row>
    <row r="6" spans="1:5" ht="16.5">
      <c r="A6" s="142" t="s">
        <v>127</v>
      </c>
      <c r="B6" s="145">
        <f t="shared" si="0"/>
        <v>1619.6847317934423</v>
      </c>
      <c r="C6" s="145">
        <f t="shared" si="0"/>
        <v>1642.4826183090815</v>
      </c>
      <c r="D6" s="95"/>
    </row>
    <row r="7" spans="1:5" ht="16.5">
      <c r="A7" s="142" t="s">
        <v>221</v>
      </c>
      <c r="B7" s="143">
        <f t="shared" si="0"/>
        <v>97.021700017900898</v>
      </c>
      <c r="C7" s="143">
        <f t="shared" si="0"/>
        <v>97.137104575276979</v>
      </c>
      <c r="D7" s="95"/>
    </row>
    <row r="8" spans="1:5" ht="16.5">
      <c r="A8" s="142" t="s">
        <v>151</v>
      </c>
      <c r="B8" s="144">
        <f t="shared" si="0"/>
        <v>50.541815917121063</v>
      </c>
      <c r="C8" s="144">
        <f t="shared" si="0"/>
        <v>50.358393707296287</v>
      </c>
      <c r="D8" s="95"/>
    </row>
    <row r="9" spans="1:5" ht="16.5">
      <c r="A9" s="142" t="s">
        <v>175</v>
      </c>
      <c r="B9" s="143">
        <f t="shared" si="0"/>
        <v>5.2847179959899995</v>
      </c>
      <c r="C9" s="143">
        <f t="shared" si="0"/>
        <v>5.2914806109799999</v>
      </c>
      <c r="D9" s="95"/>
    </row>
    <row r="10" spans="1:5" ht="16.5">
      <c r="A10" s="142" t="s">
        <v>222</v>
      </c>
      <c r="B10" s="143">
        <f t="shared" si="0"/>
        <v>51.238844342502098</v>
      </c>
      <c r="C10" s="143">
        <f t="shared" si="0"/>
        <v>51.554659950165174</v>
      </c>
      <c r="D10" s="95"/>
    </row>
    <row r="11" spans="1:5" ht="16.5">
      <c r="A11" s="148"/>
      <c r="B11" s="149"/>
      <c r="C11" s="149"/>
      <c r="D11" s="95"/>
    </row>
    <row r="12" spans="1:5">
      <c r="A12" s="95"/>
      <c r="B12" s="95"/>
      <c r="C12" s="95"/>
      <c r="D12" s="95"/>
    </row>
    <row r="13" spans="1:5">
      <c r="A13" s="150" t="s">
        <v>14</v>
      </c>
      <c r="B13" s="151">
        <f>'Weekly Valuation'!D23/1000000000</f>
        <v>28.027790368799899</v>
      </c>
      <c r="C13" s="152">
        <f>'Weekly Valuation'!K23/1000000000</f>
        <v>27.785128483915297</v>
      </c>
      <c r="D13" s="95"/>
      <c r="E13" s="97"/>
    </row>
    <row r="14" spans="1:5">
      <c r="A14" s="153" t="s">
        <v>46</v>
      </c>
      <c r="B14" s="151">
        <f>'Weekly Valuation'!D62/1000000000</f>
        <v>1275.7036996293593</v>
      </c>
      <c r="C14" s="154">
        <f>'Weekly Valuation'!K62/1000000000</f>
        <v>1307.6229551246593</v>
      </c>
      <c r="D14" s="95"/>
      <c r="E14" s="97"/>
    </row>
    <row r="15" spans="1:5">
      <c r="A15" s="153" t="s">
        <v>220</v>
      </c>
      <c r="B15" s="151">
        <f>'Weekly Valuation'!D101/1000000000</f>
        <v>218.57098019258581</v>
      </c>
      <c r="C15" s="152">
        <f>'Weekly Valuation'!K101/1000000000</f>
        <v>218.5205205612252</v>
      </c>
      <c r="D15" s="95"/>
      <c r="E15" s="97"/>
    </row>
    <row r="16" spans="1:5">
      <c r="A16" s="153" t="s">
        <v>127</v>
      </c>
      <c r="B16" s="151">
        <f>'Weekly Valuation'!D135/1000000000</f>
        <v>1619.6847317934423</v>
      </c>
      <c r="C16" s="154">
        <f>'Weekly Valuation'!K135/1000000000</f>
        <v>1642.4826183090815</v>
      </c>
      <c r="D16" s="95"/>
      <c r="E16" s="97"/>
    </row>
    <row r="17" spans="1:5">
      <c r="A17" s="153" t="s">
        <v>221</v>
      </c>
      <c r="B17" s="151">
        <f>'Weekly Valuation'!D143/1000000000</f>
        <v>97.021700017900898</v>
      </c>
      <c r="C17" s="152">
        <f>'Weekly Valuation'!K143/1000000000</f>
        <v>97.137104575276979</v>
      </c>
      <c r="D17" s="95"/>
      <c r="E17" s="97"/>
    </row>
    <row r="18" spans="1:5">
      <c r="A18" s="153" t="s">
        <v>151</v>
      </c>
      <c r="B18" s="151">
        <f>'Weekly Valuation'!D175/1000000000</f>
        <v>50.541815917121063</v>
      </c>
      <c r="C18" s="155">
        <f>'Weekly Valuation'!K175/1000000000</f>
        <v>50.358393707296287</v>
      </c>
      <c r="D18" s="95"/>
      <c r="E18" s="97"/>
    </row>
    <row r="19" spans="1:5">
      <c r="A19" s="153" t="s">
        <v>175</v>
      </c>
      <c r="B19" s="151">
        <f>'Weekly Valuation'!D181/1000000000</f>
        <v>5.2847179959899995</v>
      </c>
      <c r="C19" s="152">
        <f>'Weekly Valuation'!K181/1000000000</f>
        <v>5.2914806109799999</v>
      </c>
      <c r="D19" s="95"/>
      <c r="E19" s="97"/>
    </row>
    <row r="20" spans="1:5">
      <c r="A20" s="153" t="s">
        <v>222</v>
      </c>
      <c r="B20" s="151">
        <f>'Weekly Valuation'!D204/1000000000</f>
        <v>51.238844342502098</v>
      </c>
      <c r="C20" s="152">
        <f>'Weekly Valuation'!K204/1000000000</f>
        <v>51.554659950165174</v>
      </c>
      <c r="D20" s="95"/>
      <c r="E20" s="97"/>
    </row>
    <row r="21" spans="1:5" ht="16.5">
      <c r="A21" s="148"/>
      <c r="B21" s="95"/>
      <c r="C21" s="156"/>
      <c r="D21" s="95"/>
      <c r="E21" s="97"/>
    </row>
    <row r="22" spans="1:5" ht="16.5">
      <c r="A22" s="148"/>
      <c r="B22" s="95"/>
      <c r="C22" s="149"/>
      <c r="D22" s="95"/>
      <c r="E22" s="97"/>
    </row>
    <row r="23" spans="1:5" ht="16.5">
      <c r="A23" s="111"/>
      <c r="B23" s="102"/>
      <c r="C23" s="138"/>
      <c r="D23" s="97"/>
      <c r="E23" s="97"/>
    </row>
    <row r="24" spans="1:5" ht="16.5">
      <c r="A24" s="111"/>
      <c r="B24" s="102"/>
      <c r="C24" s="102"/>
      <c r="D24" s="97"/>
      <c r="E24" s="97"/>
    </row>
    <row r="25" spans="1:5" ht="16.5">
      <c r="A25" s="111"/>
      <c r="B25" s="102"/>
      <c r="C25" s="102"/>
      <c r="D25" s="97"/>
      <c r="E25" s="97"/>
    </row>
    <row r="26" spans="1:5" ht="16.5">
      <c r="A26" s="111"/>
      <c r="B26" s="102"/>
      <c r="C26" s="102"/>
      <c r="D26" s="97"/>
      <c r="E26" s="97"/>
    </row>
    <row r="27" spans="1:5" ht="16.5">
      <c r="A27" s="111"/>
      <c r="B27" s="102"/>
      <c r="C27" s="102"/>
      <c r="D27" s="97"/>
      <c r="E27" s="97"/>
    </row>
    <row r="28" spans="1:5">
      <c r="A28" s="97"/>
      <c r="B28" s="97"/>
      <c r="C28" s="97"/>
      <c r="D28" s="97"/>
    </row>
    <row r="29" spans="1:5">
      <c r="B29" s="97"/>
      <c r="C29" s="97"/>
    </row>
  </sheetData>
  <sheetProtection password="CA3B" sheet="1" objects="1" scenarios="1"/>
  <pageMargins left="0.7" right="0.7" top="0.75" bottom="0.75" header="0.3" footer="0.3"/>
  <pageSetup paperSize="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00B0F0"/>
  </sheetPr>
  <dimension ref="A1:Q33"/>
  <sheetViews>
    <sheetView zoomScale="85" zoomScaleNormal="85" workbookViewId="0">
      <selection activeCell="J6" sqref="J6"/>
    </sheetView>
  </sheetViews>
  <sheetFormatPr defaultRowHeight="15"/>
  <cols>
    <col min="1" max="1" width="26.7109375" customWidth="1"/>
    <col min="2" max="2" width="17.42578125" customWidth="1"/>
  </cols>
  <sheetData>
    <row r="1" spans="1:6" ht="16.5">
      <c r="A1" s="140" t="s">
        <v>219</v>
      </c>
      <c r="B1" s="141">
        <v>45541</v>
      </c>
      <c r="C1" s="95"/>
      <c r="D1" s="97"/>
    </row>
    <row r="2" spans="1:6" ht="16.5">
      <c r="A2" s="142" t="s">
        <v>175</v>
      </c>
      <c r="B2" s="143">
        <f>'Weekly Valuation'!K181</f>
        <v>5291480610.9799995</v>
      </c>
      <c r="C2" s="95"/>
      <c r="D2" s="97"/>
    </row>
    <row r="3" spans="1:6" ht="16.5">
      <c r="A3" s="142" t="s">
        <v>14</v>
      </c>
      <c r="B3" s="143">
        <f>'Weekly Valuation'!K23</f>
        <v>27785128483.915298</v>
      </c>
      <c r="C3" s="95"/>
      <c r="D3" s="97"/>
    </row>
    <row r="4" spans="1:6" ht="16.5">
      <c r="A4" s="142" t="s">
        <v>151</v>
      </c>
      <c r="B4" s="144">
        <f>'Weekly Valuation'!K175</f>
        <v>50358393707.296288</v>
      </c>
      <c r="C4" s="95"/>
      <c r="D4" s="97"/>
    </row>
    <row r="5" spans="1:6" ht="16.5">
      <c r="A5" s="142" t="s">
        <v>222</v>
      </c>
      <c r="B5" s="143">
        <f>'Weekly Valuation'!K204</f>
        <v>51554659950.165176</v>
      </c>
      <c r="C5" s="95"/>
      <c r="D5" s="97"/>
    </row>
    <row r="6" spans="1:6" ht="16.5">
      <c r="A6" s="142" t="s">
        <v>221</v>
      </c>
      <c r="B6" s="143">
        <f>'Weekly Valuation'!K143</f>
        <v>97137104575.276978</v>
      </c>
      <c r="C6" s="95"/>
      <c r="D6" s="97"/>
    </row>
    <row r="7" spans="1:6" ht="16.5">
      <c r="A7" s="142" t="s">
        <v>220</v>
      </c>
      <c r="B7" s="143">
        <f>'Weekly Valuation'!K101</f>
        <v>218520520561.22519</v>
      </c>
      <c r="C7" s="95"/>
      <c r="D7" s="97"/>
    </row>
    <row r="8" spans="1:6" ht="16.5">
      <c r="A8" s="142" t="s">
        <v>46</v>
      </c>
      <c r="B8" s="145">
        <f>'Weekly Valuation'!K62</f>
        <v>1307622955124.6592</v>
      </c>
      <c r="C8" s="95"/>
      <c r="D8" s="97"/>
    </row>
    <row r="9" spans="1:6" ht="16.5">
      <c r="A9" s="142" t="s">
        <v>127</v>
      </c>
      <c r="B9" s="145">
        <f>'Weekly Valuation'!K135</f>
        <v>1642482618309.0815</v>
      </c>
      <c r="C9" s="95"/>
      <c r="D9" s="97"/>
      <c r="F9" t="s">
        <v>281</v>
      </c>
    </row>
    <row r="10" spans="1:6">
      <c r="A10" s="95"/>
      <c r="B10" s="95"/>
      <c r="C10" s="95"/>
      <c r="D10" s="97"/>
    </row>
    <row r="11" spans="1:6" ht="16.5">
      <c r="A11" s="111"/>
      <c r="B11" s="117"/>
      <c r="C11" s="97"/>
      <c r="D11" s="97"/>
    </row>
    <row r="12" spans="1:6" ht="16.5">
      <c r="A12" s="102"/>
      <c r="B12" s="97"/>
      <c r="C12" s="97"/>
      <c r="D12" s="97"/>
    </row>
    <row r="13" spans="1:6" ht="16.5">
      <c r="A13" s="102"/>
      <c r="B13" s="102"/>
      <c r="C13" s="97"/>
      <c r="D13" s="97"/>
    </row>
    <row r="14" spans="1:6" ht="16.5">
      <c r="A14" s="102"/>
      <c r="B14" s="102"/>
      <c r="C14" s="97"/>
      <c r="D14" s="97"/>
    </row>
    <row r="15" spans="1:6" ht="16.5" customHeight="1">
      <c r="A15" s="138"/>
      <c r="B15" s="138"/>
      <c r="C15" s="97"/>
      <c r="D15" s="97"/>
    </row>
    <row r="16" spans="1:6" ht="16.5">
      <c r="A16" s="102"/>
      <c r="B16" s="102"/>
      <c r="C16" s="97"/>
      <c r="D16" s="97"/>
    </row>
    <row r="17" spans="1:17" ht="16.5">
      <c r="A17" s="102"/>
      <c r="B17" s="102"/>
      <c r="C17" s="97"/>
    </row>
    <row r="18" spans="1:17" ht="16.5">
      <c r="A18" s="114"/>
      <c r="B18" s="102"/>
      <c r="C18" s="97"/>
    </row>
    <row r="19" spans="1:17" ht="16.5">
      <c r="A19" s="114"/>
      <c r="B19" s="114"/>
      <c r="C19" s="97"/>
    </row>
    <row r="20" spans="1:17" ht="16.5">
      <c r="A20" s="114"/>
      <c r="B20" s="114"/>
      <c r="C20" s="97"/>
    </row>
    <row r="21" spans="1:17" ht="16.5">
      <c r="A21" s="111"/>
      <c r="B21" s="114"/>
      <c r="C21" s="97"/>
    </row>
    <row r="22" spans="1:17" ht="16.5">
      <c r="A22" s="97"/>
      <c r="B22" s="114"/>
      <c r="C22" s="97"/>
    </row>
    <row r="23" spans="1:17">
      <c r="A23" s="97"/>
      <c r="B23" s="97"/>
      <c r="C23" s="97"/>
    </row>
    <row r="24" spans="1:17">
      <c r="A24" s="97"/>
      <c r="B24" s="97"/>
      <c r="C24" s="97"/>
    </row>
    <row r="25" spans="1:17">
      <c r="A25" s="97"/>
      <c r="B25" s="97"/>
      <c r="C25" s="97"/>
    </row>
    <row r="26" spans="1:17">
      <c r="A26" s="97"/>
      <c r="B26" s="97"/>
    </row>
    <row r="32" spans="1:17" ht="16.5" customHeight="1">
      <c r="A32" s="179" t="s">
        <v>295</v>
      </c>
      <c r="B32" s="179"/>
      <c r="C32" s="179"/>
      <c r="D32" s="179"/>
      <c r="E32" s="179"/>
      <c r="F32" s="179"/>
      <c r="G32" s="179"/>
      <c r="H32" s="179"/>
      <c r="I32" s="179"/>
      <c r="J32" s="179"/>
      <c r="K32" s="179"/>
      <c r="L32" s="179"/>
      <c r="M32" s="179"/>
      <c r="N32" s="179"/>
      <c r="O32" s="179"/>
      <c r="P32" s="179"/>
      <c r="Q32" s="103"/>
    </row>
    <row r="33" spans="1:17" ht="15" customHeight="1">
      <c r="A33" s="179"/>
      <c r="B33" s="179"/>
      <c r="C33" s="179"/>
      <c r="D33" s="179"/>
      <c r="E33" s="179"/>
      <c r="F33" s="179"/>
      <c r="G33" s="179"/>
      <c r="H33" s="179"/>
      <c r="I33" s="179"/>
      <c r="J33" s="179"/>
      <c r="K33" s="179"/>
      <c r="L33" s="179"/>
      <c r="M33" s="179"/>
      <c r="N33" s="179"/>
      <c r="O33" s="179"/>
      <c r="P33" s="179"/>
      <c r="Q33" s="103"/>
    </row>
  </sheetData>
  <sheetProtection password="CA3B" sheet="1" objects="1" scenarios="1"/>
  <sortState ref="A2:B9">
    <sortCondition ref="B2:B9"/>
  </sortState>
  <mergeCells count="1">
    <mergeCell ref="A32:P33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7030A0"/>
  </sheetPr>
  <dimension ref="A1:M7"/>
  <sheetViews>
    <sheetView zoomScale="110" zoomScaleNormal="110" workbookViewId="0">
      <selection activeCell="F6" sqref="F6"/>
    </sheetView>
  </sheetViews>
  <sheetFormatPr defaultRowHeight="15"/>
  <cols>
    <col min="1" max="2" width="10.5703125" customWidth="1"/>
    <col min="3" max="3" width="11.140625" customWidth="1"/>
    <col min="4" max="4" width="10.5703125" customWidth="1"/>
    <col min="5" max="5" width="10.85546875" customWidth="1"/>
    <col min="6" max="6" width="11.140625" customWidth="1"/>
    <col min="7" max="7" width="12.140625" customWidth="1"/>
    <col min="8" max="8" width="11.7109375" customWidth="1"/>
    <col min="9" max="9" width="11.42578125" customWidth="1"/>
  </cols>
  <sheetData>
    <row r="1" spans="1:13">
      <c r="A1" s="95"/>
      <c r="B1" s="95"/>
      <c r="C1" s="95"/>
      <c r="D1" s="95"/>
      <c r="E1" s="95"/>
      <c r="F1" s="95"/>
      <c r="G1" s="95"/>
      <c r="H1" s="95"/>
      <c r="I1" s="95"/>
      <c r="J1" s="95"/>
      <c r="K1" s="97"/>
      <c r="L1" s="97"/>
      <c r="M1" s="97"/>
    </row>
    <row r="2" spans="1:13">
      <c r="A2" s="133" t="s">
        <v>230</v>
      </c>
      <c r="B2" s="134">
        <v>45492</v>
      </c>
      <c r="C2" s="134">
        <v>45499</v>
      </c>
      <c r="D2" s="134">
        <v>45506</v>
      </c>
      <c r="E2" s="134">
        <v>45513</v>
      </c>
      <c r="F2" s="134">
        <v>45520</v>
      </c>
      <c r="G2" s="134">
        <v>45527</v>
      </c>
      <c r="H2" s="134">
        <v>45534</v>
      </c>
      <c r="I2" s="134">
        <v>45541</v>
      </c>
      <c r="J2" s="95"/>
      <c r="K2" s="97"/>
      <c r="L2" s="97"/>
      <c r="M2" s="97"/>
    </row>
    <row r="3" spans="1:13">
      <c r="A3" s="133" t="s">
        <v>231</v>
      </c>
      <c r="B3" s="135">
        <f t="shared" ref="B3:I3" si="0">B4</f>
        <v>3161.8406486109188</v>
      </c>
      <c r="C3" s="135">
        <f t="shared" si="0"/>
        <v>3212.3863205334346</v>
      </c>
      <c r="D3" s="135">
        <f t="shared" si="0"/>
        <v>3251.4108261292827</v>
      </c>
      <c r="E3" s="135">
        <f t="shared" si="0"/>
        <v>3244.6913921078954</v>
      </c>
      <c r="F3" s="135">
        <f t="shared" si="0"/>
        <v>3279.8332952209639</v>
      </c>
      <c r="G3" s="135">
        <f t="shared" si="0"/>
        <v>3320.1554533474555</v>
      </c>
      <c r="H3" s="135">
        <f t="shared" si="0"/>
        <v>3346.0742802577015</v>
      </c>
      <c r="I3" s="135">
        <f t="shared" si="0"/>
        <v>3400.7528613225991</v>
      </c>
      <c r="J3" s="95"/>
      <c r="K3" s="97"/>
      <c r="L3" s="97"/>
      <c r="M3" s="97"/>
    </row>
    <row r="4" spans="1:13">
      <c r="A4" s="95"/>
      <c r="B4" s="136">
        <f>'NAV Trend'!C10/1000000000</f>
        <v>3161.8406486109188</v>
      </c>
      <c r="C4" s="136">
        <f>'NAV Trend'!D10/1000000000</f>
        <v>3212.3863205334346</v>
      </c>
      <c r="D4" s="136">
        <f>'NAV Trend'!E10/1000000000</f>
        <v>3251.4108261292827</v>
      </c>
      <c r="E4" s="136">
        <f>'NAV Trend'!F10/1000000000</f>
        <v>3244.6913921078954</v>
      </c>
      <c r="F4" s="136">
        <f>'NAV Trend'!G10/1000000000</f>
        <v>3279.8332952209639</v>
      </c>
      <c r="G4" s="136">
        <f>'NAV Trend'!H10/1000000000</f>
        <v>3320.1554533474555</v>
      </c>
      <c r="H4" s="137">
        <f>'NAV Trend'!I10/1000000000</f>
        <v>3346.0742802577015</v>
      </c>
      <c r="I4" s="137">
        <f>'NAV Trend'!J10/1000000000</f>
        <v>3400.7528613225991</v>
      </c>
      <c r="J4" s="95"/>
      <c r="K4" s="97"/>
      <c r="L4" s="97"/>
      <c r="M4" s="97"/>
    </row>
    <row r="5" spans="1:13">
      <c r="A5" s="95"/>
      <c r="B5" s="95"/>
      <c r="C5" s="95"/>
      <c r="D5" s="95"/>
      <c r="E5" s="95"/>
      <c r="F5" s="95"/>
      <c r="G5" s="95"/>
      <c r="H5" s="95"/>
      <c r="I5" s="95"/>
      <c r="J5" s="95"/>
      <c r="K5" s="97"/>
      <c r="L5" s="97"/>
    </row>
    <row r="6" spans="1:13">
      <c r="A6" s="97"/>
      <c r="B6" s="97"/>
      <c r="C6" s="97"/>
      <c r="D6" s="97"/>
      <c r="E6" s="97"/>
      <c r="F6" s="97"/>
      <c r="G6" s="97"/>
      <c r="H6" s="97"/>
      <c r="I6" s="97"/>
      <c r="J6" s="97"/>
      <c r="K6" s="97"/>
      <c r="L6" s="97"/>
    </row>
    <row r="7" spans="1:13">
      <c r="A7" s="97"/>
      <c r="B7" s="97"/>
      <c r="C7" s="97"/>
      <c r="D7" s="97"/>
      <c r="E7" s="97"/>
      <c r="F7" s="97"/>
      <c r="G7" s="97"/>
      <c r="H7" s="97"/>
      <c r="I7" s="97"/>
      <c r="J7" s="97"/>
    </row>
  </sheetData>
  <sheetProtection password="CA3B" sheet="1" objects="1" scenarios="1"/>
  <pageMargins left="0.7" right="0.7" top="0.75" bottom="0.75" header="0.3" footer="0.3"/>
  <pageSetup paperSize="9" orientation="portrait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FFFF00"/>
  </sheetPr>
  <dimension ref="A1:L7"/>
  <sheetViews>
    <sheetView workbookViewId="0">
      <selection activeCell="F5" sqref="F5"/>
    </sheetView>
  </sheetViews>
  <sheetFormatPr defaultRowHeight="15"/>
  <cols>
    <col min="1" max="1" width="16.5703125" customWidth="1"/>
    <col min="2" max="2" width="11.140625" bestFit="1" customWidth="1"/>
    <col min="3" max="3" width="11.42578125" bestFit="1" customWidth="1"/>
    <col min="4" max="4" width="11.5703125" bestFit="1" customWidth="1"/>
    <col min="5" max="5" width="11.140625" bestFit="1" customWidth="1"/>
    <col min="6" max="7" width="11.28515625" bestFit="1" customWidth="1"/>
    <col min="8" max="8" width="11.7109375" bestFit="1" customWidth="1"/>
    <col min="9" max="9" width="11.140625" customWidth="1"/>
  </cols>
  <sheetData>
    <row r="1" spans="1:12">
      <c r="A1" s="95"/>
      <c r="B1" s="95"/>
      <c r="C1" s="95"/>
      <c r="D1" s="95"/>
      <c r="E1" s="95"/>
      <c r="F1" s="95"/>
      <c r="G1" s="95"/>
      <c r="H1" s="95"/>
      <c r="I1" s="95"/>
      <c r="J1" s="95"/>
      <c r="K1" s="97"/>
      <c r="L1" s="97"/>
    </row>
    <row r="2" spans="1:12">
      <c r="A2" s="133" t="s">
        <v>230</v>
      </c>
      <c r="B2" s="134">
        <v>45492</v>
      </c>
      <c r="C2" s="134">
        <v>45499</v>
      </c>
      <c r="D2" s="134">
        <v>45506</v>
      </c>
      <c r="E2" s="134">
        <v>45513</v>
      </c>
      <c r="F2" s="134">
        <v>45520</v>
      </c>
      <c r="G2" s="134">
        <v>45527</v>
      </c>
      <c r="H2" s="134">
        <v>45534</v>
      </c>
      <c r="I2" s="134">
        <v>45541</v>
      </c>
      <c r="J2" s="95"/>
      <c r="K2" s="97"/>
      <c r="L2" s="97"/>
    </row>
    <row r="3" spans="1:12">
      <c r="A3" s="133" t="s">
        <v>262</v>
      </c>
      <c r="B3" s="135">
        <f t="shared" ref="B3:I3" si="0">B4</f>
        <v>12.398936333326033</v>
      </c>
      <c r="C3" s="135">
        <f t="shared" si="0"/>
        <v>12.157713481032657</v>
      </c>
      <c r="D3" s="135">
        <f t="shared" si="0"/>
        <v>12.159294190102655</v>
      </c>
      <c r="E3" s="135">
        <f t="shared" si="0"/>
        <v>12.203531382445654</v>
      </c>
      <c r="F3" s="135">
        <f t="shared" si="0"/>
        <v>12.119077784973646</v>
      </c>
      <c r="G3" s="135">
        <f t="shared" si="0"/>
        <v>12.021932386157646</v>
      </c>
      <c r="H3" s="135">
        <f t="shared" si="0"/>
        <v>12.190662825377647</v>
      </c>
      <c r="I3" s="135">
        <f t="shared" si="0"/>
        <v>12.168273401887646</v>
      </c>
      <c r="J3" s="95"/>
      <c r="K3" s="97"/>
      <c r="L3" s="97"/>
    </row>
    <row r="4" spans="1:12">
      <c r="A4" s="95"/>
      <c r="B4" s="136">
        <f>'NAV Trend'!C16/1000000000</f>
        <v>12.398936333326033</v>
      </c>
      <c r="C4" s="136">
        <f>'NAV Trend'!D16/1000000000</f>
        <v>12.157713481032657</v>
      </c>
      <c r="D4" s="136">
        <f>'NAV Trend'!E16/1000000000</f>
        <v>12.159294190102655</v>
      </c>
      <c r="E4" s="136">
        <f>'NAV Trend'!F16/1000000000</f>
        <v>12.203531382445654</v>
      </c>
      <c r="F4" s="136">
        <f>'NAV Trend'!G16/1000000000</f>
        <v>12.119077784973646</v>
      </c>
      <c r="G4" s="136">
        <f>'NAV Trend'!H16/1000000000</f>
        <v>12.021932386157646</v>
      </c>
      <c r="H4" s="136">
        <f>'NAV Trend'!I16/1000000000</f>
        <v>12.190662825377647</v>
      </c>
      <c r="I4" s="137">
        <f>'NAV Trend'!J16/1000000000</f>
        <v>12.168273401887646</v>
      </c>
      <c r="J4" s="95"/>
      <c r="K4" s="97"/>
      <c r="L4" s="97"/>
    </row>
    <row r="5" spans="1:12">
      <c r="A5" s="95"/>
      <c r="B5" s="95"/>
      <c r="C5" s="95"/>
      <c r="D5" s="95"/>
      <c r="E5" s="95"/>
      <c r="F5" s="95"/>
      <c r="G5" s="95"/>
      <c r="H5" s="95"/>
      <c r="I5" s="95"/>
      <c r="J5" s="95"/>
      <c r="K5" s="97"/>
      <c r="L5" s="97"/>
    </row>
    <row r="6" spans="1:12">
      <c r="A6" s="97"/>
      <c r="B6" s="97"/>
      <c r="C6" s="97"/>
      <c r="D6" s="97"/>
      <c r="E6" s="97"/>
      <c r="F6" s="97"/>
      <c r="G6" s="97"/>
      <c r="H6" s="97"/>
      <c r="I6" s="97"/>
      <c r="J6" s="97"/>
      <c r="K6" s="97"/>
      <c r="L6" s="97"/>
    </row>
    <row r="7" spans="1:12">
      <c r="A7" s="97"/>
      <c r="B7" s="97"/>
      <c r="C7" s="97"/>
      <c r="D7" s="97"/>
      <c r="E7" s="97"/>
      <c r="F7" s="97"/>
      <c r="G7" s="97"/>
      <c r="H7" s="97"/>
      <c r="I7" s="97"/>
      <c r="J7" s="97"/>
    </row>
  </sheetData>
  <sheetProtection password="CA3B" sheet="1" objects="1" scenarios="1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K22"/>
  <sheetViews>
    <sheetView topLeftCell="D1" workbookViewId="0">
      <selection activeCell="K1" sqref="K1"/>
    </sheetView>
  </sheetViews>
  <sheetFormatPr defaultRowHeight="15"/>
  <cols>
    <col min="1" max="1" width="36.28515625" customWidth="1"/>
    <col min="2" max="2" width="23.5703125" customWidth="1"/>
    <col min="3" max="3" width="22.5703125" customWidth="1"/>
    <col min="4" max="4" width="20.85546875" customWidth="1"/>
    <col min="5" max="5" width="22.5703125" customWidth="1"/>
    <col min="6" max="6" width="24.7109375" customWidth="1"/>
    <col min="7" max="7" width="22.42578125" customWidth="1"/>
    <col min="8" max="8" width="24.28515625" customWidth="1"/>
    <col min="9" max="9" width="22.5703125" customWidth="1"/>
    <col min="10" max="10" width="21.7109375" customWidth="1"/>
    <col min="11" max="12" width="20.7109375" bestFit="1" customWidth="1"/>
    <col min="13" max="13" width="20.5703125" bestFit="1" customWidth="1"/>
  </cols>
  <sheetData>
    <row r="1" spans="1:11" ht="16.5">
      <c r="A1" s="43" t="s">
        <v>219</v>
      </c>
      <c r="B1" s="44">
        <v>45485</v>
      </c>
      <c r="C1" s="44">
        <v>45492</v>
      </c>
      <c r="D1" s="44">
        <v>45499</v>
      </c>
      <c r="E1" s="44">
        <v>45506</v>
      </c>
      <c r="F1" s="44">
        <v>45513</v>
      </c>
      <c r="G1" s="44">
        <v>45520</v>
      </c>
      <c r="H1" s="44">
        <v>45527</v>
      </c>
      <c r="I1" s="44">
        <v>45534</v>
      </c>
      <c r="J1" s="44">
        <v>45541</v>
      </c>
    </row>
    <row r="2" spans="1:11" ht="16.5">
      <c r="A2" s="45" t="s">
        <v>14</v>
      </c>
      <c r="B2" s="120">
        <v>28668185801.740002</v>
      </c>
      <c r="C2" s="120">
        <v>27374223550.790398</v>
      </c>
      <c r="D2" s="120">
        <v>26986311220.071198</v>
      </c>
      <c r="E2" s="120">
        <v>27041982230.700104</v>
      </c>
      <c r="F2" s="120">
        <v>27433680041.348602</v>
      </c>
      <c r="G2" s="120">
        <v>27391940327.104202</v>
      </c>
      <c r="H2" s="120">
        <v>27464171302.260002</v>
      </c>
      <c r="I2" s="120">
        <v>28027790368.7999</v>
      </c>
      <c r="J2" s="120">
        <v>27785128483.915298</v>
      </c>
    </row>
    <row r="3" spans="1:11" ht="16.5">
      <c r="A3" s="45" t="s">
        <v>46</v>
      </c>
      <c r="B3" s="120">
        <v>1142921312773.24</v>
      </c>
      <c r="C3" s="120">
        <v>1166722877285.0798</v>
      </c>
      <c r="D3" s="120">
        <v>1182826404297.3062</v>
      </c>
      <c r="E3" s="120">
        <v>1197584357066.3213</v>
      </c>
      <c r="F3" s="120">
        <v>1218572512276.3979</v>
      </c>
      <c r="G3" s="120">
        <v>1238391247596.4695</v>
      </c>
      <c r="H3" s="120">
        <v>1261933383053.9299</v>
      </c>
      <c r="I3" s="120">
        <v>1275703699629.3594</v>
      </c>
      <c r="J3" s="120">
        <v>1307622955124.6592</v>
      </c>
    </row>
    <row r="4" spans="1:11" ht="16.5">
      <c r="A4" s="45" t="s">
        <v>220</v>
      </c>
      <c r="B4" s="119">
        <v>234509456399.79123</v>
      </c>
      <c r="C4" s="119">
        <v>231629021027.44598</v>
      </c>
      <c r="D4" s="119">
        <v>227274142538.3446</v>
      </c>
      <c r="E4" s="119">
        <v>222265413610.996</v>
      </c>
      <c r="F4" s="119">
        <v>220342612965.04529</v>
      </c>
      <c r="G4" s="119">
        <v>217819038959.14166</v>
      </c>
      <c r="H4" s="119">
        <v>216796049169.53281</v>
      </c>
      <c r="I4" s="119">
        <v>218570980192.58582</v>
      </c>
      <c r="J4" s="119">
        <v>218520520561.22519</v>
      </c>
    </row>
    <row r="5" spans="1:11" ht="16.5">
      <c r="A5" s="45" t="s">
        <v>127</v>
      </c>
      <c r="B5" s="120">
        <v>1488355338715.866</v>
      </c>
      <c r="C5" s="120">
        <v>1533129708414.949</v>
      </c>
      <c r="D5" s="120">
        <v>1572548889455.8511</v>
      </c>
      <c r="E5" s="120">
        <v>1602267920125.6169</v>
      </c>
      <c r="F5" s="120">
        <v>1574721850668.9399</v>
      </c>
      <c r="G5" s="120">
        <v>1593037556995.613</v>
      </c>
      <c r="H5" s="120">
        <v>1610214165564.0437</v>
      </c>
      <c r="I5" s="120">
        <v>1619684731793.4424</v>
      </c>
      <c r="J5" s="120">
        <v>1642482618309.0815</v>
      </c>
    </row>
    <row r="6" spans="1:11" ht="16.5">
      <c r="A6" s="45" t="s">
        <v>221</v>
      </c>
      <c r="B6" s="46">
        <v>98677642489.274277</v>
      </c>
      <c r="C6" s="46">
        <v>98890361757.442917</v>
      </c>
      <c r="D6" s="46">
        <v>98354700217.78096</v>
      </c>
      <c r="E6" s="46">
        <v>98122255921.538315</v>
      </c>
      <c r="F6" s="46">
        <v>98421099303.410858</v>
      </c>
      <c r="G6" s="46">
        <v>97679677536.488846</v>
      </c>
      <c r="H6" s="46">
        <v>97725390745.223068</v>
      </c>
      <c r="I6" s="46">
        <v>97021700017.900894</v>
      </c>
      <c r="J6" s="46">
        <v>97137104575.276978</v>
      </c>
    </row>
    <row r="7" spans="1:11" ht="16.5">
      <c r="A7" s="45" t="s">
        <v>151</v>
      </c>
      <c r="B7" s="47">
        <v>49261704634.470764</v>
      </c>
      <c r="C7" s="47">
        <v>49152903684.924065</v>
      </c>
      <c r="D7" s="47">
        <v>48792555116.379303</v>
      </c>
      <c r="E7" s="47">
        <v>48930496510.281784</v>
      </c>
      <c r="F7" s="47">
        <v>49553288389.12748</v>
      </c>
      <c r="G7" s="47">
        <v>49479509081.395515</v>
      </c>
      <c r="H7" s="47">
        <v>49723971071.59124</v>
      </c>
      <c r="I7" s="47">
        <v>50541815917.121063</v>
      </c>
      <c r="J7" s="47">
        <v>50358393707.296288</v>
      </c>
    </row>
    <row r="8" spans="1:11" ht="16.5">
      <c r="A8" s="45" t="s">
        <v>175</v>
      </c>
      <c r="B8" s="46">
        <v>5224194854.3199997</v>
      </c>
      <c r="C8" s="46">
        <v>5245977844.9799995</v>
      </c>
      <c r="D8" s="46">
        <v>5211618372.9899998</v>
      </c>
      <c r="E8" s="46">
        <v>5230729086.9300003</v>
      </c>
      <c r="F8" s="46">
        <v>5343194037.2600002</v>
      </c>
      <c r="G8" s="46">
        <v>5322624044.9300003</v>
      </c>
      <c r="H8" s="46">
        <v>5264954956.3800001</v>
      </c>
      <c r="I8" s="46">
        <v>5284717995.9899998</v>
      </c>
      <c r="J8" s="46">
        <v>5291480610.9799995</v>
      </c>
    </row>
    <row r="9" spans="1:11" ht="16.5">
      <c r="A9" s="45" t="s">
        <v>222</v>
      </c>
      <c r="B9" s="46">
        <v>49543935481.033516</v>
      </c>
      <c r="C9" s="46">
        <v>49695575045.307137</v>
      </c>
      <c r="D9" s="46">
        <v>50391699314.71109</v>
      </c>
      <c r="E9" s="46">
        <v>49967671576.897987</v>
      </c>
      <c r="F9" s="46">
        <v>50303154426.365845</v>
      </c>
      <c r="G9" s="46">
        <v>50711700679.821404</v>
      </c>
      <c r="H9" s="46">
        <v>51033367484.494461</v>
      </c>
      <c r="I9" s="46">
        <v>51238844342.502098</v>
      </c>
      <c r="J9" s="46">
        <v>51554659950.165176</v>
      </c>
    </row>
    <row r="10" spans="1:11" ht="15.75">
      <c r="A10" s="48" t="s">
        <v>223</v>
      </c>
      <c r="B10" s="49">
        <f t="shared" ref="B10:I10" si="0">SUM(B2:B9)</f>
        <v>3097161771149.7358</v>
      </c>
      <c r="C10" s="49">
        <f t="shared" si="0"/>
        <v>3161840648610.9189</v>
      </c>
      <c r="D10" s="49">
        <f t="shared" si="0"/>
        <v>3212386320533.4346</v>
      </c>
      <c r="E10" s="49">
        <f t="shared" si="0"/>
        <v>3251410826129.2827</v>
      </c>
      <c r="F10" s="49">
        <f t="shared" si="0"/>
        <v>3244691392107.8955</v>
      </c>
      <c r="G10" s="49">
        <f t="shared" si="0"/>
        <v>3279833295220.9639</v>
      </c>
      <c r="H10" s="49">
        <f t="shared" si="0"/>
        <v>3320155453347.4556</v>
      </c>
      <c r="I10" s="49">
        <f t="shared" si="0"/>
        <v>3346074280257.7017</v>
      </c>
      <c r="J10" s="49">
        <f>SUM(J2:J9)</f>
        <v>3400752861322.5991</v>
      </c>
    </row>
    <row r="11" spans="1:11" ht="16.5">
      <c r="A11" s="50"/>
      <c r="B11" s="51"/>
      <c r="C11" s="51"/>
      <c r="D11" s="51"/>
      <c r="E11" s="51"/>
      <c r="F11" s="51"/>
      <c r="G11" s="51"/>
      <c r="H11" s="51"/>
      <c r="I11" s="50"/>
      <c r="J11" s="50"/>
    </row>
    <row r="12" spans="1:11" ht="15.75">
      <c r="A12" s="52" t="s">
        <v>224</v>
      </c>
      <c r="B12" s="53" t="s">
        <v>225</v>
      </c>
      <c r="C12" s="54">
        <f>(B10+C10)/2</f>
        <v>3129501209880.3271</v>
      </c>
      <c r="D12" s="55">
        <f t="shared" ref="D12:J12" si="1">(C10+D10)/2</f>
        <v>3187113484572.1768</v>
      </c>
      <c r="E12" s="55">
        <f t="shared" si="1"/>
        <v>3231898573331.3584</v>
      </c>
      <c r="F12" s="55">
        <f t="shared" si="1"/>
        <v>3248051109118.5889</v>
      </c>
      <c r="G12" s="55">
        <f>(F10+G10)/2</f>
        <v>3262262343664.4297</v>
      </c>
      <c r="H12" s="55">
        <f t="shared" si="1"/>
        <v>3299994374284.21</v>
      </c>
      <c r="I12" s="55">
        <f t="shared" si="1"/>
        <v>3333114866802.5786</v>
      </c>
      <c r="J12" s="55">
        <f t="shared" si="1"/>
        <v>3373413570790.1504</v>
      </c>
    </row>
    <row r="13" spans="1:11">
      <c r="C13" s="97"/>
      <c r="D13" s="97"/>
      <c r="E13" s="97"/>
      <c r="F13" s="97"/>
      <c r="G13" s="97"/>
      <c r="H13" s="97"/>
      <c r="I13" s="97"/>
      <c r="J13" s="97"/>
      <c r="K13" s="97"/>
    </row>
    <row r="14" spans="1:11">
      <c r="A14" s="97"/>
      <c r="B14" s="97"/>
      <c r="C14" s="97"/>
      <c r="D14" s="97"/>
      <c r="E14" s="97"/>
      <c r="F14" s="97"/>
      <c r="G14" s="97"/>
      <c r="H14" s="97"/>
      <c r="I14" s="97"/>
      <c r="J14" s="97"/>
      <c r="K14" s="97"/>
    </row>
    <row r="15" spans="1:11" ht="16.5">
      <c r="A15" s="97"/>
      <c r="B15" s="44">
        <v>45485</v>
      </c>
      <c r="C15" s="44">
        <v>45492</v>
      </c>
      <c r="D15" s="44">
        <v>45499</v>
      </c>
      <c r="E15" s="44">
        <v>45506</v>
      </c>
      <c r="F15" s="44">
        <v>45513</v>
      </c>
      <c r="G15" s="44">
        <v>45520</v>
      </c>
      <c r="H15" s="44">
        <v>45527</v>
      </c>
      <c r="I15" s="44">
        <v>45534</v>
      </c>
      <c r="J15" s="44">
        <v>45541</v>
      </c>
      <c r="K15" s="97"/>
    </row>
    <row r="16" spans="1:11" ht="16.5">
      <c r="A16" s="116" t="s">
        <v>261</v>
      </c>
      <c r="B16" s="118">
        <v>12346932800.925091</v>
      </c>
      <c r="C16" s="118">
        <v>12398936333.326033</v>
      </c>
      <c r="D16" s="118">
        <v>12157713481.032656</v>
      </c>
      <c r="E16" s="118">
        <v>12159294190.102655</v>
      </c>
      <c r="F16" s="118">
        <v>12203531382.445654</v>
      </c>
      <c r="G16" s="118">
        <v>12119077784.973646</v>
      </c>
      <c r="H16" s="118">
        <v>12021932386.157646</v>
      </c>
      <c r="I16" s="118">
        <v>12190662825.377647</v>
      </c>
      <c r="J16" s="118">
        <v>12168273401.887646</v>
      </c>
      <c r="K16" s="97"/>
    </row>
    <row r="17" spans="1:11">
      <c r="A17" s="97"/>
      <c r="B17" s="97"/>
      <c r="C17" s="97"/>
      <c r="D17" s="97"/>
      <c r="E17" s="97"/>
      <c r="F17" s="97"/>
      <c r="G17" s="97"/>
      <c r="H17" s="97"/>
      <c r="I17" s="97"/>
      <c r="J17" s="97"/>
      <c r="K17" s="97"/>
    </row>
    <row r="18" spans="1:11">
      <c r="A18" s="97"/>
      <c r="B18" s="97"/>
      <c r="C18" s="117"/>
      <c r="D18" s="117"/>
      <c r="E18" s="117"/>
      <c r="F18" s="117"/>
      <c r="G18" s="117"/>
      <c r="H18" s="117"/>
      <c r="I18" s="117"/>
      <c r="J18" s="117"/>
      <c r="K18" s="97"/>
    </row>
    <row r="19" spans="1:11">
      <c r="A19" s="97"/>
      <c r="B19" s="97"/>
      <c r="C19" s="97"/>
      <c r="D19" s="97"/>
      <c r="E19" s="97"/>
      <c r="F19" s="97"/>
      <c r="G19" s="97"/>
      <c r="H19" s="97"/>
      <c r="I19" s="97"/>
      <c r="J19" s="97"/>
      <c r="K19" s="97"/>
    </row>
    <row r="20" spans="1:11">
      <c r="A20" s="97"/>
      <c r="B20" s="97"/>
      <c r="C20" s="97"/>
      <c r="D20" s="97"/>
      <c r="E20" s="97"/>
      <c r="F20" s="97"/>
      <c r="G20" s="97"/>
      <c r="H20" s="97"/>
      <c r="I20" s="97"/>
      <c r="J20" s="97"/>
      <c r="K20" s="97"/>
    </row>
    <row r="21" spans="1:11">
      <c r="B21" s="97"/>
      <c r="C21" s="97"/>
      <c r="D21" s="97"/>
      <c r="E21" s="97"/>
      <c r="F21" s="97"/>
      <c r="G21" s="97"/>
      <c r="H21" s="97"/>
      <c r="I21" s="97"/>
      <c r="J21" s="97"/>
      <c r="K21" s="97"/>
    </row>
    <row r="22" spans="1:11">
      <c r="B22" s="97"/>
      <c r="C22" s="97"/>
      <c r="D22" s="97"/>
      <c r="E22" s="97"/>
      <c r="F22" s="97"/>
      <c r="G22" s="97"/>
      <c r="H22" s="97"/>
      <c r="I22" s="97"/>
      <c r="J22" s="97"/>
      <c r="K22" s="95"/>
    </row>
  </sheetData>
  <sheetProtection password="CA3B" sheet="1" objects="1" scenarios="1"/>
  <pageMargins left="0.7" right="0.7" top="0.75" bottom="0.75" header="0.3" footer="0.3"/>
  <pageSetup paperSize="9" orientation="portrait" horizontalDpi="300" verticalDpi="300" r:id="rId1"/>
  <ignoredErrors>
    <ignoredError sqref="B10:J1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Weekly Valuation</vt:lpstr>
      <vt:lpstr>NAV Comparison</vt:lpstr>
      <vt:lpstr>Market Share</vt:lpstr>
      <vt:lpstr>8-Week Movement in NAV</vt:lpstr>
      <vt:lpstr>8-Week Movement in ETFs</vt:lpstr>
      <vt:lpstr>NAV Trend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 RV</dc:creator>
  <cp:lastModifiedBy>USER</cp:lastModifiedBy>
  <dcterms:created xsi:type="dcterms:W3CDTF">2023-10-09T09:40:10Z</dcterms:created>
  <dcterms:modified xsi:type="dcterms:W3CDTF">2024-09-11T16:22:27Z</dcterms:modified>
</cp:coreProperties>
</file>