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zza\OneDrive\Desktop\Tunde Isaac\Weekly NAV\"/>
    </mc:Choice>
  </mc:AlternateContent>
  <bookViews>
    <workbookView xWindow="0" yWindow="0" windowWidth="15345" windowHeight="4725"/>
  </bookViews>
  <sheets>
    <sheet name="Weekly Valuation" sheetId="1" r:id="rId1"/>
    <sheet name="NAV Comparison" sheetId="2" r:id="rId2"/>
    <sheet name="Market Share" sheetId="3" r:id="rId3"/>
    <sheet name="NAV Movement" sheetId="5" r:id="rId4"/>
    <sheet name="NAV Trend" sheetId="4" state="hidden" r:id="rId5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2" l="1"/>
  <c r="C11" i="2"/>
  <c r="C10" i="2"/>
  <c r="C9" i="2"/>
  <c r="C8" i="2"/>
  <c r="C7" i="2"/>
  <c r="C6" i="2"/>
  <c r="C5" i="2"/>
  <c r="B12" i="2"/>
  <c r="B11" i="2"/>
  <c r="B10" i="2"/>
  <c r="B9" i="2"/>
  <c r="B8" i="2"/>
  <c r="B7" i="2"/>
  <c r="B6" i="2"/>
  <c r="B5" i="2"/>
  <c r="N111" i="1"/>
  <c r="M111" i="1"/>
  <c r="N93" i="1" l="1"/>
  <c r="M93" i="1"/>
  <c r="K93" i="1"/>
  <c r="N92" i="1" l="1"/>
  <c r="M92" i="1"/>
  <c r="N99" i="1" l="1"/>
  <c r="M99" i="1"/>
  <c r="K99" i="1"/>
  <c r="N110" i="1" l="1"/>
  <c r="M110" i="1"/>
  <c r="N102" i="1" l="1"/>
  <c r="M102" i="1"/>
  <c r="K102" i="1"/>
  <c r="N95" i="1" l="1"/>
  <c r="M95" i="1"/>
  <c r="V95" i="1"/>
  <c r="U95" i="1"/>
  <c r="T95" i="1"/>
  <c r="S95" i="1"/>
  <c r="K95" i="1"/>
  <c r="R95" i="1" s="1"/>
  <c r="G95" i="1"/>
  <c r="F95" i="1"/>
  <c r="D95" i="1"/>
  <c r="V119" i="1" l="1"/>
  <c r="U119" i="1"/>
  <c r="T119" i="1"/>
  <c r="S119" i="1"/>
  <c r="R119" i="1"/>
  <c r="N101" i="1" l="1"/>
  <c r="M101" i="1"/>
  <c r="K101" i="1"/>
  <c r="N107" i="1" l="1"/>
  <c r="M107" i="1"/>
  <c r="K107" i="1"/>
  <c r="N114" i="1"/>
  <c r="M114" i="1"/>
  <c r="N100" i="1" l="1"/>
  <c r="M100" i="1"/>
  <c r="K100" i="1"/>
  <c r="N94" i="1" l="1"/>
  <c r="M94" i="1"/>
  <c r="K94" i="1"/>
  <c r="I149" i="1" l="1"/>
  <c r="G114" i="1"/>
  <c r="F114" i="1"/>
  <c r="G111" i="1"/>
  <c r="F111" i="1"/>
  <c r="G110" i="1"/>
  <c r="F110" i="1"/>
  <c r="G107" i="1"/>
  <c r="F107" i="1"/>
  <c r="D107" i="1"/>
  <c r="G102" i="1"/>
  <c r="F102" i="1"/>
  <c r="G101" i="1"/>
  <c r="F101" i="1"/>
  <c r="G100" i="1"/>
  <c r="F100" i="1"/>
  <c r="G99" i="1"/>
  <c r="F99" i="1"/>
  <c r="G94" i="1"/>
  <c r="F94" i="1"/>
  <c r="G93" i="1"/>
  <c r="F93" i="1"/>
  <c r="G92" i="1"/>
  <c r="F92" i="1"/>
  <c r="D102" i="1"/>
  <c r="D101" i="1"/>
  <c r="D100" i="1"/>
  <c r="D99" i="1"/>
  <c r="D94" i="1"/>
  <c r="D93" i="1"/>
  <c r="I10" i="4" l="1"/>
  <c r="H10" i="4"/>
  <c r="G10" i="4"/>
  <c r="F10" i="4"/>
  <c r="E10" i="4"/>
  <c r="D10" i="4"/>
  <c r="C10" i="4"/>
  <c r="B10" i="4"/>
  <c r="R69" i="1"/>
  <c r="V172" i="1" l="1"/>
  <c r="U172" i="1"/>
  <c r="T172" i="1"/>
  <c r="S172" i="1"/>
  <c r="R172" i="1"/>
  <c r="S161" i="1" l="1"/>
  <c r="D156" i="1" l="1"/>
  <c r="D115" i="1"/>
  <c r="E95" i="1" s="1"/>
  <c r="R85" i="1" l="1"/>
  <c r="S85" i="1"/>
  <c r="T85" i="1"/>
  <c r="U85" i="1"/>
  <c r="V85" i="1"/>
  <c r="D195" i="1"/>
  <c r="D174" i="1"/>
  <c r="E172" i="1" s="1"/>
  <c r="D123" i="1"/>
  <c r="E119" i="1" s="1"/>
  <c r="D54" i="1"/>
  <c r="R154" i="1" l="1"/>
  <c r="R77" i="1" l="1"/>
  <c r="S77" i="1"/>
  <c r="T77" i="1"/>
  <c r="V77" i="1"/>
  <c r="U77" i="1"/>
  <c r="D22" i="1" l="1"/>
  <c r="R108" i="1" l="1"/>
  <c r="R19" i="1" l="1"/>
  <c r="R184" i="1" l="1"/>
  <c r="S184" i="1"/>
  <c r="T184" i="1"/>
  <c r="U184" i="1"/>
  <c r="V184" i="1"/>
  <c r="R185" i="1"/>
  <c r="S185" i="1"/>
  <c r="T185" i="1"/>
  <c r="U185" i="1"/>
  <c r="V185" i="1"/>
  <c r="R186" i="1"/>
  <c r="S186" i="1"/>
  <c r="T186" i="1"/>
  <c r="U186" i="1"/>
  <c r="V186" i="1"/>
  <c r="R187" i="1"/>
  <c r="S187" i="1"/>
  <c r="T187" i="1"/>
  <c r="U187" i="1"/>
  <c r="V187" i="1"/>
  <c r="R188" i="1"/>
  <c r="S188" i="1"/>
  <c r="T188" i="1"/>
  <c r="U188" i="1"/>
  <c r="V188" i="1"/>
  <c r="R189" i="1"/>
  <c r="S189" i="1"/>
  <c r="T189" i="1"/>
  <c r="U189" i="1"/>
  <c r="V189" i="1"/>
  <c r="R190" i="1"/>
  <c r="S190" i="1"/>
  <c r="T190" i="1"/>
  <c r="U190" i="1"/>
  <c r="V190" i="1"/>
  <c r="R191" i="1"/>
  <c r="S191" i="1"/>
  <c r="T191" i="1"/>
  <c r="U191" i="1"/>
  <c r="V191" i="1"/>
  <c r="R192" i="1"/>
  <c r="S192" i="1"/>
  <c r="T192" i="1"/>
  <c r="U192" i="1"/>
  <c r="V192" i="1"/>
  <c r="R193" i="1"/>
  <c r="S193" i="1"/>
  <c r="T193" i="1"/>
  <c r="U193" i="1"/>
  <c r="V193" i="1"/>
  <c r="R194" i="1"/>
  <c r="S194" i="1"/>
  <c r="T194" i="1"/>
  <c r="U194" i="1"/>
  <c r="V194" i="1"/>
  <c r="S195" i="1"/>
  <c r="U195" i="1"/>
  <c r="V195" i="1"/>
  <c r="V183" i="1"/>
  <c r="U183" i="1"/>
  <c r="T183" i="1"/>
  <c r="S183" i="1"/>
  <c r="R183" i="1"/>
  <c r="V179" i="1"/>
  <c r="U179" i="1"/>
  <c r="T179" i="1"/>
  <c r="S179" i="1"/>
  <c r="R179" i="1"/>
  <c r="V178" i="1"/>
  <c r="U178" i="1"/>
  <c r="T178" i="1"/>
  <c r="S178" i="1"/>
  <c r="R178" i="1"/>
  <c r="R165" i="1"/>
  <c r="S165" i="1"/>
  <c r="T165" i="1"/>
  <c r="U165" i="1"/>
  <c r="V165" i="1"/>
  <c r="R166" i="1"/>
  <c r="S166" i="1"/>
  <c r="T166" i="1"/>
  <c r="U166" i="1"/>
  <c r="V166" i="1"/>
  <c r="R167" i="1"/>
  <c r="S167" i="1"/>
  <c r="T167" i="1"/>
  <c r="U167" i="1"/>
  <c r="V167" i="1"/>
  <c r="R168" i="1"/>
  <c r="S168" i="1"/>
  <c r="T168" i="1"/>
  <c r="U168" i="1"/>
  <c r="V168" i="1"/>
  <c r="R169" i="1"/>
  <c r="S169" i="1"/>
  <c r="T169" i="1"/>
  <c r="U169" i="1"/>
  <c r="V169" i="1"/>
  <c r="R170" i="1"/>
  <c r="S170" i="1"/>
  <c r="T170" i="1"/>
  <c r="U170" i="1"/>
  <c r="V170" i="1"/>
  <c r="R171" i="1"/>
  <c r="S171" i="1"/>
  <c r="T171" i="1"/>
  <c r="U171" i="1"/>
  <c r="V171" i="1"/>
  <c r="R173" i="1"/>
  <c r="S173" i="1"/>
  <c r="T173" i="1"/>
  <c r="U173" i="1"/>
  <c r="V173" i="1"/>
  <c r="S174" i="1"/>
  <c r="U174" i="1"/>
  <c r="V174" i="1"/>
  <c r="V164" i="1"/>
  <c r="U164" i="1"/>
  <c r="T164" i="1"/>
  <c r="S164" i="1"/>
  <c r="R164" i="1"/>
  <c r="V161" i="1"/>
  <c r="U161" i="1"/>
  <c r="T161" i="1"/>
  <c r="R161" i="1"/>
  <c r="V160" i="1"/>
  <c r="U160" i="1"/>
  <c r="T160" i="1"/>
  <c r="S160" i="1"/>
  <c r="R160" i="1"/>
  <c r="S154" i="1"/>
  <c r="T154" i="1"/>
  <c r="U154" i="1"/>
  <c r="V154" i="1"/>
  <c r="R155" i="1"/>
  <c r="S155" i="1"/>
  <c r="T155" i="1"/>
  <c r="U155" i="1"/>
  <c r="V155" i="1"/>
  <c r="S156" i="1"/>
  <c r="U156" i="1"/>
  <c r="V156" i="1"/>
  <c r="V153" i="1"/>
  <c r="U153" i="1"/>
  <c r="T153" i="1"/>
  <c r="S153" i="1"/>
  <c r="R153" i="1"/>
  <c r="R127" i="1"/>
  <c r="S127" i="1"/>
  <c r="T127" i="1"/>
  <c r="U127" i="1"/>
  <c r="V127" i="1"/>
  <c r="R128" i="1"/>
  <c r="S128" i="1"/>
  <c r="T128" i="1"/>
  <c r="U128" i="1"/>
  <c r="V128" i="1"/>
  <c r="R129" i="1"/>
  <c r="S129" i="1"/>
  <c r="T129" i="1"/>
  <c r="U129" i="1"/>
  <c r="R130" i="1"/>
  <c r="S130" i="1"/>
  <c r="T130" i="1"/>
  <c r="U130" i="1"/>
  <c r="V130" i="1"/>
  <c r="R131" i="1"/>
  <c r="S131" i="1"/>
  <c r="T131" i="1"/>
  <c r="U131" i="1"/>
  <c r="V131" i="1"/>
  <c r="R132" i="1"/>
  <c r="S132" i="1"/>
  <c r="T132" i="1"/>
  <c r="U132" i="1"/>
  <c r="V132" i="1"/>
  <c r="R133" i="1"/>
  <c r="S133" i="1"/>
  <c r="T133" i="1"/>
  <c r="U133" i="1"/>
  <c r="V133" i="1"/>
  <c r="R134" i="1"/>
  <c r="S134" i="1"/>
  <c r="T134" i="1"/>
  <c r="U134" i="1"/>
  <c r="V134" i="1"/>
  <c r="R135" i="1"/>
  <c r="S135" i="1"/>
  <c r="T135" i="1"/>
  <c r="U135" i="1"/>
  <c r="V135" i="1"/>
  <c r="R136" i="1"/>
  <c r="S136" i="1"/>
  <c r="T136" i="1"/>
  <c r="U136" i="1"/>
  <c r="V136" i="1"/>
  <c r="R137" i="1"/>
  <c r="S137" i="1"/>
  <c r="T137" i="1"/>
  <c r="U137" i="1"/>
  <c r="V137" i="1"/>
  <c r="R138" i="1"/>
  <c r="S138" i="1"/>
  <c r="T138" i="1"/>
  <c r="U138" i="1"/>
  <c r="V138" i="1"/>
  <c r="R139" i="1"/>
  <c r="S139" i="1"/>
  <c r="T139" i="1"/>
  <c r="U139" i="1"/>
  <c r="V139" i="1"/>
  <c r="R140" i="1"/>
  <c r="S140" i="1"/>
  <c r="T140" i="1"/>
  <c r="U140" i="1"/>
  <c r="V140" i="1"/>
  <c r="R141" i="1"/>
  <c r="S141" i="1"/>
  <c r="T141" i="1"/>
  <c r="U141" i="1"/>
  <c r="V141" i="1"/>
  <c r="R142" i="1"/>
  <c r="S142" i="1"/>
  <c r="T142" i="1"/>
  <c r="U142" i="1"/>
  <c r="V142" i="1"/>
  <c r="R143" i="1"/>
  <c r="S143" i="1"/>
  <c r="T143" i="1"/>
  <c r="U143" i="1"/>
  <c r="V143" i="1"/>
  <c r="R144" i="1"/>
  <c r="S144" i="1"/>
  <c r="U144" i="1"/>
  <c r="V144" i="1"/>
  <c r="R145" i="1"/>
  <c r="S145" i="1"/>
  <c r="T145" i="1"/>
  <c r="U145" i="1"/>
  <c r="V145" i="1"/>
  <c r="R146" i="1"/>
  <c r="S146" i="1"/>
  <c r="T146" i="1"/>
  <c r="U146" i="1"/>
  <c r="V146" i="1"/>
  <c r="R147" i="1"/>
  <c r="S147" i="1"/>
  <c r="T147" i="1"/>
  <c r="U147" i="1"/>
  <c r="V147" i="1"/>
  <c r="R148" i="1"/>
  <c r="S148" i="1"/>
  <c r="T148" i="1"/>
  <c r="U148" i="1"/>
  <c r="V148" i="1"/>
  <c r="R149" i="1"/>
  <c r="S149" i="1"/>
  <c r="T149" i="1"/>
  <c r="U149" i="1"/>
  <c r="V149" i="1"/>
  <c r="S150" i="1"/>
  <c r="U150" i="1"/>
  <c r="V150" i="1"/>
  <c r="V126" i="1"/>
  <c r="U126" i="1"/>
  <c r="T126" i="1"/>
  <c r="S126" i="1"/>
  <c r="R126" i="1"/>
  <c r="R120" i="1"/>
  <c r="S120" i="1"/>
  <c r="T120" i="1"/>
  <c r="U120" i="1"/>
  <c r="V120" i="1"/>
  <c r="R121" i="1"/>
  <c r="S121" i="1"/>
  <c r="T121" i="1"/>
  <c r="U121" i="1"/>
  <c r="V121" i="1"/>
  <c r="R122" i="1"/>
  <c r="S122" i="1"/>
  <c r="T122" i="1"/>
  <c r="U122" i="1"/>
  <c r="V122" i="1"/>
  <c r="S123" i="1"/>
  <c r="U123" i="1"/>
  <c r="V123" i="1"/>
  <c r="V118" i="1"/>
  <c r="U118" i="1"/>
  <c r="T118" i="1"/>
  <c r="S118" i="1"/>
  <c r="R118" i="1"/>
  <c r="R107" i="1"/>
  <c r="S107" i="1"/>
  <c r="T107" i="1"/>
  <c r="U107" i="1"/>
  <c r="V107" i="1"/>
  <c r="S108" i="1"/>
  <c r="T108" i="1"/>
  <c r="U108" i="1"/>
  <c r="V108" i="1"/>
  <c r="R109" i="1"/>
  <c r="S109" i="1"/>
  <c r="T109" i="1"/>
  <c r="U109" i="1"/>
  <c r="V109" i="1"/>
  <c r="R110" i="1"/>
  <c r="S110" i="1"/>
  <c r="T110" i="1"/>
  <c r="U110" i="1"/>
  <c r="V110" i="1"/>
  <c r="R111" i="1"/>
  <c r="S111" i="1"/>
  <c r="T111" i="1"/>
  <c r="U111" i="1"/>
  <c r="V111" i="1"/>
  <c r="R112" i="1"/>
  <c r="S112" i="1"/>
  <c r="T112" i="1"/>
  <c r="U112" i="1"/>
  <c r="V112" i="1"/>
  <c r="R113" i="1"/>
  <c r="S113" i="1"/>
  <c r="T113" i="1"/>
  <c r="U113" i="1"/>
  <c r="V113" i="1"/>
  <c r="R114" i="1"/>
  <c r="S114" i="1"/>
  <c r="T114" i="1"/>
  <c r="U114" i="1"/>
  <c r="V114" i="1"/>
  <c r="S115" i="1"/>
  <c r="U115" i="1"/>
  <c r="V115" i="1"/>
  <c r="V106" i="1"/>
  <c r="U106" i="1"/>
  <c r="T106" i="1"/>
  <c r="S106" i="1"/>
  <c r="R106" i="1"/>
  <c r="R93" i="1"/>
  <c r="S93" i="1"/>
  <c r="T93" i="1"/>
  <c r="U93" i="1"/>
  <c r="V93" i="1"/>
  <c r="R96" i="1"/>
  <c r="S96" i="1"/>
  <c r="T96" i="1"/>
  <c r="U96" i="1"/>
  <c r="V96" i="1"/>
  <c r="R97" i="1"/>
  <c r="S97" i="1"/>
  <c r="T97" i="1"/>
  <c r="U97" i="1"/>
  <c r="V97" i="1"/>
  <c r="R98" i="1"/>
  <c r="S98" i="1"/>
  <c r="T98" i="1"/>
  <c r="U98" i="1"/>
  <c r="V98" i="1"/>
  <c r="R99" i="1"/>
  <c r="S99" i="1"/>
  <c r="T99" i="1"/>
  <c r="U99" i="1"/>
  <c r="V99" i="1"/>
  <c r="R100" i="1"/>
  <c r="S100" i="1"/>
  <c r="T100" i="1"/>
  <c r="U100" i="1"/>
  <c r="V100" i="1"/>
  <c r="R101" i="1"/>
  <c r="S101" i="1"/>
  <c r="T101" i="1"/>
  <c r="U101" i="1"/>
  <c r="V101" i="1"/>
  <c r="R102" i="1"/>
  <c r="S102" i="1"/>
  <c r="T102" i="1"/>
  <c r="U102" i="1"/>
  <c r="V102" i="1"/>
  <c r="R103" i="1"/>
  <c r="S103" i="1"/>
  <c r="T103" i="1"/>
  <c r="U103" i="1"/>
  <c r="V103" i="1"/>
  <c r="V92" i="1"/>
  <c r="U92" i="1"/>
  <c r="T92" i="1"/>
  <c r="S92" i="1"/>
  <c r="R92" i="1"/>
  <c r="R58" i="1"/>
  <c r="S58" i="1"/>
  <c r="T58" i="1"/>
  <c r="U58" i="1"/>
  <c r="V58" i="1"/>
  <c r="R59" i="1"/>
  <c r="S59" i="1"/>
  <c r="T59" i="1"/>
  <c r="U59" i="1"/>
  <c r="V59" i="1"/>
  <c r="R60" i="1"/>
  <c r="S60" i="1"/>
  <c r="T60" i="1"/>
  <c r="U60" i="1"/>
  <c r="V60" i="1"/>
  <c r="R61" i="1"/>
  <c r="S61" i="1"/>
  <c r="T61" i="1"/>
  <c r="U61" i="1"/>
  <c r="V61" i="1"/>
  <c r="R62" i="1"/>
  <c r="S62" i="1"/>
  <c r="T62" i="1"/>
  <c r="U62" i="1"/>
  <c r="R63" i="1"/>
  <c r="S63" i="1"/>
  <c r="T63" i="1"/>
  <c r="U63" i="1"/>
  <c r="V63" i="1"/>
  <c r="R64" i="1"/>
  <c r="S64" i="1"/>
  <c r="T64" i="1"/>
  <c r="U64" i="1"/>
  <c r="V64" i="1"/>
  <c r="R65" i="1"/>
  <c r="S65" i="1"/>
  <c r="T65" i="1"/>
  <c r="U65" i="1"/>
  <c r="V65" i="1"/>
  <c r="R66" i="1"/>
  <c r="S66" i="1"/>
  <c r="T66" i="1"/>
  <c r="U66" i="1"/>
  <c r="V66" i="1"/>
  <c r="R67" i="1"/>
  <c r="S67" i="1"/>
  <c r="T67" i="1"/>
  <c r="U67" i="1"/>
  <c r="V67" i="1"/>
  <c r="R68" i="1"/>
  <c r="S68" i="1"/>
  <c r="T68" i="1"/>
  <c r="U68" i="1"/>
  <c r="V68" i="1"/>
  <c r="S69" i="1"/>
  <c r="T69" i="1"/>
  <c r="U69" i="1"/>
  <c r="V69" i="1"/>
  <c r="R70" i="1"/>
  <c r="S70" i="1"/>
  <c r="T70" i="1"/>
  <c r="U70" i="1"/>
  <c r="V70" i="1"/>
  <c r="R71" i="1"/>
  <c r="S71" i="1"/>
  <c r="T71" i="1"/>
  <c r="U71" i="1"/>
  <c r="V71" i="1"/>
  <c r="R72" i="1"/>
  <c r="S72" i="1"/>
  <c r="T72" i="1"/>
  <c r="U72" i="1"/>
  <c r="V72" i="1"/>
  <c r="R73" i="1"/>
  <c r="S73" i="1"/>
  <c r="T73" i="1"/>
  <c r="U73" i="1"/>
  <c r="V73" i="1"/>
  <c r="R74" i="1"/>
  <c r="S74" i="1"/>
  <c r="T74" i="1"/>
  <c r="U74" i="1"/>
  <c r="V74" i="1"/>
  <c r="R75" i="1"/>
  <c r="S75" i="1"/>
  <c r="T75" i="1"/>
  <c r="U75" i="1"/>
  <c r="V75" i="1"/>
  <c r="R76" i="1"/>
  <c r="S76" i="1"/>
  <c r="T76" i="1"/>
  <c r="U76" i="1"/>
  <c r="V76" i="1"/>
  <c r="R78" i="1"/>
  <c r="S78" i="1"/>
  <c r="T78" i="1"/>
  <c r="U78" i="1"/>
  <c r="V78" i="1"/>
  <c r="R79" i="1"/>
  <c r="S79" i="1"/>
  <c r="T79" i="1"/>
  <c r="U79" i="1"/>
  <c r="V79" i="1"/>
  <c r="R80" i="1"/>
  <c r="S80" i="1"/>
  <c r="T80" i="1"/>
  <c r="U80" i="1"/>
  <c r="V80" i="1"/>
  <c r="R81" i="1"/>
  <c r="S81" i="1"/>
  <c r="T81" i="1"/>
  <c r="U81" i="1"/>
  <c r="V81" i="1"/>
  <c r="R82" i="1"/>
  <c r="S82" i="1"/>
  <c r="T82" i="1"/>
  <c r="U82" i="1"/>
  <c r="V82" i="1"/>
  <c r="R83" i="1"/>
  <c r="S83" i="1"/>
  <c r="T83" i="1"/>
  <c r="U83" i="1"/>
  <c r="V83" i="1"/>
  <c r="R84" i="1"/>
  <c r="S84" i="1"/>
  <c r="T84" i="1"/>
  <c r="U84" i="1"/>
  <c r="V84" i="1"/>
  <c r="R86" i="1"/>
  <c r="S86" i="1"/>
  <c r="T86" i="1"/>
  <c r="U86" i="1"/>
  <c r="V86" i="1"/>
  <c r="R87" i="1"/>
  <c r="S87" i="1"/>
  <c r="T87" i="1"/>
  <c r="U87" i="1"/>
  <c r="V87" i="1"/>
  <c r="S88" i="1"/>
  <c r="U88" i="1"/>
  <c r="V88" i="1"/>
  <c r="V57" i="1"/>
  <c r="U57" i="1"/>
  <c r="T57" i="1"/>
  <c r="S57" i="1"/>
  <c r="R57" i="1"/>
  <c r="R26" i="1"/>
  <c r="S26" i="1"/>
  <c r="T26" i="1"/>
  <c r="U26" i="1"/>
  <c r="V26" i="1"/>
  <c r="R27" i="1"/>
  <c r="S27" i="1"/>
  <c r="T27" i="1"/>
  <c r="U27" i="1"/>
  <c r="V27" i="1"/>
  <c r="R28" i="1"/>
  <c r="S28" i="1"/>
  <c r="T28" i="1"/>
  <c r="U28" i="1"/>
  <c r="V28" i="1"/>
  <c r="R29" i="1"/>
  <c r="S29" i="1"/>
  <c r="T29" i="1"/>
  <c r="U29" i="1"/>
  <c r="V29" i="1"/>
  <c r="R30" i="1"/>
  <c r="S30" i="1"/>
  <c r="T30" i="1"/>
  <c r="U30" i="1"/>
  <c r="V30" i="1"/>
  <c r="R31" i="1"/>
  <c r="S31" i="1"/>
  <c r="T31" i="1"/>
  <c r="U31" i="1"/>
  <c r="V31" i="1"/>
  <c r="R32" i="1"/>
  <c r="S32" i="1"/>
  <c r="T32" i="1"/>
  <c r="U32" i="1"/>
  <c r="V32" i="1"/>
  <c r="R33" i="1"/>
  <c r="S33" i="1"/>
  <c r="T33" i="1"/>
  <c r="U33" i="1"/>
  <c r="V33" i="1"/>
  <c r="R34" i="1"/>
  <c r="S34" i="1"/>
  <c r="T34" i="1"/>
  <c r="U34" i="1"/>
  <c r="V34" i="1"/>
  <c r="R35" i="1"/>
  <c r="S35" i="1"/>
  <c r="T35" i="1"/>
  <c r="U35" i="1"/>
  <c r="V35" i="1"/>
  <c r="R36" i="1"/>
  <c r="S36" i="1"/>
  <c r="T36" i="1"/>
  <c r="U36" i="1"/>
  <c r="V36" i="1"/>
  <c r="R37" i="1"/>
  <c r="S37" i="1"/>
  <c r="T37" i="1"/>
  <c r="U37" i="1"/>
  <c r="V37" i="1"/>
  <c r="R38" i="1"/>
  <c r="S38" i="1"/>
  <c r="T38" i="1"/>
  <c r="U38" i="1"/>
  <c r="V38" i="1"/>
  <c r="R39" i="1"/>
  <c r="S39" i="1"/>
  <c r="T39" i="1"/>
  <c r="U39" i="1"/>
  <c r="V39" i="1"/>
  <c r="R40" i="1"/>
  <c r="S40" i="1"/>
  <c r="T40" i="1"/>
  <c r="U40" i="1"/>
  <c r="V40" i="1"/>
  <c r="R41" i="1"/>
  <c r="S41" i="1"/>
  <c r="T41" i="1"/>
  <c r="U41" i="1"/>
  <c r="V41" i="1"/>
  <c r="R42" i="1"/>
  <c r="S42" i="1"/>
  <c r="T42" i="1"/>
  <c r="U42" i="1"/>
  <c r="V42" i="1"/>
  <c r="R43" i="1"/>
  <c r="S43" i="1"/>
  <c r="T43" i="1"/>
  <c r="U43" i="1"/>
  <c r="V43" i="1"/>
  <c r="R44" i="1"/>
  <c r="S44" i="1"/>
  <c r="T44" i="1"/>
  <c r="U44" i="1"/>
  <c r="V44" i="1"/>
  <c r="R45" i="1"/>
  <c r="S45" i="1"/>
  <c r="T45" i="1"/>
  <c r="U45" i="1"/>
  <c r="V45" i="1"/>
  <c r="R46" i="1"/>
  <c r="S46" i="1"/>
  <c r="T46" i="1"/>
  <c r="U46" i="1"/>
  <c r="V46" i="1"/>
  <c r="R47" i="1"/>
  <c r="S47" i="1"/>
  <c r="T47" i="1"/>
  <c r="U47" i="1"/>
  <c r="V47" i="1"/>
  <c r="R48" i="1"/>
  <c r="S48" i="1"/>
  <c r="T48" i="1"/>
  <c r="U48" i="1"/>
  <c r="V48" i="1"/>
  <c r="R49" i="1"/>
  <c r="S49" i="1"/>
  <c r="T49" i="1"/>
  <c r="U49" i="1"/>
  <c r="V49" i="1"/>
  <c r="R50" i="1"/>
  <c r="S50" i="1"/>
  <c r="T50" i="1"/>
  <c r="U50" i="1"/>
  <c r="V50" i="1"/>
  <c r="R51" i="1"/>
  <c r="S51" i="1"/>
  <c r="T51" i="1"/>
  <c r="U51" i="1"/>
  <c r="V51" i="1"/>
  <c r="R52" i="1"/>
  <c r="S52" i="1"/>
  <c r="T52" i="1"/>
  <c r="U52" i="1"/>
  <c r="V52" i="1"/>
  <c r="R53" i="1"/>
  <c r="S53" i="1"/>
  <c r="T53" i="1"/>
  <c r="U53" i="1"/>
  <c r="V53" i="1"/>
  <c r="S54" i="1"/>
  <c r="U54" i="1"/>
  <c r="V54" i="1"/>
  <c r="V25" i="1"/>
  <c r="U25" i="1"/>
  <c r="T25" i="1"/>
  <c r="S25" i="1"/>
  <c r="R25" i="1"/>
  <c r="R7" i="1"/>
  <c r="S7" i="1"/>
  <c r="T7" i="1"/>
  <c r="U7" i="1"/>
  <c r="V7" i="1"/>
  <c r="R8" i="1"/>
  <c r="S8" i="1"/>
  <c r="T8" i="1"/>
  <c r="U8" i="1"/>
  <c r="V8" i="1"/>
  <c r="R9" i="1"/>
  <c r="S9" i="1"/>
  <c r="T9" i="1"/>
  <c r="U9" i="1"/>
  <c r="V9" i="1"/>
  <c r="R10" i="1"/>
  <c r="S10" i="1"/>
  <c r="T10" i="1"/>
  <c r="U10" i="1"/>
  <c r="V10" i="1"/>
  <c r="R11" i="1"/>
  <c r="S11" i="1"/>
  <c r="T11" i="1"/>
  <c r="U11" i="1"/>
  <c r="V11" i="1"/>
  <c r="R12" i="1"/>
  <c r="S12" i="1"/>
  <c r="T12" i="1"/>
  <c r="U12" i="1"/>
  <c r="V12" i="1"/>
  <c r="R13" i="1"/>
  <c r="S13" i="1"/>
  <c r="T13" i="1"/>
  <c r="U13" i="1"/>
  <c r="V13" i="1"/>
  <c r="R14" i="1"/>
  <c r="S14" i="1"/>
  <c r="T14" i="1"/>
  <c r="U14" i="1"/>
  <c r="V14" i="1"/>
  <c r="R15" i="1"/>
  <c r="S15" i="1"/>
  <c r="T15" i="1"/>
  <c r="U15" i="1"/>
  <c r="V15" i="1"/>
  <c r="R16" i="1"/>
  <c r="S16" i="1"/>
  <c r="T16" i="1"/>
  <c r="U16" i="1"/>
  <c r="V16" i="1"/>
  <c r="R17" i="1"/>
  <c r="S17" i="1"/>
  <c r="T17" i="1"/>
  <c r="U17" i="1"/>
  <c r="V17" i="1"/>
  <c r="R18" i="1"/>
  <c r="S18" i="1"/>
  <c r="T18" i="1"/>
  <c r="U18" i="1"/>
  <c r="V18" i="1"/>
  <c r="S19" i="1"/>
  <c r="T19" i="1"/>
  <c r="U19" i="1"/>
  <c r="V19" i="1"/>
  <c r="R20" i="1"/>
  <c r="S20" i="1"/>
  <c r="T20" i="1"/>
  <c r="U20" i="1"/>
  <c r="V20" i="1"/>
  <c r="R21" i="1"/>
  <c r="S21" i="1"/>
  <c r="T21" i="1"/>
  <c r="U21" i="1"/>
  <c r="V21" i="1"/>
  <c r="S22" i="1"/>
  <c r="U22" i="1"/>
  <c r="V22" i="1"/>
  <c r="V6" i="1"/>
  <c r="U6" i="1"/>
  <c r="T6" i="1"/>
  <c r="V62" i="1" l="1"/>
  <c r="V129" i="1"/>
  <c r="O174" i="1" l="1"/>
  <c r="O195" i="1"/>
  <c r="K195" i="1"/>
  <c r="L194" i="1" s="1"/>
  <c r="H195" i="1"/>
  <c r="K180" i="1"/>
  <c r="H180" i="1"/>
  <c r="D180" i="1"/>
  <c r="H174" i="1"/>
  <c r="K174" i="1"/>
  <c r="H156" i="1"/>
  <c r="O156" i="1"/>
  <c r="K156" i="1"/>
  <c r="O150" i="1"/>
  <c r="K150" i="1"/>
  <c r="H150" i="1"/>
  <c r="D150" i="1"/>
  <c r="O123" i="1"/>
  <c r="K123" i="1"/>
  <c r="L119" i="1" s="1"/>
  <c r="H123" i="1"/>
  <c r="T123" i="1" s="1"/>
  <c r="H115" i="1"/>
  <c r="O115" i="1"/>
  <c r="K115" i="1"/>
  <c r="L95" i="1" s="1"/>
  <c r="O88" i="1"/>
  <c r="K88" i="1"/>
  <c r="H88" i="1"/>
  <c r="D88" i="1"/>
  <c r="O54" i="1"/>
  <c r="K54" i="1"/>
  <c r="H54" i="1"/>
  <c r="O22" i="1"/>
  <c r="H22" i="1"/>
  <c r="L92" i="1" l="1"/>
  <c r="L106" i="1"/>
  <c r="L141" i="1"/>
  <c r="L146" i="1"/>
  <c r="L170" i="1"/>
  <c r="L172" i="1"/>
  <c r="L80" i="1"/>
  <c r="L60" i="1"/>
  <c r="L145" i="1"/>
  <c r="L94" i="1"/>
  <c r="L25" i="1"/>
  <c r="L38" i="1"/>
  <c r="T174" i="1"/>
  <c r="L84" i="1"/>
  <c r="L85" i="1"/>
  <c r="E77" i="1"/>
  <c r="E85" i="1"/>
  <c r="T195" i="1"/>
  <c r="L77" i="1"/>
  <c r="T54" i="1"/>
  <c r="T156" i="1"/>
  <c r="R156" i="1"/>
  <c r="T88" i="1"/>
  <c r="T150" i="1"/>
  <c r="T22" i="1"/>
  <c r="R123" i="1"/>
  <c r="R195" i="1"/>
  <c r="T115" i="1"/>
  <c r="O175" i="1"/>
  <c r="O196" i="1" s="1"/>
  <c r="R150" i="1"/>
  <c r="L140" i="1"/>
  <c r="R115" i="1"/>
  <c r="R88" i="1"/>
  <c r="L59" i="1"/>
  <c r="L61" i="1"/>
  <c r="L63" i="1"/>
  <c r="L65" i="1"/>
  <c r="L67" i="1"/>
  <c r="L69" i="1"/>
  <c r="L71" i="1"/>
  <c r="L73" i="1"/>
  <c r="L75" i="1"/>
  <c r="L78" i="1"/>
  <c r="L82" i="1"/>
  <c r="L87" i="1"/>
  <c r="L58" i="1"/>
  <c r="L62" i="1"/>
  <c r="L64" i="1"/>
  <c r="L66" i="1"/>
  <c r="L68" i="1"/>
  <c r="L70" i="1"/>
  <c r="L72" i="1"/>
  <c r="L74" i="1"/>
  <c r="L76" i="1"/>
  <c r="L79" i="1"/>
  <c r="L81" i="1"/>
  <c r="L83" i="1"/>
  <c r="L86" i="1"/>
  <c r="E27" i="1"/>
  <c r="E29" i="1"/>
  <c r="E31" i="1"/>
  <c r="E33" i="1"/>
  <c r="E35" i="1"/>
  <c r="E37" i="1"/>
  <c r="E39" i="1"/>
  <c r="E41" i="1"/>
  <c r="E43" i="1"/>
  <c r="E45" i="1"/>
  <c r="E47" i="1"/>
  <c r="E49" i="1"/>
  <c r="E51" i="1"/>
  <c r="E53" i="1"/>
  <c r="E26" i="1"/>
  <c r="E28" i="1"/>
  <c r="E30" i="1"/>
  <c r="E32" i="1"/>
  <c r="E34" i="1"/>
  <c r="E36" i="1"/>
  <c r="E38" i="1"/>
  <c r="E40" i="1"/>
  <c r="E42" i="1"/>
  <c r="E44" i="1"/>
  <c r="E46" i="1"/>
  <c r="E48" i="1"/>
  <c r="E50" i="1"/>
  <c r="E52" i="1"/>
  <c r="E25" i="1"/>
  <c r="E166" i="1"/>
  <c r="E168" i="1"/>
  <c r="E170" i="1"/>
  <c r="E173" i="1"/>
  <c r="E165" i="1"/>
  <c r="E167" i="1"/>
  <c r="E169" i="1"/>
  <c r="E171" i="1"/>
  <c r="R174" i="1"/>
  <c r="H175" i="1"/>
  <c r="H196" i="1" s="1"/>
  <c r="J10" i="4"/>
  <c r="J12" i="4" s="1"/>
  <c r="I12" i="4"/>
  <c r="H12" i="4"/>
  <c r="G12" i="4"/>
  <c r="F12" i="4"/>
  <c r="E12" i="4"/>
  <c r="C12" i="4"/>
  <c r="L193" i="1"/>
  <c r="E191" i="1"/>
  <c r="L192" i="1"/>
  <c r="L191" i="1"/>
  <c r="L189" i="1"/>
  <c r="L188" i="1"/>
  <c r="L187" i="1"/>
  <c r="L185" i="1"/>
  <c r="L184" i="1"/>
  <c r="L183" i="1"/>
  <c r="V180" i="1"/>
  <c r="U180" i="1"/>
  <c r="L178" i="1"/>
  <c r="E178" i="1"/>
  <c r="L171" i="1"/>
  <c r="L165" i="1"/>
  <c r="L161" i="1"/>
  <c r="L153" i="1"/>
  <c r="E155" i="1"/>
  <c r="E149" i="1"/>
  <c r="E146" i="1"/>
  <c r="L139" i="1"/>
  <c r="L137" i="1"/>
  <c r="L134" i="1"/>
  <c r="L131" i="1"/>
  <c r="L129" i="1"/>
  <c r="L126" i="1"/>
  <c r="L121" i="1"/>
  <c r="E122" i="1"/>
  <c r="L122" i="1"/>
  <c r="E84" i="1"/>
  <c r="E86" i="1"/>
  <c r="E83" i="1"/>
  <c r="E81" i="1"/>
  <c r="E79" i="1"/>
  <c r="E76" i="1"/>
  <c r="E74" i="1"/>
  <c r="E72" i="1"/>
  <c r="E70" i="1"/>
  <c r="E68" i="1"/>
  <c r="E66" i="1"/>
  <c r="E64" i="1"/>
  <c r="E62" i="1"/>
  <c r="E60" i="1"/>
  <c r="E58" i="1"/>
  <c r="L50" i="1"/>
  <c r="R54" i="1"/>
  <c r="L51" i="1"/>
  <c r="L32" i="1"/>
  <c r="K22" i="1"/>
  <c r="L13" i="1" s="1"/>
  <c r="E14" i="1"/>
  <c r="S6" i="1"/>
  <c r="R6" i="1"/>
  <c r="E8" i="1" l="1"/>
  <c r="E6" i="1"/>
  <c r="E10" i="1"/>
  <c r="E9" i="1"/>
  <c r="L8" i="1"/>
  <c r="L10" i="1"/>
  <c r="L12" i="1"/>
  <c r="L14" i="1"/>
  <c r="L16" i="1"/>
  <c r="L18" i="1"/>
  <c r="L20" i="1"/>
  <c r="L7" i="1"/>
  <c r="L9" i="1"/>
  <c r="L11" i="1"/>
  <c r="L15" i="1"/>
  <c r="L17" i="1"/>
  <c r="L19" i="1"/>
  <c r="L21" i="1"/>
  <c r="E19" i="1"/>
  <c r="R22" i="1"/>
  <c r="L6" i="1"/>
  <c r="L40" i="1"/>
  <c r="L118" i="1"/>
  <c r="L127" i="1"/>
  <c r="L130" i="1"/>
  <c r="L133" i="1"/>
  <c r="L135" i="1"/>
  <c r="L138" i="1"/>
  <c r="L142" i="1"/>
  <c r="E18" i="1"/>
  <c r="L57" i="1"/>
  <c r="E61" i="1"/>
  <c r="E118" i="1"/>
  <c r="E126" i="1"/>
  <c r="E127" i="1"/>
  <c r="E128" i="1"/>
  <c r="E133" i="1"/>
  <c r="E134" i="1"/>
  <c r="E135" i="1"/>
  <c r="E136" i="1"/>
  <c r="E141" i="1"/>
  <c r="E144" i="1"/>
  <c r="E148" i="1"/>
  <c r="L167" i="1"/>
  <c r="L169" i="1"/>
  <c r="E11" i="1"/>
  <c r="E13" i="1"/>
  <c r="E16" i="1"/>
  <c r="E20" i="1"/>
  <c r="L29" i="1"/>
  <c r="L37" i="1"/>
  <c r="L43" i="1"/>
  <c r="K175" i="1"/>
  <c r="L120" i="1"/>
  <c r="E129" i="1"/>
  <c r="E130" i="1"/>
  <c r="E131" i="1"/>
  <c r="E132" i="1"/>
  <c r="E137" i="1"/>
  <c r="E138" i="1"/>
  <c r="E139" i="1"/>
  <c r="E140" i="1"/>
  <c r="E142" i="1"/>
  <c r="E143" i="1"/>
  <c r="E145" i="1"/>
  <c r="E147" i="1"/>
  <c r="L160" i="1"/>
  <c r="L166" i="1"/>
  <c r="L99" i="1"/>
  <c r="L108" i="1"/>
  <c r="L98" i="1"/>
  <c r="L48" i="1"/>
  <c r="L33" i="1"/>
  <c r="L44" i="1"/>
  <c r="L52" i="1"/>
  <c r="E121" i="1"/>
  <c r="L144" i="1"/>
  <c r="L148" i="1"/>
  <c r="L155" i="1"/>
  <c r="E186" i="1"/>
  <c r="E190" i="1"/>
  <c r="E194" i="1"/>
  <c r="D12" i="4"/>
  <c r="E93" i="1"/>
  <c r="L36" i="1"/>
  <c r="L39" i="1"/>
  <c r="L30" i="1"/>
  <c r="L41" i="1"/>
  <c r="L49" i="1"/>
  <c r="L128" i="1"/>
  <c r="L132" i="1"/>
  <c r="L136" i="1"/>
  <c r="E154" i="1"/>
  <c r="E164" i="1"/>
  <c r="E179" i="1"/>
  <c r="L186" i="1"/>
  <c r="L190" i="1"/>
  <c r="L28" i="1"/>
  <c r="L47" i="1"/>
  <c r="E7" i="1"/>
  <c r="E17" i="1"/>
  <c r="E21" i="1"/>
  <c r="L27" i="1"/>
  <c r="L35" i="1"/>
  <c r="L46" i="1"/>
  <c r="E57" i="1"/>
  <c r="E65" i="1"/>
  <c r="E69" i="1"/>
  <c r="E73" i="1"/>
  <c r="E78" i="1"/>
  <c r="E82" i="1"/>
  <c r="E87" i="1"/>
  <c r="E120" i="1"/>
  <c r="L143" i="1"/>
  <c r="L147" i="1"/>
  <c r="L154" i="1"/>
  <c r="L164" i="1"/>
  <c r="L168" i="1"/>
  <c r="L173" i="1"/>
  <c r="L179" i="1"/>
  <c r="R180" i="1"/>
  <c r="E185" i="1"/>
  <c r="E189" i="1"/>
  <c r="E193" i="1"/>
  <c r="E153" i="1"/>
  <c r="E161" i="1"/>
  <c r="E184" i="1"/>
  <c r="E188" i="1"/>
  <c r="E192" i="1"/>
  <c r="L45" i="1"/>
  <c r="L53" i="1"/>
  <c r="L26" i="1"/>
  <c r="L34" i="1"/>
  <c r="E160" i="1"/>
  <c r="E12" i="1"/>
  <c r="E15" i="1"/>
  <c r="L31" i="1"/>
  <c r="L42" i="1"/>
  <c r="E59" i="1"/>
  <c r="E63" i="1"/>
  <c r="E67" i="1"/>
  <c r="E71" i="1"/>
  <c r="E75" i="1"/>
  <c r="E80" i="1"/>
  <c r="L149" i="1"/>
  <c r="E183" i="1"/>
  <c r="E187" i="1"/>
  <c r="L109" i="1" l="1"/>
  <c r="L93" i="1"/>
  <c r="L96" i="1"/>
  <c r="L102" i="1"/>
  <c r="L111" i="1"/>
  <c r="E107" i="1"/>
  <c r="L97" i="1"/>
  <c r="K196" i="1"/>
  <c r="L22" i="1"/>
  <c r="L150" i="1"/>
  <c r="L54" i="1"/>
  <c r="L123" i="1"/>
  <c r="L88" i="1"/>
  <c r="L115" i="1"/>
  <c r="L174" i="1"/>
  <c r="L156" i="1"/>
  <c r="L101" i="1"/>
  <c r="L100" i="1"/>
  <c r="L114" i="1"/>
  <c r="L110" i="1"/>
  <c r="L112" i="1"/>
  <c r="L103" i="1"/>
  <c r="L113" i="1"/>
  <c r="L107" i="1"/>
  <c r="E113" i="1"/>
  <c r="E110" i="1"/>
  <c r="E103" i="1"/>
  <c r="E100" i="1"/>
  <c r="E97" i="1"/>
  <c r="E102" i="1"/>
  <c r="E98" i="1"/>
  <c r="E108" i="1"/>
  <c r="E99" i="1"/>
  <c r="D175" i="1"/>
  <c r="E115" i="1" s="1"/>
  <c r="E114" i="1"/>
  <c r="E92" i="1"/>
  <c r="E101" i="1"/>
  <c r="E96" i="1"/>
  <c r="E112" i="1"/>
  <c r="E111" i="1"/>
  <c r="E109" i="1"/>
  <c r="E106" i="1"/>
  <c r="E54" i="1" l="1"/>
  <c r="E150" i="1"/>
  <c r="D196" i="1"/>
  <c r="E88" i="1"/>
  <c r="E22" i="1"/>
  <c r="E174" i="1"/>
  <c r="E123" i="1"/>
  <c r="E156" i="1"/>
</calcChain>
</file>

<file path=xl/sharedStrings.xml><?xml version="1.0" encoding="utf-8"?>
<sst xmlns="http://schemas.openxmlformats.org/spreadsheetml/2006/main" count="411" uniqueCount="258">
  <si>
    <t>% Change (Current from Previous)</t>
  </si>
  <si>
    <t>Difference</t>
  </si>
  <si>
    <t>S/N</t>
  </si>
  <si>
    <t>FUND</t>
  </si>
  <si>
    <t>FUND MANAGER</t>
  </si>
  <si>
    <t>NAV (N)</t>
  </si>
  <si>
    <t>% on Total</t>
  </si>
  <si>
    <t>Bid Price (N)</t>
  </si>
  <si>
    <t>Offer Price (N)</t>
  </si>
  <si>
    <t>Yield (WTD)</t>
  </si>
  <si>
    <t>Yield  (YTD)</t>
  </si>
  <si>
    <t>NAV (%)</t>
  </si>
  <si>
    <t>Unit Price (%)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</si>
  <si>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</si>
  <si>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</si>
  <si>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</si>
  <si>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</si>
  <si>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</si>
  <si>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</si>
  <si>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</si>
  <si>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</si>
  <si>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Asset &amp; Resources Mgt. Co. Ltd</t>
  </si>
  <si>
    <t>AXA Mansard Equity Income Fund</t>
  </si>
  <si>
    <t>AXA Mansard Investments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</si>
  <si>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</si>
  <si>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</si>
  <si>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</si>
  <si>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</si>
  <si>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</si>
  <si>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</si>
  <si>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</si>
  <si>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</si>
  <si>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Fund Managers</t>
  </si>
  <si>
    <t>Legacy Equity Fund</t>
  </si>
  <si>
    <t>First City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</si>
  <si>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</si>
  <si>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</si>
  <si>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</si>
  <si>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</si>
  <si>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</si>
  <si>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</si>
  <si>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</si>
  <si>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</si>
  <si>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</si>
  <si>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</si>
  <si>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</si>
  <si>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</si>
  <si>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</si>
  <si>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</si>
  <si>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</si>
  <si>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</si>
  <si>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</si>
  <si>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</si>
  <si>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</si>
  <si>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</si>
  <si>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</si>
  <si>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</si>
  <si>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</si>
  <si>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</si>
  <si>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</si>
  <si>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</si>
  <si>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</si>
  <si>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</si>
  <si>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</si>
  <si>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</si>
  <si>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</si>
  <si>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</si>
  <si>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</si>
  <si>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</si>
  <si>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</si>
  <si>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</si>
  <si>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</si>
  <si>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</si>
  <si>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</si>
  <si>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</si>
  <si>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</si>
  <si>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</si>
  <si>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</si>
  <si>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</si>
  <si>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</si>
  <si>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</si>
  <si>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</si>
  <si>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</si>
  <si>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</si>
  <si>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</si>
  <si>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</si>
  <si>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</si>
  <si>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</si>
  <si>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</si>
  <si>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</si>
  <si>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</si>
  <si>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</si>
  <si>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</si>
  <si>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</si>
  <si>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</si>
  <si>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</si>
  <si>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</si>
  <si>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</si>
  <si>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</si>
  <si>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</si>
  <si>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</si>
  <si>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Asset and Trust Limited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</si>
  <si>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</si>
  <si>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</si>
  <si>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</si>
  <si>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</si>
  <si>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</si>
  <si>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</si>
  <si>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DLM Asset Management Limited</t>
  </si>
  <si>
    <t>EDC Fixed Income Fund</t>
  </si>
  <si>
    <t>Emerging Africa Bond Fund</t>
  </si>
  <si>
    <t>FBN Bond Fund</t>
  </si>
  <si>
    <t>GDL Income Fund</t>
  </si>
  <si>
    <t>Lead Fixed Income Fund</t>
  </si>
  <si>
    <t>Lead Asset Management Limited</t>
  </si>
  <si>
    <t>Legacy Debt Fund</t>
  </si>
  <si>
    <t>Nigeria Bond Fund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</si>
  <si>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</si>
  <si>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</si>
  <si>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</si>
  <si>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</si>
  <si>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</si>
  <si>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</si>
  <si>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</si>
  <si>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</si>
  <si>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</si>
  <si>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</si>
  <si>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Vantage Guaranteed Income Fund (VGIF)</t>
  </si>
  <si>
    <t>Zenith Income Fund</t>
  </si>
  <si>
    <t>DOLLAR FUNDS</t>
  </si>
  <si>
    <t>Afrinvest Dollar Fund</t>
  </si>
  <si>
    <t>ARM Eurobond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</si>
  <si>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</si>
  <si>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</si>
  <si>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</si>
  <si>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</si>
  <si>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</si>
  <si>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</si>
  <si>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</si>
  <si>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</si>
  <si>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EDC Dollar Fund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</si>
  <si>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</si>
  <si>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</si>
  <si>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</si>
  <si>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</si>
  <si>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</si>
  <si>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</si>
  <si>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</si>
  <si>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>United Capital Global Fixed Income Fund</t>
  </si>
  <si>
    <t>Vantage Dollar Fund (VDF)</t>
  </si>
  <si>
    <t>REAL ESTATE INVESTMENT TRUSTS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</si>
  <si>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</si>
  <si>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</si>
  <si>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</si>
  <si>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</si>
  <si>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</si>
  <si>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</si>
  <si>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</si>
  <si>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</si>
  <si>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</si>
  <si>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</si>
  <si>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</si>
  <si>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</si>
  <si>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</si>
  <si>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</si>
  <si>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</si>
  <si>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</si>
  <si>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</si>
  <si>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</si>
  <si>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</si>
  <si>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Lead Balanced Fund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</si>
  <si>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</si>
  <si>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</si>
  <si>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</si>
  <si>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</si>
  <si>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</si>
  <si>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</si>
  <si>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</si>
  <si>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</si>
  <si>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</si>
  <si>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</si>
  <si>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</si>
  <si>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</si>
  <si>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</si>
  <si>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</si>
  <si>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</si>
  <si>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</si>
  <si>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</si>
  <si>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</si>
  <si>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</si>
  <si>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</si>
  <si>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</si>
  <si>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FBN Halal Fund</t>
  </si>
  <si>
    <t>Lotus Capital Fixed Income Fund</t>
  </si>
  <si>
    <t>Norrenberger Islamic Fund</t>
  </si>
  <si>
    <t>Stanbic IBTC Shariah Fixed Income Fund</t>
  </si>
  <si>
    <t>United Capital Sukuk Fund</t>
  </si>
  <si>
    <t>Marble Halal Commodities Fund</t>
  </si>
  <si>
    <t xml:space="preserve">Marble Capital Limited </t>
  </si>
  <si>
    <t>Mutual Funds Total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</si>
  <si>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</si>
  <si>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</si>
  <si>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</si>
  <si>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</si>
  <si>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</si>
  <si>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</si>
  <si>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</si>
  <si>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Capital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</si>
  <si>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</si>
  <si>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</si>
  <si>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</si>
  <si>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</si>
  <si>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</si>
  <si>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</si>
  <si>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</si>
  <si>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</si>
  <si>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</si>
  <si>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</si>
  <si>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</si>
  <si>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</si>
  <si>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</si>
  <si>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</si>
  <si>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</si>
  <si>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</si>
  <si>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</si>
  <si>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</si>
  <si>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</si>
  <si>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TOTAL</t>
  </si>
  <si>
    <t>MOVING AVERAGE:</t>
  </si>
  <si>
    <t>-</t>
  </si>
  <si>
    <t>Unitholders</t>
  </si>
  <si>
    <t>EUROBONDS</t>
  </si>
  <si>
    <t>FIXED INCOME</t>
  </si>
  <si>
    <t>EQUITIES</t>
  </si>
  <si>
    <t>DATE</t>
  </si>
  <si>
    <t>TOTAL NAV</t>
  </si>
  <si>
    <t>Uniholders</t>
  </si>
  <si>
    <t>Radix Horizon Fund</t>
  </si>
  <si>
    <t>Radix Capital Partners Limited</t>
  </si>
  <si>
    <t>Guaranty Trust Equity Income Fund</t>
  </si>
  <si>
    <t>Guaranty Trust Money Market Fund</t>
  </si>
  <si>
    <t>Guaranty Trust Balanced Fund</t>
  </si>
  <si>
    <t>Utica Custodian Assured Fixed Income Fund</t>
  </si>
  <si>
    <t>Utica Capital Limited</t>
  </si>
  <si>
    <t>Cowry Eurobond Fund</t>
  </si>
  <si>
    <t>NAV, Unit Price and Yield as at Week Ended November 10, 2023</t>
  </si>
  <si>
    <t>Marble Halal Fixed Income Fund</t>
  </si>
  <si>
    <t xml:space="preserve">                  113,141.09 </t>
  </si>
  <si>
    <t xml:space="preserve">            113,141.09 </t>
  </si>
  <si>
    <t>Week Ended November 10, 2023</t>
  </si>
  <si>
    <t>WEEKLY VALUATION REPORT OF COLLECTIVE INVESTMENT SCHEMES AS AT WEEK ENDED FRIDAY, NOVEMBER 17, 2023</t>
  </si>
  <si>
    <t>NAV, Unit Price and Yield as at Week Ended November 17, 2023</t>
  </si>
  <si>
    <t xml:space="preserve">                  113,270.67 </t>
  </si>
  <si>
    <t xml:space="preserve">            113,270.67 </t>
  </si>
  <si>
    <t>Housing Solution Fund</t>
  </si>
  <si>
    <t>Fundco Capital Managers Limited</t>
  </si>
  <si>
    <t>28.9072% </t>
  </si>
  <si>
    <t>Week Ended November 17,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</si>
</sst>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0.0%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color theme="1"/>
      <name val="Arial Narrow"/>
      <family val="2"/>
    </font>
    <font>
      <i/>
      <sz val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8"/>
      <color rgb="FF000000"/>
      <name val="Arial Narrow"/>
      <family val="2"/>
    </font>
    <font>
      <b/>
      <sz val="12"/>
      <color rgb="FF000000"/>
      <name val="Times New Roman"/>
      <family val="1"/>
    </font>
    <font>
      <b/>
      <sz val="18"/>
      <color theme="0"/>
      <name val="Ebrima"/>
    </font>
    <font>
      <sz val="10"/>
      <name val="Arial Narrow"/>
      <family val="2"/>
    </font>
    <font>
      <sz val="11"/>
      <color theme="0"/>
      <name val="Calibri"/>
      <family val="2"/>
      <scheme val="minor"/>
    </font>
    <font>
      <b/>
      <sz val="11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6"/>
      <name val="Arial Narrow"/>
      <family val="2"/>
    </font>
    <font>
      <sz val="6"/>
      <color theme="1"/>
      <name val="Calibri"/>
      <family val="2"/>
      <scheme val="minor"/>
    </font>
    <font>
      <sz val="10"/>
      <color theme="1"/>
      <name val="Futura Bk BT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  <xf numFmtId="164" fontId="1" fillId="0" borderId="0" applyFont="0" applyFill="0" applyBorder="0" applyAlignment="0" applyProtection="0"/>
  </cellStyleXfs>
  <cellXfs count="147">
    <xf numFmtId="0" fontId="0" fillId="0" borderId="0" xfId="0"/>
    <xf numFmtId="0" fontId="2" fillId="2" borderId="5" xfId="0" applyFont="1" applyFill="1" applyBorder="1"/>
    <xf numFmtId="43" fontId="6" fillId="3" borderId="5" xfId="3" applyFont="1" applyFill="1" applyBorder="1"/>
    <xf numFmtId="10" fontId="6" fillId="2" borderId="5" xfId="2" applyNumberFormat="1" applyFont="1" applyFill="1" applyBorder="1" applyAlignment="1">
      <alignment horizontal="center"/>
    </xf>
    <xf numFmtId="4" fontId="6" fillId="3" borderId="5" xfId="0" applyNumberFormat="1" applyFont="1" applyFill="1" applyBorder="1"/>
    <xf numFmtId="10" fontId="6" fillId="5" borderId="5" xfId="2" applyNumberFormat="1" applyFont="1" applyFill="1" applyBorder="1" applyAlignment="1">
      <alignment horizontal="center"/>
    </xf>
    <xf numFmtId="10" fontId="4" fillId="5" borderId="5" xfId="2" applyNumberFormat="1" applyFont="1" applyFill="1" applyBorder="1" applyAlignment="1">
      <alignment horizontal="center"/>
    </xf>
    <xf numFmtId="43" fontId="6" fillId="3" borderId="5" xfId="1" applyFont="1" applyFill="1" applyBorder="1"/>
    <xf numFmtId="4" fontId="6" fillId="3" borderId="5" xfId="0" applyNumberFormat="1" applyFont="1" applyFill="1" applyBorder="1" applyAlignment="1">
      <alignment horizontal="right"/>
    </xf>
    <xf numFmtId="43" fontId="6" fillId="3" borderId="5" xfId="3" applyFont="1" applyFill="1" applyBorder="1" applyAlignment="1">
      <alignment horizontal="right"/>
    </xf>
    <xf numFmtId="10" fontId="6" fillId="2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horizontal="right"/>
    </xf>
    <xf numFmtId="10" fontId="6" fillId="5" borderId="5" xfId="2" applyNumberFormat="1" applyFont="1" applyFill="1" applyBorder="1" applyAlignment="1">
      <alignment horizontal="center" wrapText="1"/>
    </xf>
    <xf numFmtId="43" fontId="6" fillId="3" borderId="5" xfId="3" applyFont="1" applyFill="1" applyBorder="1" applyAlignment="1">
      <alignment horizontal="right" wrapText="1"/>
    </xf>
    <xf numFmtId="2" fontId="6" fillId="3" borderId="5" xfId="0" applyNumberFormat="1" applyFont="1" applyFill="1" applyBorder="1"/>
    <xf numFmtId="43" fontId="6" fillId="3" borderId="5" xfId="3" applyFont="1" applyFill="1" applyBorder="1" applyAlignment="1">
      <alignment wrapText="1"/>
    </xf>
    <xf numFmtId="10" fontId="6" fillId="2" borderId="5" xfId="2" applyNumberFormat="1" applyFont="1" applyFill="1" applyBorder="1" applyAlignment="1">
      <alignment horizontal="center" wrapText="1"/>
    </xf>
    <xf numFmtId="4" fontId="6" fillId="3" borderId="5" xfId="3" applyNumberFormat="1" applyFont="1" applyFill="1" applyBorder="1" applyAlignment="1">
      <alignment horizontal="right"/>
    </xf>
    <xf numFmtId="4" fontId="6" fillId="3" borderId="5" xfId="3" applyNumberFormat="1" applyFont="1" applyFill="1" applyBorder="1" applyAlignment="1">
      <alignment horizontal="right" wrapText="1"/>
    </xf>
    <xf numFmtId="0" fontId="7" fillId="3" borderId="5" xfId="0" applyFont="1" applyFill="1" applyBorder="1"/>
    <xf numFmtId="10" fontId="6" fillId="5" borderId="5" xfId="2" quotePrefix="1" applyNumberFormat="1" applyFont="1" applyFill="1" applyBorder="1" applyAlignment="1">
      <alignment horizontal="center"/>
    </xf>
    <xf numFmtId="4" fontId="6" fillId="3" borderId="5" xfId="3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center" vertical="top" wrapText="1"/>
    </xf>
    <xf numFmtId="43" fontId="8" fillId="7" borderId="5" xfId="1" applyFont="1" applyFill="1" applyBorder="1" applyAlignment="1">
      <alignment horizontal="right" vertical="top" wrapText="1"/>
    </xf>
    <xf numFmtId="10" fontId="4" fillId="7" borderId="5" xfId="2" applyNumberFormat="1" applyFont="1" applyFill="1" applyBorder="1" applyAlignment="1">
      <alignment horizontal="center" vertical="top" wrapText="1"/>
    </xf>
    <xf numFmtId="165" fontId="4" fillId="7" borderId="5" xfId="2" applyNumberFormat="1" applyFont="1" applyFill="1" applyBorder="1" applyAlignment="1">
      <alignment horizontal="center" vertical="top" wrapText="1"/>
    </xf>
    <xf numFmtId="43" fontId="6" fillId="3" borderId="5" xfId="3" applyFont="1" applyFill="1" applyBorder="1" applyAlignment="1">
      <alignment horizontal="right" vertical="top" wrapText="1"/>
    </xf>
    <xf numFmtId="10" fontId="6" fillId="5" borderId="5" xfId="2" applyNumberFormat="1" applyFont="1" applyFill="1" applyBorder="1" applyAlignment="1">
      <alignment horizontal="center" vertical="top" wrapText="1"/>
    </xf>
    <xf numFmtId="43" fontId="6" fillId="3" borderId="5" xfId="1" applyFont="1" applyFill="1" applyBorder="1" applyAlignment="1">
      <alignment horizontal="right" vertical="top" wrapText="1"/>
    </xf>
    <xf numFmtId="10" fontId="6" fillId="3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vertical="top" wrapText="1"/>
    </xf>
    <xf numFmtId="10" fontId="6" fillId="5" borderId="5" xfId="1" applyNumberFormat="1" applyFont="1" applyFill="1" applyBorder="1" applyAlignment="1">
      <alignment horizontal="center"/>
    </xf>
    <xf numFmtId="4" fontId="6" fillId="5" borderId="5" xfId="1" applyNumberFormat="1" applyFont="1" applyFill="1" applyBorder="1" applyAlignment="1">
      <alignment horizontal="center"/>
    </xf>
    <xf numFmtId="4" fontId="6" fillId="3" borderId="5" xfId="1" applyNumberFormat="1" applyFont="1" applyFill="1" applyBorder="1" applyAlignment="1">
      <alignment horizontal="right" vertical="top" wrapText="1"/>
    </xf>
    <xf numFmtId="4" fontId="6" fillId="5" borderId="5" xfId="1" applyNumberFormat="1" applyFont="1" applyFill="1" applyBorder="1" applyAlignment="1">
      <alignment horizontal="center" vertical="top" wrapText="1"/>
    </xf>
    <xf numFmtId="164" fontId="6" fillId="3" borderId="5" xfId="0" applyNumberFormat="1" applyFont="1" applyFill="1" applyBorder="1"/>
    <xf numFmtId="164" fontId="6" fillId="5" borderId="5" xfId="0" applyNumberFormat="1" applyFont="1" applyFill="1" applyBorder="1" applyAlignment="1">
      <alignment horizontal="center"/>
    </xf>
    <xf numFmtId="0" fontId="6" fillId="7" borderId="5" xfId="0" applyFont="1" applyFill="1" applyBorder="1" applyAlignment="1">
      <alignment horizontal="right" vertical="center"/>
    </xf>
    <xf numFmtId="10" fontId="6" fillId="7" borderId="5" xfId="1" applyNumberFormat="1" applyFont="1" applyFill="1" applyBorder="1" applyAlignment="1">
      <alignment horizontal="right" vertical="center" wrapText="1"/>
    </xf>
    <xf numFmtId="4" fontId="6" fillId="7" borderId="5" xfId="1" applyNumberFormat="1" applyFont="1" applyFill="1" applyBorder="1" applyAlignment="1">
      <alignment horizontal="right" vertical="center" wrapText="1"/>
    </xf>
    <xf numFmtId="9" fontId="6" fillId="7" borderId="5" xfId="2" applyFont="1" applyFill="1" applyBorder="1" applyAlignment="1">
      <alignment horizontal="center" vertical="center" wrapText="1"/>
    </xf>
    <xf numFmtId="4" fontId="6" fillId="7" borderId="5" xfId="1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right"/>
    </xf>
    <xf numFmtId="0" fontId="9" fillId="0" borderId="5" xfId="0" applyFont="1" applyBorder="1" applyAlignment="1">
      <alignment horizontal="right"/>
    </xf>
    <xf numFmtId="16" fontId="10" fillId="3" borderId="5" xfId="0" applyNumberFormat="1" applyFont="1" applyFill="1" applyBorder="1"/>
    <xf numFmtId="0" fontId="10" fillId="0" borderId="5" xfId="0" applyFont="1" applyBorder="1" applyAlignment="1">
      <alignment horizontal="right"/>
    </xf>
    <xf numFmtId="4" fontId="11" fillId="3" borderId="5" xfId="0" applyNumberFormat="1" applyFont="1" applyFill="1" applyBorder="1"/>
    <xf numFmtId="4" fontId="11" fillId="3" borderId="5" xfId="0" applyNumberFormat="1" applyFont="1" applyFill="1" applyBorder="1" applyAlignment="1">
      <alignment horizontal="right"/>
    </xf>
    <xf numFmtId="43" fontId="12" fillId="3" borderId="5" xfId="1" applyFont="1" applyFill="1" applyBorder="1" applyAlignment="1">
      <alignment horizontal="right" vertical="top" wrapText="1"/>
    </xf>
    <xf numFmtId="0" fontId="13" fillId="4" borderId="5" xfId="0" applyFont="1" applyFill="1" applyBorder="1" applyAlignment="1">
      <alignment horizontal="right"/>
    </xf>
    <xf numFmtId="164" fontId="13" fillId="4" borderId="5" xfId="0" applyNumberFormat="1" applyFont="1" applyFill="1" applyBorder="1"/>
    <xf numFmtId="0" fontId="11" fillId="0" borderId="0" xfId="0" applyFont="1"/>
    <xf numFmtId="43" fontId="11" fillId="0" borderId="0" xfId="1" applyFont="1"/>
    <xf numFmtId="0" fontId="9" fillId="9" borderId="5" xfId="0" applyFont="1" applyFill="1" applyBorder="1" applyAlignment="1">
      <alignment horizontal="right"/>
    </xf>
    <xf numFmtId="164" fontId="9" fillId="9" borderId="5" xfId="0" quotePrefix="1" applyNumberFormat="1" applyFont="1" applyFill="1" applyBorder="1" applyAlignment="1">
      <alignment horizontal="center"/>
    </xf>
    <xf numFmtId="164" fontId="9" fillId="9" borderId="5" xfId="0" applyNumberFormat="1" applyFont="1" applyFill="1" applyBorder="1"/>
    <xf numFmtId="43" fontId="9" fillId="9" borderId="5" xfId="1" applyFont="1" applyFill="1" applyBorder="1"/>
    <xf numFmtId="43" fontId="3" fillId="3" borderId="5" xfId="1" applyFont="1" applyFill="1" applyBorder="1" applyAlignment="1">
      <alignment horizontal="right" vertical="top" wrapText="1"/>
    </xf>
    <xf numFmtId="43" fontId="3" fillId="3" borderId="5" xfId="1" applyFont="1" applyFill="1" applyBorder="1" applyAlignment="1">
      <alignment horizontal="right"/>
    </xf>
    <xf numFmtId="43" fontId="6" fillId="5" borderId="5" xfId="1" applyFont="1" applyFill="1" applyBorder="1" applyAlignment="1">
      <alignment horizontal="center"/>
    </xf>
    <xf numFmtId="43" fontId="6" fillId="5" borderId="5" xfId="1" applyFont="1" applyFill="1" applyBorder="1" applyAlignment="1">
      <alignment horizontal="center" wrapText="1"/>
    </xf>
    <xf numFmtId="43" fontId="4" fillId="5" borderId="5" xfId="1" applyFont="1" applyFill="1" applyBorder="1" applyAlignment="1">
      <alignment horizontal="center"/>
    </xf>
    <xf numFmtId="43" fontId="6" fillId="5" borderId="5" xfId="1" applyFont="1" applyFill="1" applyBorder="1" applyAlignment="1">
      <alignment horizontal="center" vertical="top" wrapText="1"/>
    </xf>
    <xf numFmtId="43" fontId="6" fillId="5" borderId="5" xfId="1" quotePrefix="1" applyFont="1" applyFill="1" applyBorder="1" applyAlignment="1">
      <alignment horizontal="center"/>
    </xf>
    <xf numFmtId="0" fontId="14" fillId="0" borderId="0" xfId="0" applyFont="1"/>
    <xf numFmtId="43" fontId="3" fillId="5" borderId="5" xfId="1" applyFont="1" applyFill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7" borderId="5" xfId="0" applyFont="1" applyFill="1" applyBorder="1" applyAlignment="1">
      <alignment horizontal="right" vertical="center"/>
    </xf>
    <xf numFmtId="43" fontId="3" fillId="5" borderId="5" xfId="1" applyFont="1" applyFill="1" applyBorder="1" applyAlignment="1">
      <alignment horizontal="center" wrapText="1"/>
    </xf>
    <xf numFmtId="43" fontId="3" fillId="7" borderId="5" xfId="1" applyFont="1" applyFill="1" applyBorder="1" applyAlignment="1">
      <alignment horizontal="right" vertical="center" wrapText="1"/>
    </xf>
    <xf numFmtId="43" fontId="0" fillId="0" borderId="0" xfId="1" applyFont="1"/>
    <xf numFmtId="0" fontId="3" fillId="3" borderId="5" xfId="0" applyFont="1" applyFill="1" applyBorder="1" applyAlignment="1">
      <alignment horizontal="right"/>
    </xf>
    <xf numFmtId="43" fontId="3" fillId="3" borderId="5" xfId="1" applyFont="1" applyFill="1" applyBorder="1"/>
    <xf numFmtId="43" fontId="3" fillId="7" borderId="5" xfId="1" applyFont="1" applyFill="1" applyBorder="1" applyAlignment="1">
      <alignment horizontal="right" vertical="top" wrapText="1"/>
    </xf>
    <xf numFmtId="0" fontId="3" fillId="7" borderId="5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 wrapText="1"/>
    </xf>
    <xf numFmtId="43" fontId="2" fillId="4" borderId="5" xfId="1" applyFont="1" applyFill="1" applyBorder="1" applyAlignment="1">
      <alignment horizontal="center" vertical="top"/>
    </xf>
    <xf numFmtId="10" fontId="6" fillId="4" borderId="5" xfId="2" applyNumberFormat="1" applyFont="1" applyFill="1" applyBorder="1" applyAlignment="1">
      <alignment horizontal="center" vertical="top" wrapText="1"/>
    </xf>
    <xf numFmtId="10" fontId="4" fillId="4" borderId="5" xfId="2" applyNumberFormat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 wrapText="1"/>
    </xf>
    <xf numFmtId="10" fontId="4" fillId="4" borderId="5" xfId="1" applyNumberFormat="1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wrapText="1"/>
    </xf>
    <xf numFmtId="10" fontId="4" fillId="7" borderId="5" xfId="1" applyNumberFormat="1" applyFont="1" applyFill="1" applyBorder="1" applyAlignment="1">
      <alignment horizontal="center" vertical="top" wrapText="1"/>
    </xf>
    <xf numFmtId="0" fontId="6" fillId="8" borderId="5" xfId="0" applyFont="1" applyFill="1" applyBorder="1" applyAlignment="1">
      <alignment horizontal="right" vertical="top" wrapText="1"/>
    </xf>
    <xf numFmtId="0" fontId="5" fillId="8" borderId="5" xfId="0" applyFont="1" applyFill="1" applyBorder="1" applyAlignment="1">
      <alignment horizontal="right" vertical="top" wrapText="1"/>
    </xf>
    <xf numFmtId="43" fontId="5" fillId="8" borderId="5" xfId="1" applyFont="1" applyFill="1" applyBorder="1" applyAlignment="1">
      <alignment horizontal="right" vertical="top" wrapText="1"/>
    </xf>
    <xf numFmtId="43" fontId="17" fillId="8" borderId="5" xfId="1" applyFont="1" applyFill="1" applyBorder="1" applyAlignment="1">
      <alignment horizontal="right" vertical="top" wrapText="1"/>
    </xf>
    <xf numFmtId="4" fontId="17" fillId="8" borderId="5" xfId="0" applyNumberFormat="1" applyFont="1" applyFill="1" applyBorder="1" applyAlignment="1">
      <alignment horizontal="right"/>
    </xf>
    <xf numFmtId="9" fontId="17" fillId="8" borderId="5" xfId="2" applyFont="1" applyFill="1" applyBorder="1" applyAlignment="1">
      <alignment horizontal="center"/>
    </xf>
    <xf numFmtId="4" fontId="17" fillId="8" borderId="5" xfId="0" applyNumberFormat="1" applyFont="1" applyFill="1" applyBorder="1" applyAlignment="1">
      <alignment horizontal="center"/>
    </xf>
    <xf numFmtId="10" fontId="17" fillId="8" borderId="5" xfId="2" applyNumberFormat="1" applyFont="1" applyFill="1" applyBorder="1" applyAlignment="1">
      <alignment horizontal="center" vertical="top" wrapText="1"/>
    </xf>
    <xf numFmtId="165" fontId="17" fillId="8" borderId="5" xfId="2" applyNumberFormat="1" applyFont="1" applyFill="1" applyBorder="1" applyAlignment="1">
      <alignment horizontal="center" vertical="top" wrapText="1"/>
    </xf>
    <xf numFmtId="165" fontId="6" fillId="8" borderId="5" xfId="2" applyNumberFormat="1" applyFont="1" applyFill="1" applyBorder="1" applyAlignment="1">
      <alignment horizontal="center" vertical="top" wrapText="1"/>
    </xf>
    <xf numFmtId="0" fontId="0" fillId="0" borderId="0" xfId="0" applyBorder="1"/>
    <xf numFmtId="4" fontId="6" fillId="3" borderId="9" xfId="0" applyNumberFormat="1" applyFont="1" applyFill="1" applyBorder="1" applyAlignment="1">
      <alignment horizontal="right" wrapText="1"/>
    </xf>
    <xf numFmtId="0" fontId="9" fillId="0" borderId="0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19" fillId="0" borderId="0" xfId="0" applyFont="1" applyBorder="1" applyAlignment="1">
      <alignment horizontal="right"/>
    </xf>
    <xf numFmtId="0" fontId="18" fillId="0" borderId="0" xfId="0" applyFont="1"/>
    <xf numFmtId="10" fontId="20" fillId="2" borderId="5" xfId="2" applyNumberFormat="1" applyFont="1" applyFill="1" applyBorder="1" applyAlignment="1">
      <alignment horizontal="center" vertical="top" wrapText="1"/>
    </xf>
    <xf numFmtId="0" fontId="22" fillId="0" borderId="0" xfId="0" applyFont="1"/>
    <xf numFmtId="10" fontId="21" fillId="10" borderId="0" xfId="0" applyNumberFormat="1" applyFont="1" applyFill="1" applyBorder="1" applyAlignment="1">
      <alignment horizontal="right" vertical="center" wrapText="1"/>
    </xf>
    <xf numFmtId="2" fontId="0" fillId="0" borderId="0" xfId="0" applyNumberFormat="1" applyBorder="1"/>
    <xf numFmtId="4" fontId="15" fillId="10" borderId="0" xfId="0" applyNumberFormat="1" applyFont="1" applyFill="1" applyBorder="1" applyAlignment="1">
      <alignment horizontal="right" vertical="center" wrapText="1"/>
    </xf>
    <xf numFmtId="0" fontId="0" fillId="0" borderId="0" xfId="0" quotePrefix="1"/>
    <xf numFmtId="4" fontId="12" fillId="3" borderId="0" xfId="0" applyNumberFormat="1" applyFont="1" applyFill="1" applyBorder="1"/>
    <xf numFmtId="0" fontId="13" fillId="0" borderId="5" xfId="0" applyFont="1" applyBorder="1" applyAlignment="1">
      <alignment horizontal="right"/>
    </xf>
    <xf numFmtId="16" fontId="19" fillId="3" borderId="5" xfId="0" applyNumberFormat="1" applyFont="1" applyFill="1" applyBorder="1" applyAlignment="1">
      <alignment wrapText="1"/>
    </xf>
    <xf numFmtId="0" fontId="19" fillId="0" borderId="5" xfId="0" applyFont="1" applyBorder="1" applyAlignment="1">
      <alignment horizontal="right" wrapText="1"/>
    </xf>
    <xf numFmtId="0" fontId="19" fillId="0" borderId="5" xfId="0" applyFont="1" applyBorder="1" applyAlignment="1">
      <alignment horizontal="right"/>
    </xf>
    <xf numFmtId="16" fontId="19" fillId="3" borderId="5" xfId="0" applyNumberFormat="1" applyFont="1" applyFill="1" applyBorder="1"/>
    <xf numFmtId="0" fontId="23" fillId="0" borderId="0" xfId="0" applyFont="1" applyBorder="1"/>
    <xf numFmtId="16" fontId="24" fillId="3" borderId="0" xfId="0" applyNumberFormat="1" applyFont="1" applyFill="1" applyBorder="1"/>
    <xf numFmtId="43" fontId="25" fillId="0" borderId="0" xfId="1" applyFont="1"/>
    <xf numFmtId="4" fontId="6" fillId="3" borderId="5" xfId="0" applyNumberFormat="1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0" fontId="6" fillId="3" borderId="5" xfId="0" applyFont="1" applyFill="1" applyBorder="1" applyAlignment="1">
      <alignment horizontal="center" wrapText="1"/>
    </xf>
    <xf numFmtId="4" fontId="11" fillId="3" borderId="10" xfId="0" applyNumberFormat="1" applyFont="1" applyFill="1" applyBorder="1"/>
    <xf numFmtId="4" fontId="11" fillId="3" borderId="0" xfId="0" applyNumberFormat="1" applyFont="1" applyFill="1" applyBorder="1"/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4" fontId="6" fillId="0" borderId="5" xfId="0" applyNumberFormat="1" applyFont="1" applyBorder="1" applyAlignment="1">
      <alignment wrapText="1"/>
    </xf>
    <xf numFmtId="49" fontId="6" fillId="0" borderId="5" xfId="0" applyNumberFormat="1" applyFont="1" applyBorder="1" applyAlignment="1">
      <alignment wrapText="1"/>
    </xf>
    <xf numFmtId="0" fontId="6" fillId="3" borderId="5" xfId="0" applyFont="1" applyFill="1" applyBorder="1" applyAlignment="1">
      <alignment horizontal="left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16" fillId="12" borderId="1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0" fontId="16" fillId="12" borderId="3" xfId="0" applyFont="1" applyFill="1" applyBorder="1" applyAlignment="1">
      <alignment horizontal="center"/>
    </xf>
    <xf numFmtId="0" fontId="16" fillId="1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13" fillId="11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</cellXfs>
  <cellStyles count="8">
    <cellStyle name="Comma" xfId="1" builtinId="3"/>
    <cellStyle name="Comma 10 13" xfId="3"/>
    <cellStyle name="Comma 2" xfId="7"/>
    <cellStyle name="Comma 3 2" xfId="4"/>
    <cellStyle name="Normal" xfId="0" builtinId="0"/>
    <cellStyle name="Normal 27 2" xfId="6"/>
    <cellStyle name="Percent" xfId="2" builtinId="5"/>
    <cellStyle name="Percent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747137750022627E-2"/>
          <c:y val="0.12704992830139486"/>
          <c:w val="0.94540908679518509"/>
          <c:h val="0.73327195070502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Comparison'!$B$4</c:f>
              <c:strCache>
                <c:ptCount val="1"/>
                <c:pt idx="0">
                  <c:v>Week Ended November 10, 2023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Comparison'!$B$5:$B$12</c:f>
              <c:numCache>
                <c:formatCode>#,##0.00</c:formatCode>
                <c:ptCount val="8"/>
                <c:pt idx="0">
                  <c:v>22.794496005583802</c:v>
                </c:pt>
                <c:pt idx="1">
                  <c:v>861.36259238479602</c:v>
                </c:pt>
                <c:pt idx="2">
                  <c:v>299.51850879799497</c:v>
                </c:pt>
                <c:pt idx="3">
                  <c:v>638.33938119931202</c:v>
                </c:pt>
                <c:pt idx="4">
                  <c:v>93.197010128300008</c:v>
                </c:pt>
                <c:pt idx="5" formatCode="_(* #,##0.00_);_(* \(#,##0.00\);_(* &quot;-&quot;??_);_(@_)">
                  <c:v>39.710985001751197</c:v>
                </c:pt>
                <c:pt idx="6">
                  <c:v>3.9549112474600001</c:v>
                </c:pt>
                <c:pt idx="7">
                  <c:v>45.576764591580002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5B9-A30A-C545D9245C39}"/>
            </c:ext>
          </c:extLst>
        </c:ser>
        <c:ser>
          <c:idx val="1"/>
          <c:order val="1"/>
          <c:tx>
            <c:strRef>
              <c:f>'NAV Comparison'!$C$4</c:f>
              <c:strCache>
                <c:ptCount val="1"/>
                <c:pt idx="0">
                  <c:v>Week Ended November 17, 2023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Comparison'!$C$5:$C$12</c:f>
              <c:numCache>
                <c:formatCode>#,##0.00</c:formatCode>
                <c:ptCount val="8"/>
                <c:pt idx="0">
                  <c:v>22.858868495366501</c:v>
                </c:pt>
                <c:pt idx="1">
                  <c:v>865.82292411304604</c:v>
                </c:pt>
                <c:pt idx="2">
                  <c:v>298.31777575320899</c:v>
                </c:pt>
                <c:pt idx="3">
                  <c:v>647.35048316859707</c:v>
                </c:pt>
                <c:pt idx="4">
                  <c:v>95.531336334990002</c:v>
                </c:pt>
                <c:pt idx="5" formatCode="_(* #,##0.00_);_(* \(#,##0.00\);_(* &quot;-&quot;??_);_(@_)">
                  <c:v>39.960778727195503</c:v>
                </c:pt>
                <c:pt idx="6">
                  <c:v>3.9726000478899999</c:v>
                </c:pt>
                <c:pt idx="7">
                  <c:v>46.065186177000001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5B9-A30A-C545D9245C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17TH  NOVEMBER, 2023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184383560194938"/>
          <c:y val="3.171953365985819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217560112984174"/>
          <c:y val="0.16745090014142081"/>
          <c:w val="0.84316500743410161"/>
          <c:h val="0.81423920364184155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17-Nov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ED-4F83-A203-9FCC25B0DF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4ED-4F83-A203-9FCC25B0DFA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4ED-4F83-A203-9FCC25B0DFA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ED-4F83-A203-9FCC25B0DFA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ED-4F83-A203-9FCC25B0DFA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4ED-4F83-A203-9FCC25B0DFA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4ED-4F83-A203-9FCC25B0DFA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4ED-4F83-A203-9FCC25B0DFAD}"/>
              </c:ext>
            </c:extLst>
          </c:dPt>
          <c:dLbls>
            <c:dLbl>
              <c:idx val="0"/>
              <c:layout>
                <c:manualLayout>
                  <c:x val="-4.3124205825803251E-2"/>
                  <c:y val="0.115998558608086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4ED-4F83-A203-9FCC25B0DFAD}"/>
                </c:ext>
              </c:extLst>
            </c:dLbl>
            <c:dLbl>
              <c:idx val="1"/>
              <c:layout>
                <c:manualLayout>
                  <c:x val="-8.3929154372232542E-2"/>
                  <c:y val="5.5237408860993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4ED-4F83-A203-9FCC25B0DFAD}"/>
                </c:ext>
              </c:extLst>
            </c:dLbl>
            <c:dLbl>
              <c:idx val="2"/>
              <c:layout>
                <c:manualLayout>
                  <c:x val="-6.3908902826365646E-2"/>
                  <c:y val="-8.285611329149063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4ED-4F83-A203-9FCC25B0DFAD}"/>
                </c:ext>
              </c:extLst>
            </c:dLbl>
            <c:dLbl>
              <c:idx val="3"/>
              <c:layout>
                <c:manualLayout>
                  <c:x val="-2.652695514873012E-2"/>
                  <c:y val="-6.35230201901428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4ED-4F83-A203-9FCC25B0DFAD}"/>
                </c:ext>
              </c:extLst>
            </c:dLbl>
            <c:dLbl>
              <c:idx val="4"/>
              <c:layout>
                <c:manualLayout>
                  <c:x val="-2.2105334402515702E-2"/>
                  <c:y val="-0.1021892063928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4ED-4F83-A203-9FCC25B0DFAD}"/>
                </c:ext>
              </c:extLst>
            </c:dLbl>
            <c:dLbl>
              <c:idx val="5"/>
              <c:layout>
                <c:manualLayout>
                  <c:x val="0.17345977414073466"/>
                  <c:y val="7.1808701462351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4ED-4F83-A203-9FCC25B0DFAD}"/>
                </c:ext>
              </c:extLst>
            </c:dLbl>
            <c:dLbl>
              <c:idx val="6"/>
              <c:layout>
                <c:manualLayout>
                  <c:x val="-0.11676596925004035"/>
                  <c:y val="0.115998558608086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4ED-4F83-A203-9FCC25B0DFAD}"/>
                </c:ext>
              </c:extLst>
            </c:dLbl>
            <c:dLbl>
              <c:idx val="7"/>
              <c:layout>
                <c:manualLayout>
                  <c:x val="-0.23297582723395927"/>
                  <c:y val="-0.328662582722912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4ED-4F83-A203-9FCC25B0DFAD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BALANCED FUNDS</c:v>
                </c:pt>
                <c:pt idx="3">
                  <c:v>SHARI'AH COMPLAINT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3972600047.8899999</c:v>
                </c:pt>
                <c:pt idx="1">
                  <c:v>22858868495.366501</c:v>
                </c:pt>
                <c:pt idx="2" formatCode="_(* #,##0.00_);_(* \(#,##0.00\);_(* &quot;-&quot;??_);_(@_)">
                  <c:v>39960778727.195503</c:v>
                </c:pt>
                <c:pt idx="3">
                  <c:v>46065186177</c:v>
                </c:pt>
                <c:pt idx="4">
                  <c:v>95531336334.98999</c:v>
                </c:pt>
                <c:pt idx="5">
                  <c:v>298317775753.20929</c:v>
                </c:pt>
                <c:pt idx="6">
                  <c:v>647350483168.5968</c:v>
                </c:pt>
                <c:pt idx="7">
                  <c:v>865822924113.04614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3-4F76-8609-5E1FC182E85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</a:t>
            </a:r>
          </a:p>
        </c:rich>
      </c:tx>
      <c:layout>
        <c:manualLayout>
          <c:xMode val="edge"/>
          <c:yMode val="edge"/>
          <c:x val="0.34965431646625561"/>
          <c:y val="1.5686278384753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'NAV Movement'!$A$3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'NAV Movement'!$C$2:$I$2</c:f>
              <c:numCache>
                <c:formatCode>d\-mmm</c:formatCode>
                <c:ptCount val="7"/>
                <c:pt idx="0">
                  <c:v>45205</c:v>
                </c:pt>
                <c:pt idx="1">
                  <c:v>45212</c:v>
                </c:pt>
                <c:pt idx="2">
                  <c:v>45219</c:v>
                </c:pt>
                <c:pt idx="3">
                  <c:v>45226</c:v>
                </c:pt>
                <c:pt idx="4">
                  <c:v>45233</c:v>
                </c:pt>
                <c:pt idx="5">
                  <c:v>45240</c:v>
                </c:pt>
                <c:pt idx="6">
                  <c:v>45247</c:v>
                </c:pt>
              </c:numCache>
            </c:numRef>
          </c:cat>
          <c:val>
            <c:numRef>
              <c:f>'NAV Movement'!$C$3:$I$3</c:f>
              <c:numCache>
                <c:formatCode>_(* #,##0.00_);_(* \(#,##0.00\);_(* "-"??_);_(@_)</c:formatCode>
                <c:ptCount val="7"/>
                <c:pt idx="0">
                  <c:v>1935067759050.2058</c:v>
                </c:pt>
                <c:pt idx="1">
                  <c:v>1961229345082.9329</c:v>
                </c:pt>
                <c:pt idx="2">
                  <c:v>2002190167303.2449</c:v>
                </c:pt>
                <c:pt idx="3">
                  <c:v>1992052361749.9485</c:v>
                </c:pt>
                <c:pt idx="4">
                  <c:v>1995029350611.7961</c:v>
                </c:pt>
                <c:pt idx="5">
                  <c:v>2004454649356.7783</c:v>
                </c:pt>
                <c:pt idx="6">
                  <c:v>2019879952817.2942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0-4FE7-8062-E0C712B57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(* #,##0.00_);_(* \(#,##0.0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59</xdr:row>
      <xdr:rowOff>0</xdr:rowOff>
    </xdr:from>
    <xdr:to>
      <xdr:col>25</xdr:col>
      <xdr:colOff>457200</xdr:colOff>
      <xdr:row>66</xdr:row>
      <xdr:rowOff>180975</xdr:rowOff>
    </xdr:to>
    <xdr:sp macro="" textlink="">
      <xdr:nvSpPr>
        <xdr:cNvPr id="4097" name="x_x_Picture 1" descr="https://mail.sec.gov.ng/owa/service.svc/s/GetFileAttachment?id=AAMkADg4OTgyNjI3LTU5OGYtNGUwZi1hMTI3LWU3YzY0YTgyMTU3YQBGAAAAAADch7LkHRi3RYhL5BnPfIJkBwCLa3n5dR7iTL7VIcUnSelvAAAAAAEMAACLa3n5dR7iTL7VIcUnSelvAARFEYfJAAABEgAQAIetwDBpWJ9Fusy9Z%2BKAqFU%3D&amp;X-OWA-CANARY=Wt0cL56WKUq8F0vMkB0ZqhCKZPcL5tsI-yY1YYchj_79LAEPcnr7ExIgcNSl02in10cdr2REktI.&amp;isImagePreview=True"/>
        <xdr:cNvSpPr>
          <a:spLocks noChangeAspect="1" noChangeArrowheads="1"/>
        </xdr:cNvSpPr>
      </xdr:nvSpPr>
      <xdr:spPr bwMode="auto">
        <a:xfrm>
          <a:off x="11858625" y="11210925"/>
          <a:ext cx="9286875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59</xdr:row>
      <xdr:rowOff>0</xdr:rowOff>
    </xdr:from>
    <xdr:to>
      <xdr:col>25</xdr:col>
      <xdr:colOff>457200</xdr:colOff>
      <xdr:row>66</xdr:row>
      <xdr:rowOff>180975</xdr:rowOff>
    </xdr:to>
    <xdr:sp macro="" textlink="">
      <xdr:nvSpPr>
        <xdr:cNvPr id="4098" name="x_x_Picture 1" descr="https://mail.sec.gov.ng/owa/service.svc/s/GetFileAttachment?id=AAMkADg4OTgyNjI3LTU5OGYtNGUwZi1hMTI3LWU3YzY0YTgyMTU3YQBGAAAAAADch7LkHRi3RYhL5BnPfIJkBwCLa3n5dR7iTL7VIcUnSelvAAAAAAEMAACLa3n5dR7iTL7VIcUnSelvAARFEYfJAAABEgAQAIetwDBpWJ9Fusy9Z%2BKAqFU%3D&amp;X-OWA-CANARY=Wt0cL56WKUq8F0vMkB0ZqhCKZPcL5tsI-yY1YYchj_79LAEPcnr7ExIgcNSl02in10cdr2REktI.&amp;isImagePreview=True"/>
        <xdr:cNvSpPr>
          <a:spLocks noChangeAspect="1" noChangeArrowheads="1"/>
        </xdr:cNvSpPr>
      </xdr:nvSpPr>
      <xdr:spPr bwMode="auto">
        <a:xfrm>
          <a:off x="11858625" y="11210925"/>
          <a:ext cx="9286875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520065</xdr:colOff>
      <xdr:row>22</xdr:row>
      <xdr:rowOff>127635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304800</xdr:colOff>
      <xdr:row>29</xdr:row>
      <xdr:rowOff>134469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606136</xdr:colOff>
      <xdr:row>21</xdr:row>
      <xdr:rowOff>47624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6"/>
  <sheetViews>
    <sheetView tabSelected="1" zoomScale="120" zoomScaleNormal="120" workbookViewId="0">
      <pane ySplit="3" topLeftCell="A4" activePane="bottomLeft" state="frozen"/>
      <selection pane="bottomLeft" activeCell="A2" sqref="A2"/>
    </sheetView>
  </sheetViews>
  <sheetFormatPr defaultRowHeight="15"/>
  <cols>
    <col min="1" max="1" width="7.140625" customWidth="1"/>
    <col min="2" max="2" width="39.140625" customWidth="1"/>
    <col min="3" max="3" width="36.140625" customWidth="1"/>
    <col min="4" max="4" width="21" customWidth="1"/>
    <col min="8" max="8" width="9.42578125" customWidth="1"/>
    <col min="11" max="11" width="19.28515625" customWidth="1"/>
    <col min="13" max="13" width="10.28515625" customWidth="1"/>
    <col min="14" max="14" width="10.140625" customWidth="1"/>
    <col min="15" max="15" width="9.85546875" customWidth="1"/>
    <col min="17" max="17" width="9.140625" customWidth="1"/>
    <col min="20" max="20" width="8.28515625" customWidth="1"/>
    <col min="24" max="24" width="11.5703125" bestFit="1" customWidth="1"/>
    <col min="27" max="27" width="17.28515625" customWidth="1"/>
  </cols>
  <sheetData>
    <row r="1" spans="1:25" ht="26.25">
      <c r="A1" s="135" t="s">
        <v>250</v>
      </c>
      <c r="B1" s="136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8"/>
    </row>
    <row r="2" spans="1:25" ht="15" customHeight="1">
      <c r="A2" s="1"/>
      <c r="B2" s="1"/>
      <c r="C2" s="1"/>
      <c r="D2" s="142" t="s">
        <v>245</v>
      </c>
      <c r="E2" s="143"/>
      <c r="F2" s="143"/>
      <c r="G2" s="143"/>
      <c r="H2" s="143"/>
      <c r="I2" s="143"/>
      <c r="J2" s="144"/>
      <c r="K2" s="142" t="s">
        <v>251</v>
      </c>
      <c r="L2" s="143"/>
      <c r="M2" s="143"/>
      <c r="N2" s="143"/>
      <c r="O2" s="143"/>
      <c r="P2" s="143"/>
      <c r="Q2" s="144"/>
      <c r="R2" s="142" t="s">
        <v>0</v>
      </c>
      <c r="S2" s="143"/>
      <c r="T2" s="144"/>
      <c r="U2" s="139" t="s">
        <v>1</v>
      </c>
      <c r="V2" s="139"/>
    </row>
    <row r="3" spans="1:25" ht="25.5">
      <c r="A3" s="83" t="s">
        <v>2</v>
      </c>
      <c r="B3" s="77" t="s">
        <v>3</v>
      </c>
      <c r="C3" s="77" t="s">
        <v>4</v>
      </c>
      <c r="D3" s="78" t="s">
        <v>5</v>
      </c>
      <c r="E3" s="79" t="s">
        <v>6</v>
      </c>
      <c r="F3" s="79" t="s">
        <v>7</v>
      </c>
      <c r="G3" s="79" t="s">
        <v>8</v>
      </c>
      <c r="H3" s="79" t="s">
        <v>230</v>
      </c>
      <c r="I3" s="79" t="s">
        <v>9</v>
      </c>
      <c r="J3" s="79" t="s">
        <v>10</v>
      </c>
      <c r="K3" s="80" t="s">
        <v>5</v>
      </c>
      <c r="L3" s="79" t="s">
        <v>6</v>
      </c>
      <c r="M3" s="79" t="s">
        <v>7</v>
      </c>
      <c r="N3" s="79" t="s">
        <v>8</v>
      </c>
      <c r="O3" s="79" t="s">
        <v>230</v>
      </c>
      <c r="P3" s="79" t="s">
        <v>9</v>
      </c>
      <c r="Q3" s="79" t="s">
        <v>10</v>
      </c>
      <c r="R3" s="78" t="s">
        <v>11</v>
      </c>
      <c r="S3" s="79" t="s">
        <v>12</v>
      </c>
      <c r="T3" s="79" t="s">
        <v>236</v>
      </c>
      <c r="U3" s="79" t="s">
        <v>13</v>
      </c>
      <c r="V3" s="79" t="s">
        <v>14</v>
      </c>
    </row>
    <row r="4" spans="1:25" ht="7.5" customHeight="1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</row>
    <row r="5" spans="1:25" ht="15" customHeight="1">
      <c r="A5" s="141" t="s">
        <v>15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</row>
    <row r="6" spans="1:25">
      <c r="A6" s="129">
        <v>1</v>
      </c>
      <c r="B6" s="120" t="s">
        <v>16</v>
      </c>
      <c r="C6" s="121" t="s">
        <v>17</v>
      </c>
      <c r="D6" s="2">
        <v>718512313.87</v>
      </c>
      <c r="E6" s="3">
        <f t="shared" ref="E6:E21" si="0">(D6/$D$22)</f>
        <v>3.1521307323223613E-2</v>
      </c>
      <c r="F6" s="4">
        <v>285.62299999999999</v>
      </c>
      <c r="G6" s="4">
        <v>289.36059999999998</v>
      </c>
      <c r="H6" s="60">
        <v>1725</v>
      </c>
      <c r="I6" s="5">
        <v>0.01</v>
      </c>
      <c r="J6" s="5">
        <v>0.51519999999999999</v>
      </c>
      <c r="K6" s="2">
        <v>722196860.15999997</v>
      </c>
      <c r="L6" s="3">
        <f>(K6/$K$22)</f>
        <v>3.1593727410715429E-2</v>
      </c>
      <c r="M6" s="4">
        <v>287.0856</v>
      </c>
      <c r="N6" s="4">
        <v>290.9495</v>
      </c>
      <c r="O6" s="60">
        <v>1725</v>
      </c>
      <c r="P6" s="5">
        <v>5.1000000000000004E-3</v>
      </c>
      <c r="Q6" s="5">
        <v>0.52290000000000003</v>
      </c>
      <c r="R6" s="81">
        <f>((K6-D6)/D6)</f>
        <v>5.1280210775435705E-3</v>
      </c>
      <c r="S6" s="81">
        <f t="shared" ref="S6" si="1">((N6-G6)/G6)</f>
        <v>5.4910723851140202E-3</v>
      </c>
      <c r="T6" s="81">
        <f>((O6-H6)/H6)</f>
        <v>0</v>
      </c>
      <c r="U6" s="82">
        <f>P6-I6</f>
        <v>-4.8999999999999998E-3</v>
      </c>
      <c r="V6" s="84">
        <f>Q6-J6</f>
        <v>7.7000000000000401E-3</v>
      </c>
    </row>
    <row r="7" spans="1:25">
      <c r="A7" s="129">
        <v>2</v>
      </c>
      <c r="B7" s="120" t="s">
        <v>18</v>
      </c>
      <c r="C7" s="121" t="s">
        <v>19</v>
      </c>
      <c r="D7" s="4">
        <v>494888155.60000002</v>
      </c>
      <c r="E7" s="3">
        <f t="shared" si="0"/>
        <v>2.1710861932581045E-2</v>
      </c>
      <c r="F7" s="4">
        <v>181.65389999999999</v>
      </c>
      <c r="G7" s="4">
        <v>184.00409999999999</v>
      </c>
      <c r="H7" s="60">
        <v>364</v>
      </c>
      <c r="I7" s="5">
        <v>1.049E-3</v>
      </c>
      <c r="J7" s="5">
        <v>0.25319999999999998</v>
      </c>
      <c r="K7" s="4">
        <v>496292862.60000002</v>
      </c>
      <c r="L7" s="3">
        <f t="shared" ref="L7:L21" si="2">(K7/$K$22)</f>
        <v>2.17111736173905E-2</v>
      </c>
      <c r="M7" s="4">
        <v>182.07300000000001</v>
      </c>
      <c r="N7" s="4">
        <v>184.4298</v>
      </c>
      <c r="O7" s="60">
        <v>364</v>
      </c>
      <c r="P7" s="5">
        <v>-1.7570000000000001E-3</v>
      </c>
      <c r="Q7" s="5">
        <v>0.25609999999999999</v>
      </c>
      <c r="R7" s="81">
        <f t="shared" ref="R7:R22" si="3">((K7-D7)/D7)</f>
        <v>2.8384332583125576E-3</v>
      </c>
      <c r="S7" s="81">
        <f t="shared" ref="S7:S22" si="4">((N7-G7)/G7)</f>
        <v>2.3135354049176413E-3</v>
      </c>
      <c r="T7" s="81">
        <f t="shared" ref="T7:T22" si="5">((O7-H7)/H7)</f>
        <v>0</v>
      </c>
      <c r="U7" s="82">
        <f t="shared" ref="U7:U22" si="6">P7-I7</f>
        <v>-2.8060000000000003E-3</v>
      </c>
      <c r="V7" s="84">
        <f t="shared" ref="V7:V22" si="7">Q7-J7</f>
        <v>2.9000000000000137E-3</v>
      </c>
    </row>
    <row r="8" spans="1:25">
      <c r="A8" s="129">
        <v>3</v>
      </c>
      <c r="B8" s="120" t="s">
        <v>20</v>
      </c>
      <c r="C8" s="121" t="s">
        <v>21</v>
      </c>
      <c r="D8" s="4">
        <v>3186582345.6799998</v>
      </c>
      <c r="E8" s="3">
        <f t="shared" si="0"/>
        <v>0.1397961308247134</v>
      </c>
      <c r="F8" s="4">
        <v>29.3154</v>
      </c>
      <c r="G8" s="4">
        <v>30.199300000000001</v>
      </c>
      <c r="H8" s="62">
        <v>6334</v>
      </c>
      <c r="I8" s="6">
        <v>0.30320000000000003</v>
      </c>
      <c r="J8" s="6">
        <v>0.37509999999999999</v>
      </c>
      <c r="K8" s="4">
        <v>3185144435.21</v>
      </c>
      <c r="L8" s="3">
        <f t="shared" si="2"/>
        <v>0.13933954936814261</v>
      </c>
      <c r="M8" s="4">
        <v>29.4405</v>
      </c>
      <c r="N8" s="4">
        <v>30.328099999999999</v>
      </c>
      <c r="O8" s="62">
        <v>6334</v>
      </c>
      <c r="P8" s="6">
        <v>0.22239999999999999</v>
      </c>
      <c r="Q8" s="6">
        <v>0.37330000000000002</v>
      </c>
      <c r="R8" s="81">
        <f t="shared" si="3"/>
        <v>-4.5123907497609253E-4</v>
      </c>
      <c r="S8" s="81">
        <f t="shared" si="4"/>
        <v>4.2649995198563622E-3</v>
      </c>
      <c r="T8" s="81">
        <f t="shared" si="5"/>
        <v>0</v>
      </c>
      <c r="U8" s="82">
        <f t="shared" si="6"/>
        <v>-8.0800000000000038E-2</v>
      </c>
      <c r="V8" s="84">
        <f t="shared" si="7"/>
        <v>-1.7999999999999683E-3</v>
      </c>
      <c r="X8" s="107"/>
      <c r="Y8" s="107"/>
    </row>
    <row r="9" spans="1:25">
      <c r="A9" s="133">
        <v>4</v>
      </c>
      <c r="B9" s="120" t="s">
        <v>22</v>
      </c>
      <c r="C9" s="121" t="s">
        <v>23</v>
      </c>
      <c r="D9" s="4">
        <v>444460247.61000001</v>
      </c>
      <c r="E9" s="3">
        <f t="shared" si="0"/>
        <v>1.9498577529466932E-2</v>
      </c>
      <c r="F9" s="4">
        <v>191.76</v>
      </c>
      <c r="G9" s="4">
        <v>191.76</v>
      </c>
      <c r="H9" s="60">
        <v>1678</v>
      </c>
      <c r="I9" s="5">
        <v>5.8999999999999999E-3</v>
      </c>
      <c r="J9" s="5">
        <v>0.4042</v>
      </c>
      <c r="K9" s="4">
        <v>460279889.23000002</v>
      </c>
      <c r="L9" s="3">
        <f t="shared" si="2"/>
        <v>2.0135724973582961E-2</v>
      </c>
      <c r="M9" s="4">
        <v>191.5</v>
      </c>
      <c r="N9" s="4">
        <v>191.5</v>
      </c>
      <c r="O9" s="60">
        <v>1685</v>
      </c>
      <c r="P9" s="5">
        <v>-1.4E-3</v>
      </c>
      <c r="Q9" s="5">
        <v>0.40229999999999999</v>
      </c>
      <c r="R9" s="81">
        <f t="shared" si="3"/>
        <v>3.5592928062896746E-2</v>
      </c>
      <c r="S9" s="81">
        <f t="shared" si="4"/>
        <v>-1.3558614935335362E-3</v>
      </c>
      <c r="T9" s="81">
        <f t="shared" si="5"/>
        <v>4.1716328963051254E-3</v>
      </c>
      <c r="U9" s="82">
        <f t="shared" si="6"/>
        <v>-7.3000000000000001E-3</v>
      </c>
      <c r="V9" s="84">
        <f t="shared" si="7"/>
        <v>-1.9000000000000128E-3</v>
      </c>
    </row>
    <row r="10" spans="1:25">
      <c r="A10" s="126">
        <v>5</v>
      </c>
      <c r="B10" s="120" t="s">
        <v>24</v>
      </c>
      <c r="C10" s="121" t="s">
        <v>25</v>
      </c>
      <c r="D10" s="7">
        <v>123211918.31999999</v>
      </c>
      <c r="E10" s="3">
        <f t="shared" si="0"/>
        <v>5.4053363711054486E-3</v>
      </c>
      <c r="F10" s="4">
        <v>131.51490000000001</v>
      </c>
      <c r="G10" s="4">
        <v>132.29329999999999</v>
      </c>
      <c r="H10" s="62">
        <v>56</v>
      </c>
      <c r="I10" s="6">
        <v>3.3939999999999999E-3</v>
      </c>
      <c r="J10" s="6">
        <v>0.25180000000000002</v>
      </c>
      <c r="K10" s="7">
        <v>124009492.04000001</v>
      </c>
      <c r="L10" s="3">
        <f t="shared" si="2"/>
        <v>5.4250057068720072E-3</v>
      </c>
      <c r="M10" s="4">
        <v>132.20150000000001</v>
      </c>
      <c r="N10" s="4">
        <v>132.983</v>
      </c>
      <c r="O10" s="62">
        <v>58</v>
      </c>
      <c r="P10" s="6">
        <v>1.0219999999999999E-3</v>
      </c>
      <c r="Q10" s="6">
        <v>0.25840000000000002</v>
      </c>
      <c r="R10" s="81">
        <f t="shared" si="3"/>
        <v>6.4731864488027377E-3</v>
      </c>
      <c r="S10" s="81">
        <f t="shared" si="4"/>
        <v>5.2134159477465322E-3</v>
      </c>
      <c r="T10" s="81">
        <f t="shared" si="5"/>
        <v>3.5714285714285712E-2</v>
      </c>
      <c r="U10" s="82">
        <f t="shared" si="6"/>
        <v>-2.372E-3</v>
      </c>
      <c r="V10" s="84">
        <f t="shared" si="7"/>
        <v>6.5999999999999948E-3</v>
      </c>
    </row>
    <row r="11" spans="1:25">
      <c r="A11" s="125">
        <v>6</v>
      </c>
      <c r="B11" s="120" t="s">
        <v>26</v>
      </c>
      <c r="C11" s="121" t="s">
        <v>27</v>
      </c>
      <c r="D11" s="4">
        <v>736557265.12</v>
      </c>
      <c r="E11" s="3">
        <f t="shared" si="0"/>
        <v>3.231294365708156E-2</v>
      </c>
      <c r="F11" s="4">
        <v>230.81</v>
      </c>
      <c r="G11" s="4">
        <v>233.74</v>
      </c>
      <c r="H11" s="62">
        <v>1572</v>
      </c>
      <c r="I11" s="6">
        <v>1E-3</v>
      </c>
      <c r="J11" s="6">
        <v>0.52969999999999995</v>
      </c>
      <c r="K11" s="4">
        <v>743686130.17999995</v>
      </c>
      <c r="L11" s="3">
        <f t="shared" si="2"/>
        <v>3.2533812000832212E-2</v>
      </c>
      <c r="M11" s="4">
        <v>232.62</v>
      </c>
      <c r="N11" s="4">
        <v>235.56</v>
      </c>
      <c r="O11" s="62">
        <v>1572</v>
      </c>
      <c r="P11" s="6">
        <v>7.7999999999999996E-3</v>
      </c>
      <c r="Q11" s="6">
        <v>0.54059999999999997</v>
      </c>
      <c r="R11" s="81">
        <f t="shared" si="3"/>
        <v>9.6786297516711171E-3</v>
      </c>
      <c r="S11" s="81">
        <f t="shared" si="4"/>
        <v>7.7864293659621504E-3</v>
      </c>
      <c r="T11" s="81">
        <f t="shared" si="5"/>
        <v>0</v>
      </c>
      <c r="U11" s="82">
        <f t="shared" si="6"/>
        <v>6.7999999999999996E-3</v>
      </c>
      <c r="V11" s="84">
        <f t="shared" si="7"/>
        <v>1.0900000000000021E-2</v>
      </c>
    </row>
    <row r="12" spans="1:25">
      <c r="A12" s="128">
        <v>7</v>
      </c>
      <c r="B12" s="120" t="s">
        <v>28</v>
      </c>
      <c r="C12" s="121" t="s">
        <v>29</v>
      </c>
      <c r="D12" s="2">
        <v>298868259.33999997</v>
      </c>
      <c r="E12" s="3">
        <f t="shared" si="0"/>
        <v>1.3111422128692313E-2</v>
      </c>
      <c r="F12" s="4">
        <v>150.33000000000001</v>
      </c>
      <c r="G12" s="4">
        <v>154.94999999999999</v>
      </c>
      <c r="H12" s="60">
        <v>2379</v>
      </c>
      <c r="I12" s="5">
        <v>1.5480000000000001E-2</v>
      </c>
      <c r="J12" s="5">
        <v>0.19583999999999999</v>
      </c>
      <c r="K12" s="2">
        <v>295810536.51999998</v>
      </c>
      <c r="L12" s="3">
        <f t="shared" si="2"/>
        <v>1.2940733990396806E-2</v>
      </c>
      <c r="M12" s="4">
        <v>148.80000000000001</v>
      </c>
      <c r="N12" s="4">
        <v>153.46</v>
      </c>
      <c r="O12" s="60">
        <v>2379</v>
      </c>
      <c r="P12" s="5">
        <v>9.0189999999999992E-3</v>
      </c>
      <c r="Q12" s="5">
        <v>0.18368000000000001</v>
      </c>
      <c r="R12" s="81">
        <f t="shared" si="3"/>
        <v>-1.0231005549911713E-2</v>
      </c>
      <c r="S12" s="81">
        <f t="shared" si="4"/>
        <v>-9.6160051629556684E-3</v>
      </c>
      <c r="T12" s="81">
        <f t="shared" si="5"/>
        <v>0</v>
      </c>
      <c r="U12" s="82">
        <f t="shared" si="6"/>
        <v>-6.4610000000000015E-3</v>
      </c>
      <c r="V12" s="84">
        <f t="shared" si="7"/>
        <v>-1.2159999999999976E-2</v>
      </c>
    </row>
    <row r="13" spans="1:25">
      <c r="A13" s="129">
        <v>8</v>
      </c>
      <c r="B13" s="120" t="s">
        <v>30</v>
      </c>
      <c r="C13" s="121" t="s">
        <v>31</v>
      </c>
      <c r="D13" s="7">
        <v>44076678.329999998</v>
      </c>
      <c r="E13" s="3">
        <f t="shared" si="0"/>
        <v>1.933654436544807E-3</v>
      </c>
      <c r="F13" s="4">
        <v>171.35</v>
      </c>
      <c r="G13" s="4">
        <v>176.66</v>
      </c>
      <c r="H13" s="60">
        <v>4</v>
      </c>
      <c r="I13" s="5">
        <v>4.0000000000000001E-3</v>
      </c>
      <c r="J13" s="5">
        <v>0.77110000000000001</v>
      </c>
      <c r="K13" s="7">
        <v>43900628.119999997</v>
      </c>
      <c r="L13" s="3">
        <f t="shared" si="2"/>
        <v>1.920507488325534E-3</v>
      </c>
      <c r="M13" s="4">
        <v>170.65</v>
      </c>
      <c r="N13" s="4">
        <v>175.96</v>
      </c>
      <c r="O13" s="60">
        <v>4</v>
      </c>
      <c r="P13" s="5">
        <v>2.41E-2</v>
      </c>
      <c r="Q13" s="5">
        <v>0.76400000000000001</v>
      </c>
      <c r="R13" s="81">
        <f t="shared" si="3"/>
        <v>-3.9941805206354557E-3</v>
      </c>
      <c r="S13" s="81">
        <f t="shared" si="4"/>
        <v>-3.9624136759877091E-3</v>
      </c>
      <c r="T13" s="81">
        <f t="shared" si="5"/>
        <v>0</v>
      </c>
      <c r="U13" s="82">
        <f t="shared" si="6"/>
        <v>2.01E-2</v>
      </c>
      <c r="V13" s="84">
        <f t="shared" si="7"/>
        <v>-7.0999999999999952E-3</v>
      </c>
    </row>
    <row r="14" spans="1:25" ht="12" customHeight="1">
      <c r="A14" s="127">
        <v>9</v>
      </c>
      <c r="B14" s="120" t="s">
        <v>239</v>
      </c>
      <c r="C14" s="121" t="s">
        <v>32</v>
      </c>
      <c r="D14" s="2">
        <v>528442522.1038</v>
      </c>
      <c r="E14" s="3">
        <f t="shared" si="0"/>
        <v>2.3182900028776741E-2</v>
      </c>
      <c r="F14" s="4">
        <v>1.6164000000000001</v>
      </c>
      <c r="G14" s="4">
        <v>1.6640999999999999</v>
      </c>
      <c r="H14" s="60">
        <v>348</v>
      </c>
      <c r="I14" s="5">
        <v>-1.52E-2</v>
      </c>
      <c r="J14" s="5">
        <v>0.30259999999999998</v>
      </c>
      <c r="K14" s="2">
        <v>532424544.68650001</v>
      </c>
      <c r="L14" s="3">
        <f t="shared" si="2"/>
        <v>2.3291815375482063E-2</v>
      </c>
      <c r="M14" s="4">
        <v>1.6254</v>
      </c>
      <c r="N14" s="4">
        <v>1.6733</v>
      </c>
      <c r="O14" s="60">
        <v>350</v>
      </c>
      <c r="P14" s="5">
        <v>5.5999999999999999E-3</v>
      </c>
      <c r="Q14" s="5">
        <v>0.30990000000000001</v>
      </c>
      <c r="R14" s="81">
        <f t="shared" si="3"/>
        <v>7.5353939475707827E-3</v>
      </c>
      <c r="S14" s="81">
        <f t="shared" si="4"/>
        <v>5.5285139114236506E-3</v>
      </c>
      <c r="T14" s="81">
        <f t="shared" si="5"/>
        <v>5.7471264367816091E-3</v>
      </c>
      <c r="U14" s="82">
        <f t="shared" si="6"/>
        <v>2.0799999999999999E-2</v>
      </c>
      <c r="V14" s="84">
        <f t="shared" si="7"/>
        <v>7.3000000000000287E-3</v>
      </c>
    </row>
    <row r="15" spans="1:25">
      <c r="A15" s="126">
        <v>10</v>
      </c>
      <c r="B15" s="120" t="s">
        <v>33</v>
      </c>
      <c r="C15" s="121" t="s">
        <v>34</v>
      </c>
      <c r="D15" s="2">
        <v>1299337011.6700001</v>
      </c>
      <c r="E15" s="3">
        <f t="shared" si="0"/>
        <v>5.70022259475143E-2</v>
      </c>
      <c r="F15" s="4">
        <v>2.62</v>
      </c>
      <c r="G15" s="4">
        <v>2.67</v>
      </c>
      <c r="H15" s="60">
        <v>3671</v>
      </c>
      <c r="I15" s="5">
        <v>0.22900000000000001</v>
      </c>
      <c r="J15" s="5">
        <v>0.32129999999999997</v>
      </c>
      <c r="K15" s="2">
        <v>1302545475.1099999</v>
      </c>
      <c r="L15" s="3">
        <f t="shared" si="2"/>
        <v>5.6982062579957804E-2</v>
      </c>
      <c r="M15" s="4">
        <v>2.02</v>
      </c>
      <c r="N15" s="4">
        <v>2.17</v>
      </c>
      <c r="O15" s="60">
        <v>3671</v>
      </c>
      <c r="P15" s="5">
        <v>0.23219999999999999</v>
      </c>
      <c r="Q15" s="5">
        <v>0.32479999999999998</v>
      </c>
      <c r="R15" s="81">
        <f t="shared" si="3"/>
        <v>2.4693081249768096E-3</v>
      </c>
      <c r="S15" s="81">
        <f t="shared" si="4"/>
        <v>-0.18726591760299627</v>
      </c>
      <c r="T15" s="81">
        <f t="shared" si="5"/>
        <v>0</v>
      </c>
      <c r="U15" s="82">
        <f t="shared" si="6"/>
        <v>3.1999999999999806E-3</v>
      </c>
      <c r="V15" s="84">
        <f t="shared" si="7"/>
        <v>3.5000000000000031E-3</v>
      </c>
    </row>
    <row r="16" spans="1:25">
      <c r="A16" s="129">
        <v>11</v>
      </c>
      <c r="B16" s="120" t="s">
        <v>35</v>
      </c>
      <c r="C16" s="121" t="s">
        <v>36</v>
      </c>
      <c r="D16" s="4">
        <v>447795532.50999999</v>
      </c>
      <c r="E16" s="3">
        <f t="shared" si="0"/>
        <v>1.9644897276970143E-2</v>
      </c>
      <c r="F16" s="4">
        <v>16.954972999999999</v>
      </c>
      <c r="G16" s="4">
        <v>17.088114999999998</v>
      </c>
      <c r="H16" s="60">
        <v>255</v>
      </c>
      <c r="I16" s="5">
        <v>8.5630740171072084E-3</v>
      </c>
      <c r="J16" s="5">
        <v>0.45186895559077533</v>
      </c>
      <c r="K16" s="4">
        <v>447795532.50999999</v>
      </c>
      <c r="L16" s="3">
        <f t="shared" si="2"/>
        <v>1.9589575599543271E-2</v>
      </c>
      <c r="M16" s="4">
        <v>16.954972999999999</v>
      </c>
      <c r="N16" s="4">
        <v>17.088114999999998</v>
      </c>
      <c r="O16" s="60">
        <v>255</v>
      </c>
      <c r="P16" s="5">
        <v>8.5630740171072084E-3</v>
      </c>
      <c r="Q16" s="5">
        <v>0.45186895559077533</v>
      </c>
      <c r="R16" s="81">
        <f t="shared" si="3"/>
        <v>0</v>
      </c>
      <c r="S16" s="81">
        <f t="shared" si="4"/>
        <v>0</v>
      </c>
      <c r="T16" s="81">
        <f t="shared" si="5"/>
        <v>0</v>
      </c>
      <c r="U16" s="82">
        <f t="shared" si="6"/>
        <v>0</v>
      </c>
      <c r="V16" s="84">
        <f t="shared" si="7"/>
        <v>0</v>
      </c>
    </row>
    <row r="17" spans="1:22">
      <c r="A17" s="128">
        <v>12</v>
      </c>
      <c r="B17" s="120" t="s">
        <v>37</v>
      </c>
      <c r="C17" s="121" t="s">
        <v>38</v>
      </c>
      <c r="D17" s="4">
        <v>301286745.38999999</v>
      </c>
      <c r="E17" s="3">
        <f t="shared" si="0"/>
        <v>1.3217521691034361E-2</v>
      </c>
      <c r="F17" s="4">
        <v>2.1707740000000002</v>
      </c>
      <c r="G17" s="4">
        <v>2.1945160000000001</v>
      </c>
      <c r="H17" s="60">
        <v>17</v>
      </c>
      <c r="I17" s="5">
        <v>1.4E-3</v>
      </c>
      <c r="J17" s="5">
        <v>0.52629999999999999</v>
      </c>
      <c r="K17" s="4">
        <v>326994624.36000001</v>
      </c>
      <c r="L17" s="3">
        <f t="shared" si="2"/>
        <v>1.4304934840772277E-2</v>
      </c>
      <c r="M17" s="4">
        <v>2.36</v>
      </c>
      <c r="N17" s="4">
        <v>2.36</v>
      </c>
      <c r="O17" s="60">
        <v>16</v>
      </c>
      <c r="P17" s="5">
        <v>1.8E-3</v>
      </c>
      <c r="Q17" s="5">
        <v>0.65610000000000002</v>
      </c>
      <c r="R17" s="81">
        <f t="shared" si="3"/>
        <v>8.5326949702757476E-2</v>
      </c>
      <c r="S17" s="81">
        <f t="shared" si="4"/>
        <v>7.5407971507156807E-2</v>
      </c>
      <c r="T17" s="81">
        <f t="shared" si="5"/>
        <v>-5.8823529411764705E-2</v>
      </c>
      <c r="U17" s="82">
        <f t="shared" si="6"/>
        <v>3.9999999999999996E-4</v>
      </c>
      <c r="V17" s="84">
        <f t="shared" si="7"/>
        <v>0.12980000000000003</v>
      </c>
    </row>
    <row r="18" spans="1:22">
      <c r="A18" s="128">
        <v>13</v>
      </c>
      <c r="B18" s="120" t="s">
        <v>39</v>
      </c>
      <c r="C18" s="121" t="s">
        <v>40</v>
      </c>
      <c r="D18" s="2">
        <v>1023630404.8200001</v>
      </c>
      <c r="E18" s="3">
        <f t="shared" si="0"/>
        <v>4.490691106174266E-2</v>
      </c>
      <c r="F18" s="4">
        <v>24.62</v>
      </c>
      <c r="G18" s="4">
        <v>25.12</v>
      </c>
      <c r="H18" s="60">
        <v>8863</v>
      </c>
      <c r="I18" s="5">
        <v>1.4E-3</v>
      </c>
      <c r="J18" s="5">
        <v>0.42099999999999999</v>
      </c>
      <c r="K18" s="2">
        <v>1012464960.8</v>
      </c>
      <c r="L18" s="3">
        <f t="shared" si="2"/>
        <v>4.4291998136531861E-2</v>
      </c>
      <c r="M18" s="4">
        <v>24.79</v>
      </c>
      <c r="N18" s="4">
        <v>25.29</v>
      </c>
      <c r="O18" s="60">
        <v>8863</v>
      </c>
      <c r="P18" s="5">
        <v>-4.8999999999999998E-3</v>
      </c>
      <c r="Q18" s="5">
        <v>0.41539999999999999</v>
      </c>
      <c r="R18" s="81">
        <f t="shared" si="3"/>
        <v>-1.0907690869111576E-2</v>
      </c>
      <c r="S18" s="81">
        <f t="shared" si="4"/>
        <v>6.7675159235668055E-3</v>
      </c>
      <c r="T18" s="81">
        <f t="shared" si="5"/>
        <v>0</v>
      </c>
      <c r="U18" s="82">
        <f t="shared" si="6"/>
        <v>-6.3E-3</v>
      </c>
      <c r="V18" s="84">
        <f t="shared" si="7"/>
        <v>-5.5999999999999939E-3</v>
      </c>
    </row>
    <row r="19" spans="1:22" ht="12.75" customHeight="1">
      <c r="A19" s="129">
        <v>14</v>
      </c>
      <c r="B19" s="120" t="s">
        <v>41</v>
      </c>
      <c r="C19" s="121" t="s">
        <v>42</v>
      </c>
      <c r="D19" s="2">
        <v>517241967.17000002</v>
      </c>
      <c r="E19" s="3">
        <f t="shared" si="0"/>
        <v>2.269152900082963E-2</v>
      </c>
      <c r="F19" s="4">
        <v>5047.96</v>
      </c>
      <c r="G19" s="4">
        <v>5110.76</v>
      </c>
      <c r="H19" s="60">
        <v>1135</v>
      </c>
      <c r="I19" s="5">
        <v>1.7899999999999999E-2</v>
      </c>
      <c r="J19" s="5">
        <v>0.56089999999999995</v>
      </c>
      <c r="K19" s="2">
        <v>517848741.80000001</v>
      </c>
      <c r="L19" s="3">
        <f t="shared" si="2"/>
        <v>2.2654172139140137E-2</v>
      </c>
      <c r="M19" s="4">
        <v>5053.95</v>
      </c>
      <c r="N19" s="4">
        <v>5116.72</v>
      </c>
      <c r="O19" s="60">
        <v>1135</v>
      </c>
      <c r="P19" s="5">
        <v>1.1999999999999999E-3</v>
      </c>
      <c r="Q19" s="5">
        <v>0.56269999999999998</v>
      </c>
      <c r="R19" s="81">
        <f t="shared" si="3"/>
        <v>1.1730962847424343E-3</v>
      </c>
      <c r="S19" s="81">
        <f t="shared" si="4"/>
        <v>1.1661670671289663E-3</v>
      </c>
      <c r="T19" s="81">
        <f t="shared" si="5"/>
        <v>0</v>
      </c>
      <c r="U19" s="82">
        <f t="shared" si="6"/>
        <v>-1.67E-2</v>
      </c>
      <c r="V19" s="84">
        <f t="shared" si="7"/>
        <v>1.8000000000000238E-3</v>
      </c>
    </row>
    <row r="20" spans="1:22">
      <c r="A20" s="129">
        <v>15</v>
      </c>
      <c r="B20" s="120" t="s">
        <v>43</v>
      </c>
      <c r="C20" s="121" t="s">
        <v>42</v>
      </c>
      <c r="D20" s="4">
        <v>10079142526.790001</v>
      </c>
      <c r="E20" s="3">
        <f t="shared" si="0"/>
        <v>0.44217439702641315</v>
      </c>
      <c r="F20" s="4">
        <v>17295.32</v>
      </c>
      <c r="G20" s="4">
        <v>17509.25</v>
      </c>
      <c r="H20" s="60">
        <v>29414</v>
      </c>
      <c r="I20" s="5">
        <v>1.23E-2</v>
      </c>
      <c r="J20" s="5">
        <v>0.41520000000000001</v>
      </c>
      <c r="K20" s="4">
        <v>10100777050.290001</v>
      </c>
      <c r="L20" s="3">
        <f t="shared" si="2"/>
        <v>0.44187563581012029</v>
      </c>
      <c r="M20" s="4">
        <v>17287.32</v>
      </c>
      <c r="N20" s="4">
        <v>17500.060000000001</v>
      </c>
      <c r="O20" s="60">
        <v>29421</v>
      </c>
      <c r="P20" s="5">
        <v>-5.0000000000000001E-4</v>
      </c>
      <c r="Q20" s="5">
        <v>0.41449999999999998</v>
      </c>
      <c r="R20" s="81">
        <f t="shared" si="3"/>
        <v>2.1464646861075938E-3</v>
      </c>
      <c r="S20" s="81">
        <f t="shared" si="4"/>
        <v>-5.2486542827355205E-4</v>
      </c>
      <c r="T20" s="81">
        <f t="shared" si="5"/>
        <v>2.3798191337458352E-4</v>
      </c>
      <c r="U20" s="82">
        <f t="shared" si="6"/>
        <v>-1.2800000000000001E-2</v>
      </c>
      <c r="V20" s="84">
        <f t="shared" si="7"/>
        <v>-7.0000000000003393E-4</v>
      </c>
    </row>
    <row r="21" spans="1:22">
      <c r="A21" s="127">
        <v>16</v>
      </c>
      <c r="B21" s="121" t="s">
        <v>44</v>
      </c>
      <c r="C21" s="121" t="s">
        <v>45</v>
      </c>
      <c r="D21" s="4">
        <v>2550462111.2600002</v>
      </c>
      <c r="E21" s="3">
        <f t="shared" si="0"/>
        <v>0.11188938376330988</v>
      </c>
      <c r="F21" s="4">
        <v>1.2585999999999999</v>
      </c>
      <c r="G21" s="8">
        <v>1.2706</v>
      </c>
      <c r="H21" s="60">
        <v>3442</v>
      </c>
      <c r="I21" s="5">
        <v>1.03E-2</v>
      </c>
      <c r="J21" s="5">
        <v>0.37840000000000001</v>
      </c>
      <c r="K21" s="4">
        <v>2546696731.75</v>
      </c>
      <c r="L21" s="3">
        <f t="shared" si="2"/>
        <v>0.11140957096219423</v>
      </c>
      <c r="M21" s="4">
        <v>1.2567999999999999</v>
      </c>
      <c r="N21" s="8">
        <v>1.2690999999999999</v>
      </c>
      <c r="O21" s="60">
        <v>3451</v>
      </c>
      <c r="P21" s="5">
        <v>-1.4E-3</v>
      </c>
      <c r="Q21" s="5">
        <v>0.3765</v>
      </c>
      <c r="R21" s="81">
        <f t="shared" si="3"/>
        <v>-1.4763518710497626E-3</v>
      </c>
      <c r="S21" s="81">
        <f t="shared" si="4"/>
        <v>-1.1805446245868542E-3</v>
      </c>
      <c r="T21" s="81">
        <f t="shared" si="5"/>
        <v>2.6147588611272515E-3</v>
      </c>
      <c r="U21" s="82">
        <f t="shared" si="6"/>
        <v>-1.17E-2</v>
      </c>
      <c r="V21" s="84">
        <f t="shared" si="7"/>
        <v>-1.9000000000000128E-3</v>
      </c>
    </row>
    <row r="22" spans="1:22">
      <c r="A22" s="76"/>
      <c r="B22" s="19"/>
      <c r="C22" s="72" t="s">
        <v>46</v>
      </c>
      <c r="D22" s="58">
        <f>SUM(D6:D21)</f>
        <v>22794496005.583801</v>
      </c>
      <c r="E22" s="105">
        <f>(D22/$D$175)</f>
        <v>1.137191904685819E-2</v>
      </c>
      <c r="F22" s="30"/>
      <c r="G22" s="31"/>
      <c r="H22" s="66">
        <f>SUM(H6:H21)</f>
        <v>61257</v>
      </c>
      <c r="I22" s="28"/>
      <c r="J22" s="60">
        <v>0</v>
      </c>
      <c r="K22" s="58">
        <f>SUM(K6:K21)</f>
        <v>22858868495.366501</v>
      </c>
      <c r="L22" s="105">
        <f>(K22/$K$175)</f>
        <v>1.1316944090406631E-2</v>
      </c>
      <c r="M22" s="30"/>
      <c r="N22" s="31"/>
      <c r="O22" s="66">
        <f>SUM(O6:O21)</f>
        <v>61283</v>
      </c>
      <c r="P22" s="28"/>
      <c r="Q22" s="66"/>
      <c r="R22" s="81">
        <f t="shared" si="3"/>
        <v>2.8240365466703334E-3</v>
      </c>
      <c r="S22" s="81" t="e">
        <f t="shared" si="4"/>
        <v>#DIV/0!</v>
      </c>
      <c r="T22" s="81">
        <f t="shared" si="5"/>
        <v>4.2444128834255676E-4</v>
      </c>
      <c r="U22" s="82">
        <f t="shared" si="6"/>
        <v>0</v>
      </c>
      <c r="V22" s="84">
        <f t="shared" si="7"/>
        <v>0</v>
      </c>
    </row>
    <row r="23" spans="1:22" ht="9" customHeight="1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</row>
    <row r="24" spans="1:22" ht="15" customHeight="1">
      <c r="A24" s="141" t="s">
        <v>47</v>
      </c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</row>
    <row r="25" spans="1:22">
      <c r="A25" s="129">
        <v>17</v>
      </c>
      <c r="B25" s="120" t="s">
        <v>48</v>
      </c>
      <c r="C25" s="121" t="s">
        <v>17</v>
      </c>
      <c r="D25" s="9">
        <v>900606480.51999998</v>
      </c>
      <c r="E25" s="3">
        <f>(D25/$K$54)</f>
        <v>1.0401739841233543E-3</v>
      </c>
      <c r="F25" s="8">
        <v>100</v>
      </c>
      <c r="G25" s="8">
        <v>100</v>
      </c>
      <c r="H25" s="60">
        <v>741</v>
      </c>
      <c r="I25" s="5">
        <v>9.3299999999999994E-2</v>
      </c>
      <c r="J25" s="5">
        <v>9.3299999999999994E-2</v>
      </c>
      <c r="K25" s="9">
        <v>900102769.05999994</v>
      </c>
      <c r="L25" s="3">
        <f t="shared" ref="L25:L53" si="8">(K25/$K$54)</f>
        <v>1.0395922122090615E-3</v>
      </c>
      <c r="M25" s="8">
        <v>100</v>
      </c>
      <c r="N25" s="8">
        <v>100</v>
      </c>
      <c r="O25" s="60">
        <v>741</v>
      </c>
      <c r="P25" s="5">
        <v>9.2499999999999999E-2</v>
      </c>
      <c r="Q25" s="5">
        <v>9.2499999999999999E-2</v>
      </c>
      <c r="R25" s="81">
        <f t="shared" ref="R25" si="9">((K25-D25)/D25)</f>
        <v>-5.5930250436261669E-4</v>
      </c>
      <c r="S25" s="81">
        <f t="shared" ref="S25" si="10">((N25-G25)/G25)</f>
        <v>0</v>
      </c>
      <c r="T25" s="81">
        <f t="shared" ref="T25" si="11">((O25-H25)/H25)</f>
        <v>0</v>
      </c>
      <c r="U25" s="82">
        <f t="shared" ref="U25" si="12">P25-I25</f>
        <v>-7.9999999999999516E-4</v>
      </c>
      <c r="V25" s="84">
        <f t="shared" ref="V25" si="13">Q25-J25</f>
        <v>-7.9999999999999516E-4</v>
      </c>
    </row>
    <row r="26" spans="1:22">
      <c r="A26" s="133">
        <v>18</v>
      </c>
      <c r="B26" s="120" t="s">
        <v>49</v>
      </c>
      <c r="C26" s="121" t="s">
        <v>50</v>
      </c>
      <c r="D26" s="9">
        <v>4188974575.46</v>
      </c>
      <c r="E26" s="3">
        <f t="shared" ref="E26:E53" si="14">(D26/$K$54)</f>
        <v>4.8381423716069996E-3</v>
      </c>
      <c r="F26" s="8">
        <v>100</v>
      </c>
      <c r="G26" s="8">
        <v>100</v>
      </c>
      <c r="H26" s="60">
        <v>1147</v>
      </c>
      <c r="I26" s="5">
        <v>0.13489999999999999</v>
      </c>
      <c r="J26" s="5">
        <v>0.13489999999999999</v>
      </c>
      <c r="K26" s="9">
        <v>4252783351.1900001</v>
      </c>
      <c r="L26" s="3">
        <f t="shared" si="8"/>
        <v>4.9118396299642625E-3</v>
      </c>
      <c r="M26" s="8">
        <v>100</v>
      </c>
      <c r="N26" s="8">
        <v>100</v>
      </c>
      <c r="O26" s="60">
        <v>1152</v>
      </c>
      <c r="P26" s="5">
        <v>0.136738</v>
      </c>
      <c r="Q26" s="5">
        <v>0.136738</v>
      </c>
      <c r="R26" s="81">
        <f t="shared" ref="R26:R54" si="15">((K26-D26)/D26)</f>
        <v>1.5232552640401988E-2</v>
      </c>
      <c r="S26" s="81">
        <f t="shared" ref="S26:S54" si="16">((N26-G26)/G26)</f>
        <v>0</v>
      </c>
      <c r="T26" s="81">
        <f t="shared" ref="T26:T54" si="17">((O26-H26)/H26)</f>
        <v>4.3591979075850041E-3</v>
      </c>
      <c r="U26" s="82">
        <f t="shared" ref="U26:U54" si="18">P26-I26</f>
        <v>1.8380000000000063E-3</v>
      </c>
      <c r="V26" s="84">
        <f t="shared" ref="V26:V54" si="19">Q26-J26</f>
        <v>1.8380000000000063E-3</v>
      </c>
    </row>
    <row r="27" spans="1:22">
      <c r="A27" s="129">
        <v>19</v>
      </c>
      <c r="B27" s="120" t="s">
        <v>51</v>
      </c>
      <c r="C27" s="121" t="s">
        <v>19</v>
      </c>
      <c r="D27" s="9">
        <v>377404709.43000001</v>
      </c>
      <c r="E27" s="3">
        <f t="shared" si="14"/>
        <v>4.358913340353231E-4</v>
      </c>
      <c r="F27" s="8">
        <v>100</v>
      </c>
      <c r="G27" s="8">
        <v>100</v>
      </c>
      <c r="H27" s="60">
        <v>1322</v>
      </c>
      <c r="I27" s="5">
        <v>2.4800000000000001E-4</v>
      </c>
      <c r="J27" s="5">
        <v>9.2100000000000001E-2</v>
      </c>
      <c r="K27" s="9">
        <v>388922210.76999998</v>
      </c>
      <c r="L27" s="3">
        <f t="shared" si="8"/>
        <v>4.4919370917374828E-4</v>
      </c>
      <c r="M27" s="8">
        <v>100</v>
      </c>
      <c r="N27" s="8">
        <v>100</v>
      </c>
      <c r="O27" s="60">
        <v>1324</v>
      </c>
      <c r="P27" s="5">
        <v>9.3799999999999994E-2</v>
      </c>
      <c r="Q27" s="5">
        <v>9.3799999999999994E-2</v>
      </c>
      <c r="R27" s="81">
        <f t="shared" si="15"/>
        <v>3.0517640750681221E-2</v>
      </c>
      <c r="S27" s="81">
        <f t="shared" si="16"/>
        <v>0</v>
      </c>
      <c r="T27" s="81">
        <f t="shared" si="17"/>
        <v>1.5128593040847202E-3</v>
      </c>
      <c r="U27" s="82">
        <f t="shared" si="18"/>
        <v>9.3551999999999996E-2</v>
      </c>
      <c r="V27" s="84">
        <f t="shared" si="19"/>
        <v>1.6999999999999932E-3</v>
      </c>
    </row>
    <row r="28" spans="1:22">
      <c r="A28" s="129">
        <v>20</v>
      </c>
      <c r="B28" s="120" t="s">
        <v>52</v>
      </c>
      <c r="C28" s="121" t="s">
        <v>21</v>
      </c>
      <c r="D28" s="9">
        <v>80109644444.919998</v>
      </c>
      <c r="E28" s="3">
        <f t="shared" si="14"/>
        <v>9.2524282060312463E-2</v>
      </c>
      <c r="F28" s="8">
        <v>1</v>
      </c>
      <c r="G28" s="8">
        <v>1</v>
      </c>
      <c r="H28" s="60">
        <v>54374</v>
      </c>
      <c r="I28" s="5">
        <v>9.4200000000000006E-2</v>
      </c>
      <c r="J28" s="5">
        <v>9.4200000000000006E-2</v>
      </c>
      <c r="K28" s="9">
        <v>79989170147.610001</v>
      </c>
      <c r="L28" s="3">
        <f t="shared" si="8"/>
        <v>9.2385137791946723E-2</v>
      </c>
      <c r="M28" s="8">
        <v>1</v>
      </c>
      <c r="N28" s="8">
        <v>1</v>
      </c>
      <c r="O28" s="60">
        <v>54524</v>
      </c>
      <c r="P28" s="5">
        <v>9.8500000000000004E-2</v>
      </c>
      <c r="Q28" s="5">
        <v>9.8500000000000004E-2</v>
      </c>
      <c r="R28" s="81">
        <f t="shared" si="15"/>
        <v>-1.5038675822962937E-3</v>
      </c>
      <c r="S28" s="81">
        <f t="shared" si="16"/>
        <v>0</v>
      </c>
      <c r="T28" s="81">
        <f t="shared" si="17"/>
        <v>2.7586714238422775E-3</v>
      </c>
      <c r="U28" s="82">
        <f t="shared" si="18"/>
        <v>4.2999999999999983E-3</v>
      </c>
      <c r="V28" s="84">
        <f t="shared" si="19"/>
        <v>4.2999999999999983E-3</v>
      </c>
    </row>
    <row r="29" spans="1:22">
      <c r="A29" s="133">
        <v>21</v>
      </c>
      <c r="B29" s="120" t="s">
        <v>53</v>
      </c>
      <c r="C29" s="121" t="s">
        <v>23</v>
      </c>
      <c r="D29" s="9">
        <v>41499201952.529999</v>
      </c>
      <c r="E29" s="3">
        <f t="shared" si="14"/>
        <v>4.7930357116661021E-2</v>
      </c>
      <c r="F29" s="8">
        <v>1</v>
      </c>
      <c r="G29" s="8">
        <v>1</v>
      </c>
      <c r="H29" s="60">
        <v>26132</v>
      </c>
      <c r="I29" s="5">
        <v>9.9699999999999997E-2</v>
      </c>
      <c r="J29" s="5">
        <v>9.9699999999999997E-2</v>
      </c>
      <c r="K29" s="9">
        <v>41707121040.550003</v>
      </c>
      <c r="L29" s="3">
        <f t="shared" si="8"/>
        <v>4.8170497545182246E-2</v>
      </c>
      <c r="M29" s="8">
        <v>1</v>
      </c>
      <c r="N29" s="8">
        <v>1</v>
      </c>
      <c r="O29" s="60">
        <v>26139</v>
      </c>
      <c r="P29" s="5">
        <v>9.5100000000000004E-2</v>
      </c>
      <c r="Q29" s="5">
        <v>9.5100000000000004E-2</v>
      </c>
      <c r="R29" s="81">
        <f t="shared" si="15"/>
        <v>5.010194852851345E-3</v>
      </c>
      <c r="S29" s="81">
        <f t="shared" si="16"/>
        <v>0</v>
      </c>
      <c r="T29" s="81">
        <f t="shared" si="17"/>
        <v>2.678708097351906E-4</v>
      </c>
      <c r="U29" s="82">
        <f t="shared" si="18"/>
        <v>-4.599999999999993E-3</v>
      </c>
      <c r="V29" s="84">
        <f t="shared" si="19"/>
        <v>-4.599999999999993E-3</v>
      </c>
    </row>
    <row r="30" spans="1:22" ht="15" customHeight="1">
      <c r="A30" s="128">
        <v>22</v>
      </c>
      <c r="B30" s="120" t="s">
        <v>54</v>
      </c>
      <c r="C30" s="121" t="s">
        <v>40</v>
      </c>
      <c r="D30" s="9">
        <v>7200404919.3199997</v>
      </c>
      <c r="E30" s="3">
        <f t="shared" si="14"/>
        <v>8.316255805650024E-3</v>
      </c>
      <c r="F30" s="8">
        <v>100</v>
      </c>
      <c r="G30" s="8">
        <v>100</v>
      </c>
      <c r="H30" s="60">
        <v>2705</v>
      </c>
      <c r="I30" s="5">
        <v>9.6500000000000002E-2</v>
      </c>
      <c r="J30" s="5">
        <v>9.6500000000000002E-2</v>
      </c>
      <c r="K30" s="9">
        <v>7278764012.6000004</v>
      </c>
      <c r="L30" s="3">
        <f t="shared" si="8"/>
        <v>8.4067582526258545E-3</v>
      </c>
      <c r="M30" s="8">
        <v>100</v>
      </c>
      <c r="N30" s="8">
        <v>100</v>
      </c>
      <c r="O30" s="60">
        <v>2705</v>
      </c>
      <c r="P30" s="5">
        <v>9.8299999999999998E-2</v>
      </c>
      <c r="Q30" s="5">
        <v>9.8299999999999998E-2</v>
      </c>
      <c r="R30" s="81">
        <f t="shared" si="15"/>
        <v>1.0882595375955725E-2</v>
      </c>
      <c r="S30" s="81">
        <f t="shared" si="16"/>
        <v>0</v>
      </c>
      <c r="T30" s="81">
        <f t="shared" si="17"/>
        <v>0</v>
      </c>
      <c r="U30" s="82">
        <f t="shared" si="18"/>
        <v>1.799999999999996E-3</v>
      </c>
      <c r="V30" s="84">
        <f t="shared" si="19"/>
        <v>1.799999999999996E-3</v>
      </c>
    </row>
    <row r="31" spans="1:22">
      <c r="A31" s="128">
        <v>23</v>
      </c>
      <c r="B31" s="120" t="s">
        <v>55</v>
      </c>
      <c r="C31" s="121" t="s">
        <v>56</v>
      </c>
      <c r="D31" s="9">
        <v>12491463874.77</v>
      </c>
      <c r="E31" s="3">
        <f t="shared" si="14"/>
        <v>1.4427273206662121E-2</v>
      </c>
      <c r="F31" s="8">
        <v>100</v>
      </c>
      <c r="G31" s="8">
        <v>100</v>
      </c>
      <c r="H31" s="60">
        <v>1774</v>
      </c>
      <c r="I31" s="5">
        <v>0.11156955334165899</v>
      </c>
      <c r="J31" s="5">
        <v>0.11156955334165899</v>
      </c>
      <c r="K31" s="9">
        <v>12194532308.769999</v>
      </c>
      <c r="L31" s="3">
        <f t="shared" si="8"/>
        <v>1.4084325985318702E-2</v>
      </c>
      <c r="M31" s="8">
        <v>100</v>
      </c>
      <c r="N31" s="8">
        <v>100</v>
      </c>
      <c r="O31" s="60">
        <v>1792</v>
      </c>
      <c r="P31" s="5">
        <v>0.11189993069521199</v>
      </c>
      <c r="Q31" s="5">
        <v>0.11189993069521199</v>
      </c>
      <c r="R31" s="81">
        <f t="shared" si="15"/>
        <v>-2.3770758093431956E-2</v>
      </c>
      <c r="S31" s="81">
        <f t="shared" si="16"/>
        <v>0</v>
      </c>
      <c r="T31" s="81">
        <f t="shared" si="17"/>
        <v>1.0146561443066516E-2</v>
      </c>
      <c r="U31" s="82">
        <f t="shared" si="18"/>
        <v>3.3037735355299913E-4</v>
      </c>
      <c r="V31" s="84">
        <f t="shared" si="19"/>
        <v>3.3037735355299913E-4</v>
      </c>
    </row>
    <row r="32" spans="1:22">
      <c r="A32" s="125">
        <v>24</v>
      </c>
      <c r="B32" s="120" t="s">
        <v>57</v>
      </c>
      <c r="C32" s="121" t="s">
        <v>58</v>
      </c>
      <c r="D32" s="9">
        <v>5273137550.7700005</v>
      </c>
      <c r="E32" s="3">
        <f t="shared" si="14"/>
        <v>6.0903187059546064E-3</v>
      </c>
      <c r="F32" s="8">
        <v>100</v>
      </c>
      <c r="G32" s="8">
        <v>100</v>
      </c>
      <c r="H32" s="60">
        <v>5662</v>
      </c>
      <c r="I32" s="5">
        <v>9.6600000000000005E-2</v>
      </c>
      <c r="J32" s="5">
        <v>9.6600000000000005E-2</v>
      </c>
      <c r="K32" s="9">
        <v>5684004961.6899996</v>
      </c>
      <c r="L32" s="3">
        <f t="shared" si="8"/>
        <v>6.5648584755511365E-3</v>
      </c>
      <c r="M32" s="8">
        <v>100</v>
      </c>
      <c r="N32" s="8">
        <v>100</v>
      </c>
      <c r="O32" s="60">
        <v>5677</v>
      </c>
      <c r="P32" s="5">
        <v>0.1003</v>
      </c>
      <c r="Q32" s="5">
        <v>0.1003</v>
      </c>
      <c r="R32" s="81">
        <f t="shared" si="15"/>
        <v>7.791706682485515E-2</v>
      </c>
      <c r="S32" s="81">
        <f t="shared" si="16"/>
        <v>0</v>
      </c>
      <c r="T32" s="81">
        <f t="shared" si="17"/>
        <v>2.6492405510420347E-3</v>
      </c>
      <c r="U32" s="82">
        <f t="shared" si="18"/>
        <v>3.699999999999995E-3</v>
      </c>
      <c r="V32" s="84">
        <f t="shared" si="19"/>
        <v>3.699999999999995E-3</v>
      </c>
    </row>
    <row r="33" spans="1:22">
      <c r="A33" s="133">
        <v>25</v>
      </c>
      <c r="B33" s="120" t="s">
        <v>59</v>
      </c>
      <c r="C33" s="121" t="s">
        <v>60</v>
      </c>
      <c r="D33" s="9">
        <v>44514190.369999997</v>
      </c>
      <c r="E33" s="3">
        <f t="shared" si="14"/>
        <v>5.1412580021025182E-5</v>
      </c>
      <c r="F33" s="8">
        <v>100</v>
      </c>
      <c r="G33" s="8">
        <v>100</v>
      </c>
      <c r="H33" s="60">
        <v>0</v>
      </c>
      <c r="I33" s="5">
        <v>0</v>
      </c>
      <c r="J33" s="5">
        <v>0</v>
      </c>
      <c r="K33" s="9">
        <v>44514190.369999997</v>
      </c>
      <c r="L33" s="3">
        <f t="shared" si="8"/>
        <v>5.1412580021025182E-5</v>
      </c>
      <c r="M33" s="8">
        <v>100</v>
      </c>
      <c r="N33" s="8">
        <v>100</v>
      </c>
      <c r="O33" s="60">
        <v>0</v>
      </c>
      <c r="P33" s="5">
        <v>0</v>
      </c>
      <c r="Q33" s="5">
        <v>0</v>
      </c>
      <c r="R33" s="81">
        <f t="shared" si="15"/>
        <v>0</v>
      </c>
      <c r="S33" s="81">
        <f t="shared" si="16"/>
        <v>0</v>
      </c>
      <c r="T33" s="81" t="e">
        <f t="shared" si="17"/>
        <v>#DIV/0!</v>
      </c>
      <c r="U33" s="82">
        <f t="shared" si="18"/>
        <v>0</v>
      </c>
      <c r="V33" s="84">
        <f t="shared" si="19"/>
        <v>0</v>
      </c>
    </row>
    <row r="34" spans="1:22">
      <c r="A34" s="129">
        <v>26</v>
      </c>
      <c r="B34" s="120" t="s">
        <v>61</v>
      </c>
      <c r="C34" s="121" t="s">
        <v>62</v>
      </c>
      <c r="D34" s="9">
        <v>5132631273</v>
      </c>
      <c r="E34" s="3">
        <f t="shared" si="14"/>
        <v>5.9280380896104086E-3</v>
      </c>
      <c r="F34" s="8">
        <v>1</v>
      </c>
      <c r="G34" s="8">
        <v>1</v>
      </c>
      <c r="H34" s="60">
        <v>2038</v>
      </c>
      <c r="I34" s="5">
        <v>9.6100000000000005E-2</v>
      </c>
      <c r="J34" s="5">
        <v>9.6100000000000005E-2</v>
      </c>
      <c r="K34" s="9">
        <v>5240000000</v>
      </c>
      <c r="L34" s="3">
        <f t="shared" si="8"/>
        <v>6.0520458099072453E-3</v>
      </c>
      <c r="M34" s="8">
        <v>1</v>
      </c>
      <c r="N34" s="8">
        <v>1</v>
      </c>
      <c r="O34" s="60">
        <v>2042</v>
      </c>
      <c r="P34" s="5">
        <v>0.1042</v>
      </c>
      <c r="Q34" s="5">
        <v>0.1042</v>
      </c>
      <c r="R34" s="81">
        <f t="shared" si="15"/>
        <v>2.0918846745295899E-2</v>
      </c>
      <c r="S34" s="81">
        <f t="shared" si="16"/>
        <v>0</v>
      </c>
      <c r="T34" s="81">
        <f t="shared" si="17"/>
        <v>1.9627085377821392E-3</v>
      </c>
      <c r="U34" s="82">
        <f t="shared" si="18"/>
        <v>8.0999999999999961E-3</v>
      </c>
      <c r="V34" s="84">
        <f t="shared" si="19"/>
        <v>8.0999999999999961E-3</v>
      </c>
    </row>
    <row r="35" spans="1:22">
      <c r="A35" s="128">
        <v>27</v>
      </c>
      <c r="B35" s="120" t="s">
        <v>63</v>
      </c>
      <c r="C35" s="121" t="s">
        <v>64</v>
      </c>
      <c r="D35" s="9">
        <v>13691930402.190001</v>
      </c>
      <c r="E35" s="3">
        <f t="shared" si="14"/>
        <v>1.5813776721396111E-2</v>
      </c>
      <c r="F35" s="11">
        <v>100</v>
      </c>
      <c r="G35" s="11">
        <v>100</v>
      </c>
      <c r="H35" s="60">
        <v>2560</v>
      </c>
      <c r="I35" s="5">
        <v>9.98E-2</v>
      </c>
      <c r="J35" s="5">
        <v>9.98E-2</v>
      </c>
      <c r="K35" s="9">
        <v>14210912376.08</v>
      </c>
      <c r="L35" s="3">
        <f t="shared" si="8"/>
        <v>1.6413185629888166E-2</v>
      </c>
      <c r="M35" s="11">
        <v>100</v>
      </c>
      <c r="N35" s="11">
        <v>100</v>
      </c>
      <c r="O35" s="60">
        <v>2578</v>
      </c>
      <c r="P35" s="5">
        <v>0.10009999999999999</v>
      </c>
      <c r="Q35" s="5">
        <v>0.10009999999999999</v>
      </c>
      <c r="R35" s="81">
        <f t="shared" si="15"/>
        <v>3.7904222315283544E-2</v>
      </c>
      <c r="S35" s="81">
        <f t="shared" si="16"/>
        <v>0</v>
      </c>
      <c r="T35" s="81">
        <f t="shared" si="17"/>
        <v>7.0312500000000002E-3</v>
      </c>
      <c r="U35" s="82">
        <f t="shared" si="18"/>
        <v>2.9999999999999472E-4</v>
      </c>
      <c r="V35" s="84">
        <f t="shared" si="19"/>
        <v>2.9999999999999472E-4</v>
      </c>
    </row>
    <row r="36" spans="1:22">
      <c r="A36" s="128">
        <v>28</v>
      </c>
      <c r="B36" s="120" t="s">
        <v>65</v>
      </c>
      <c r="C36" s="121" t="s">
        <v>64</v>
      </c>
      <c r="D36" s="9">
        <v>1305667777.3900001</v>
      </c>
      <c r="E36" s="3">
        <f t="shared" si="14"/>
        <v>1.5080078628404688E-3</v>
      </c>
      <c r="F36" s="11">
        <v>1000000</v>
      </c>
      <c r="G36" s="11">
        <v>1000000</v>
      </c>
      <c r="H36" s="60">
        <v>9</v>
      </c>
      <c r="I36" s="5">
        <v>9.5799999999999996E-2</v>
      </c>
      <c r="J36" s="5">
        <v>9.5799999999999996E-2</v>
      </c>
      <c r="K36" s="9">
        <v>1308056282.1800001</v>
      </c>
      <c r="L36" s="3">
        <f t="shared" si="8"/>
        <v>1.5107665155897555E-3</v>
      </c>
      <c r="M36" s="11">
        <v>1000000</v>
      </c>
      <c r="N36" s="11">
        <v>1000000</v>
      </c>
      <c r="O36" s="60">
        <v>9</v>
      </c>
      <c r="P36" s="5">
        <v>9.5699999999999993E-2</v>
      </c>
      <c r="Q36" s="5">
        <v>9.5699999999999993E-2</v>
      </c>
      <c r="R36" s="81">
        <f t="shared" si="15"/>
        <v>1.8293357861480875E-3</v>
      </c>
      <c r="S36" s="81">
        <f t="shared" si="16"/>
        <v>0</v>
      </c>
      <c r="T36" s="81">
        <f t="shared" si="17"/>
        <v>0</v>
      </c>
      <c r="U36" s="82">
        <f t="shared" si="18"/>
        <v>-1.0000000000000286E-4</v>
      </c>
      <c r="V36" s="84">
        <f t="shared" si="19"/>
        <v>-1.0000000000000286E-4</v>
      </c>
    </row>
    <row r="37" spans="1:22">
      <c r="A37" s="128">
        <v>29</v>
      </c>
      <c r="B37" s="120" t="s">
        <v>66</v>
      </c>
      <c r="C37" s="121" t="s">
        <v>67</v>
      </c>
      <c r="D37" s="9">
        <v>2754131811.5100002</v>
      </c>
      <c r="E37" s="3">
        <f t="shared" si="14"/>
        <v>3.1809412003399522E-3</v>
      </c>
      <c r="F37" s="8">
        <v>1</v>
      </c>
      <c r="G37" s="8">
        <v>1</v>
      </c>
      <c r="H37" s="60">
        <v>425</v>
      </c>
      <c r="I37" s="5">
        <v>0.1208</v>
      </c>
      <c r="J37" s="5">
        <v>0.1208</v>
      </c>
      <c r="K37" s="9">
        <v>2757792749.29</v>
      </c>
      <c r="L37" s="3">
        <f t="shared" si="8"/>
        <v>3.1851694757505968E-3</v>
      </c>
      <c r="M37" s="8">
        <v>1</v>
      </c>
      <c r="N37" s="8">
        <v>1</v>
      </c>
      <c r="O37" s="60">
        <v>426</v>
      </c>
      <c r="P37" s="5">
        <v>0.13009999999999999</v>
      </c>
      <c r="Q37" s="5">
        <v>0.13009999999999999</v>
      </c>
      <c r="R37" s="81">
        <f t="shared" si="15"/>
        <v>1.3292529299796152E-3</v>
      </c>
      <c r="S37" s="81">
        <f t="shared" si="16"/>
        <v>0</v>
      </c>
      <c r="T37" s="81">
        <f t="shared" si="17"/>
        <v>2.352941176470588E-3</v>
      </c>
      <c r="U37" s="82">
        <f t="shared" si="18"/>
        <v>9.2999999999999888E-3</v>
      </c>
      <c r="V37" s="84">
        <f t="shared" si="19"/>
        <v>9.2999999999999888E-3</v>
      </c>
    </row>
    <row r="38" spans="1:22">
      <c r="A38" s="125">
        <v>30</v>
      </c>
      <c r="B38" s="120" t="s">
        <v>68</v>
      </c>
      <c r="C38" s="121" t="s">
        <v>27</v>
      </c>
      <c r="D38" s="9">
        <v>194564742000.79001</v>
      </c>
      <c r="E38" s="3">
        <f t="shared" si="14"/>
        <v>0.22471655182854303</v>
      </c>
      <c r="F38" s="8">
        <v>100</v>
      </c>
      <c r="G38" s="8">
        <v>100</v>
      </c>
      <c r="H38" s="60">
        <v>14870</v>
      </c>
      <c r="I38" s="5">
        <v>0.1037</v>
      </c>
      <c r="J38" s="5">
        <v>0.1037</v>
      </c>
      <c r="K38" s="9">
        <v>195549700612.03</v>
      </c>
      <c r="L38" s="3">
        <f t="shared" si="8"/>
        <v>0.22585415004153675</v>
      </c>
      <c r="M38" s="8">
        <v>100</v>
      </c>
      <c r="N38" s="8">
        <v>100</v>
      </c>
      <c r="O38" s="60">
        <v>14949</v>
      </c>
      <c r="P38" s="5">
        <v>0.10589999999999999</v>
      </c>
      <c r="Q38" s="5">
        <v>0.10589999999999999</v>
      </c>
      <c r="R38" s="81">
        <f t="shared" si="15"/>
        <v>5.0623694771789176E-3</v>
      </c>
      <c r="S38" s="81">
        <f t="shared" si="16"/>
        <v>0</v>
      </c>
      <c r="T38" s="81">
        <f t="shared" si="17"/>
        <v>5.3127101546738397E-3</v>
      </c>
      <c r="U38" s="82">
        <f t="shared" si="18"/>
        <v>2.1999999999999936E-3</v>
      </c>
      <c r="V38" s="84">
        <f t="shared" si="19"/>
        <v>2.1999999999999936E-3</v>
      </c>
    </row>
    <row r="39" spans="1:22">
      <c r="A39" s="129">
        <v>31</v>
      </c>
      <c r="B39" s="120" t="s">
        <v>69</v>
      </c>
      <c r="C39" s="121" t="s">
        <v>70</v>
      </c>
      <c r="D39" s="9">
        <v>249599284.11000001</v>
      </c>
      <c r="E39" s="3">
        <f t="shared" si="14"/>
        <v>2.8827982854079653E-4</v>
      </c>
      <c r="F39" s="8">
        <v>1</v>
      </c>
      <c r="G39" s="8">
        <v>1</v>
      </c>
      <c r="H39" s="61">
        <v>434</v>
      </c>
      <c r="I39" s="12">
        <v>6.2199999999999998E-2</v>
      </c>
      <c r="J39" s="12">
        <v>6.2199999999999998E-2</v>
      </c>
      <c r="K39" s="9">
        <v>271502335.69999999</v>
      </c>
      <c r="L39" s="3">
        <f t="shared" si="8"/>
        <v>3.1357720861702583E-4</v>
      </c>
      <c r="M39" s="8">
        <v>1</v>
      </c>
      <c r="N39" s="8">
        <v>1</v>
      </c>
      <c r="O39" s="61">
        <v>434</v>
      </c>
      <c r="P39" s="12">
        <v>0.17510000000000001</v>
      </c>
      <c r="Q39" s="12">
        <v>-4.3799999999999999E-2</v>
      </c>
      <c r="R39" s="81">
        <f t="shared" si="15"/>
        <v>8.7752862225146278E-2</v>
      </c>
      <c r="S39" s="81">
        <f t="shared" si="16"/>
        <v>0</v>
      </c>
      <c r="T39" s="81">
        <f t="shared" si="17"/>
        <v>0</v>
      </c>
      <c r="U39" s="82">
        <f t="shared" si="18"/>
        <v>0.1129</v>
      </c>
      <c r="V39" s="84">
        <f t="shared" si="19"/>
        <v>-0.106</v>
      </c>
    </row>
    <row r="40" spans="1:22">
      <c r="A40" s="126">
        <v>32</v>
      </c>
      <c r="B40" s="120" t="s">
        <v>71</v>
      </c>
      <c r="C40" s="121" t="s">
        <v>72</v>
      </c>
      <c r="D40" s="9">
        <v>640756737.63</v>
      </c>
      <c r="E40" s="3">
        <f t="shared" si="14"/>
        <v>7.4005517731745758E-4</v>
      </c>
      <c r="F40" s="8">
        <v>10</v>
      </c>
      <c r="G40" s="8">
        <v>10</v>
      </c>
      <c r="H40" s="60">
        <v>287</v>
      </c>
      <c r="I40" s="5">
        <v>0.1086</v>
      </c>
      <c r="J40" s="5">
        <v>0.1086</v>
      </c>
      <c r="K40" s="9">
        <v>640666744.51999998</v>
      </c>
      <c r="L40" s="3">
        <f t="shared" si="8"/>
        <v>7.3995123792350791E-4</v>
      </c>
      <c r="M40" s="8">
        <v>10</v>
      </c>
      <c r="N40" s="8">
        <v>10</v>
      </c>
      <c r="O40" s="60">
        <v>289</v>
      </c>
      <c r="P40" s="5">
        <v>0.1016</v>
      </c>
      <c r="Q40" s="5">
        <v>0.1016</v>
      </c>
      <c r="R40" s="81">
        <f t="shared" si="15"/>
        <v>-1.4044816810335301E-4</v>
      </c>
      <c r="S40" s="81">
        <f t="shared" si="16"/>
        <v>0</v>
      </c>
      <c r="T40" s="81">
        <f t="shared" si="17"/>
        <v>6.9686411149825784E-3</v>
      </c>
      <c r="U40" s="82">
        <f t="shared" si="18"/>
        <v>-7.0000000000000062E-3</v>
      </c>
      <c r="V40" s="84">
        <f t="shared" si="19"/>
        <v>-7.0000000000000062E-3</v>
      </c>
    </row>
    <row r="41" spans="1:22">
      <c r="A41" s="125">
        <v>33</v>
      </c>
      <c r="B41" s="120" t="s">
        <v>73</v>
      </c>
      <c r="C41" s="121" t="s">
        <v>74</v>
      </c>
      <c r="D41" s="9">
        <v>2857069002.5470715</v>
      </c>
      <c r="E41" s="3">
        <f t="shared" si="14"/>
        <v>3.2998306270001676E-3</v>
      </c>
      <c r="F41" s="8">
        <v>100</v>
      </c>
      <c r="G41" s="8">
        <v>100</v>
      </c>
      <c r="H41" s="60">
        <v>1242</v>
      </c>
      <c r="I41" s="5">
        <v>9.4048808951384191E-2</v>
      </c>
      <c r="J41" s="5">
        <v>9.4048808951384191E-2</v>
      </c>
      <c r="K41" s="9">
        <v>2906478332.1385937</v>
      </c>
      <c r="L41" s="3">
        <f t="shared" si="8"/>
        <v>3.3568969487796901E-3</v>
      </c>
      <c r="M41" s="8">
        <v>100</v>
      </c>
      <c r="N41" s="8">
        <v>100</v>
      </c>
      <c r="O41" s="60">
        <v>1242</v>
      </c>
      <c r="P41" s="5">
        <v>9.3787594817116807E-2</v>
      </c>
      <c r="Q41" s="5">
        <v>9.3787594817116807E-2</v>
      </c>
      <c r="R41" s="81">
        <f t="shared" si="15"/>
        <v>1.7293712384080992E-2</v>
      </c>
      <c r="S41" s="81">
        <f t="shared" si="16"/>
        <v>0</v>
      </c>
      <c r="T41" s="81">
        <f t="shared" si="17"/>
        <v>0</v>
      </c>
      <c r="U41" s="82">
        <f t="shared" si="18"/>
        <v>-2.612141342673846E-4</v>
      </c>
      <c r="V41" s="84">
        <f t="shared" si="19"/>
        <v>-2.612141342673846E-4</v>
      </c>
    </row>
    <row r="42" spans="1:22" ht="15.75" customHeight="1">
      <c r="A42" s="127">
        <v>34</v>
      </c>
      <c r="B42" s="120" t="s">
        <v>240</v>
      </c>
      <c r="C42" s="121" t="s">
        <v>32</v>
      </c>
      <c r="D42" s="9">
        <v>21641038628.3186</v>
      </c>
      <c r="E42" s="3">
        <f t="shared" si="14"/>
        <v>2.4994762815373363E-2</v>
      </c>
      <c r="F42" s="8">
        <v>100</v>
      </c>
      <c r="G42" s="8">
        <v>100</v>
      </c>
      <c r="H42" s="60">
        <v>10843</v>
      </c>
      <c r="I42" s="5">
        <v>0.1061</v>
      </c>
      <c r="J42" s="5">
        <v>0.1061</v>
      </c>
      <c r="K42" s="9">
        <v>21679828763.267502</v>
      </c>
      <c r="L42" s="3">
        <f t="shared" si="8"/>
        <v>2.5039564279816729E-2</v>
      </c>
      <c r="M42" s="8">
        <v>100</v>
      </c>
      <c r="N42" s="8">
        <v>100</v>
      </c>
      <c r="O42" s="60">
        <v>10869</v>
      </c>
      <c r="P42" s="5">
        <v>0.1108</v>
      </c>
      <c r="Q42" s="5">
        <v>0.1108</v>
      </c>
      <c r="R42" s="81">
        <f t="shared" si="15"/>
        <v>1.7924340700608938E-3</v>
      </c>
      <c r="S42" s="81">
        <f t="shared" si="16"/>
        <v>0</v>
      </c>
      <c r="T42" s="81">
        <f t="shared" si="17"/>
        <v>2.3978603707461034E-3</v>
      </c>
      <c r="U42" s="82">
        <f t="shared" si="18"/>
        <v>4.6999999999999958E-3</v>
      </c>
      <c r="V42" s="84">
        <f t="shared" si="19"/>
        <v>4.6999999999999958E-3</v>
      </c>
    </row>
    <row r="43" spans="1:22">
      <c r="A43" s="126">
        <v>35</v>
      </c>
      <c r="B43" s="120" t="s">
        <v>75</v>
      </c>
      <c r="C43" s="121" t="s">
        <v>34</v>
      </c>
      <c r="D43" s="9">
        <v>2943581204.6500001</v>
      </c>
      <c r="E43" s="3">
        <f t="shared" si="14"/>
        <v>3.3997496747564418E-3</v>
      </c>
      <c r="F43" s="8">
        <v>1</v>
      </c>
      <c r="G43" s="8">
        <v>1</v>
      </c>
      <c r="H43" s="60">
        <v>822</v>
      </c>
      <c r="I43" s="5">
        <v>7.6700000000000004E-2</v>
      </c>
      <c r="J43" s="5">
        <v>7.6700000000000004E-2</v>
      </c>
      <c r="K43" s="9">
        <v>2948898148.8800001</v>
      </c>
      <c r="L43" s="3">
        <f t="shared" si="8"/>
        <v>3.4058905888878699E-3</v>
      </c>
      <c r="M43" s="8">
        <v>1</v>
      </c>
      <c r="N43" s="8">
        <v>1</v>
      </c>
      <c r="O43" s="60">
        <v>823</v>
      </c>
      <c r="P43" s="5">
        <v>3.9100000000000003E-2</v>
      </c>
      <c r="Q43" s="5">
        <v>8.2400000000000001E-2</v>
      </c>
      <c r="R43" s="81">
        <f t="shared" si="15"/>
        <v>1.8062842029296822E-3</v>
      </c>
      <c r="S43" s="81">
        <f t="shared" si="16"/>
        <v>0</v>
      </c>
      <c r="T43" s="81">
        <f t="shared" si="17"/>
        <v>1.2165450121654502E-3</v>
      </c>
      <c r="U43" s="82">
        <f t="shared" si="18"/>
        <v>-3.7600000000000001E-2</v>
      </c>
      <c r="V43" s="84">
        <f t="shared" si="19"/>
        <v>5.6999999999999967E-3</v>
      </c>
    </row>
    <row r="44" spans="1:22">
      <c r="A44" s="129">
        <v>36</v>
      </c>
      <c r="B44" s="120" t="s">
        <v>76</v>
      </c>
      <c r="C44" s="121" t="s">
        <v>36</v>
      </c>
      <c r="D44" s="13">
        <v>3285293871.8299999</v>
      </c>
      <c r="E44" s="3">
        <f t="shared" si="14"/>
        <v>3.794417750252424E-3</v>
      </c>
      <c r="F44" s="8">
        <v>10</v>
      </c>
      <c r="G44" s="8">
        <v>10</v>
      </c>
      <c r="H44" s="60">
        <v>1876</v>
      </c>
      <c r="I44" s="5">
        <v>0.11559999999999999</v>
      </c>
      <c r="J44" s="5">
        <v>0.11559999999999999</v>
      </c>
      <c r="K44" s="13">
        <v>3285293871.8299999</v>
      </c>
      <c r="L44" s="3">
        <f t="shared" si="8"/>
        <v>3.794417750252424E-3</v>
      </c>
      <c r="M44" s="8">
        <v>10</v>
      </c>
      <c r="N44" s="8">
        <v>10</v>
      </c>
      <c r="O44" s="60">
        <v>1876</v>
      </c>
      <c r="P44" s="5">
        <v>0.11559999999999999</v>
      </c>
      <c r="Q44" s="5">
        <v>0.11559999999999999</v>
      </c>
      <c r="R44" s="81">
        <f t="shared" si="15"/>
        <v>0</v>
      </c>
      <c r="S44" s="81">
        <f t="shared" si="16"/>
        <v>0</v>
      </c>
      <c r="T44" s="81">
        <f t="shared" si="17"/>
        <v>0</v>
      </c>
      <c r="U44" s="82">
        <f t="shared" si="18"/>
        <v>0</v>
      </c>
      <c r="V44" s="84">
        <f t="shared" si="19"/>
        <v>0</v>
      </c>
    </row>
    <row r="45" spans="1:22">
      <c r="A45" s="127">
        <v>37</v>
      </c>
      <c r="B45" s="120" t="s">
        <v>77</v>
      </c>
      <c r="C45" s="121" t="s">
        <v>78</v>
      </c>
      <c r="D45" s="9">
        <v>5755072425.1099997</v>
      </c>
      <c r="E45" s="3">
        <f t="shared" si="14"/>
        <v>6.6469393045991802E-3</v>
      </c>
      <c r="F45" s="8">
        <v>100</v>
      </c>
      <c r="G45" s="8">
        <v>100</v>
      </c>
      <c r="H45" s="60">
        <v>1917</v>
      </c>
      <c r="I45" s="5">
        <v>0.1158</v>
      </c>
      <c r="J45" s="5">
        <v>0.1158</v>
      </c>
      <c r="K45" s="9">
        <v>5197793814.749999</v>
      </c>
      <c r="L45" s="3">
        <f t="shared" si="8"/>
        <v>6.0032989078854064E-3</v>
      </c>
      <c r="M45" s="8">
        <v>100</v>
      </c>
      <c r="N45" s="8">
        <v>100</v>
      </c>
      <c r="O45" s="60">
        <v>1928</v>
      </c>
      <c r="P45" s="5">
        <v>0.1153</v>
      </c>
      <c r="Q45" s="5">
        <v>0.1153</v>
      </c>
      <c r="R45" s="81">
        <f t="shared" si="15"/>
        <v>-9.683259726298736E-2</v>
      </c>
      <c r="S45" s="81">
        <f t="shared" si="16"/>
        <v>0</v>
      </c>
      <c r="T45" s="81">
        <f t="shared" si="17"/>
        <v>5.7381324986958788E-3</v>
      </c>
      <c r="U45" s="82">
        <f t="shared" si="18"/>
        <v>-5.0000000000000044E-4</v>
      </c>
      <c r="V45" s="84">
        <f t="shared" si="19"/>
        <v>-5.0000000000000044E-4</v>
      </c>
    </row>
    <row r="46" spans="1:22">
      <c r="A46" s="133">
        <v>38</v>
      </c>
      <c r="B46" s="120" t="s">
        <v>79</v>
      </c>
      <c r="C46" s="121" t="s">
        <v>80</v>
      </c>
      <c r="D46" s="9">
        <v>182785851.84</v>
      </c>
      <c r="E46" s="3">
        <f t="shared" si="14"/>
        <v>2.1111228029362569E-4</v>
      </c>
      <c r="F46" s="8">
        <v>1</v>
      </c>
      <c r="G46" s="8">
        <v>1</v>
      </c>
      <c r="H46" s="60">
        <v>61</v>
      </c>
      <c r="I46" s="5">
        <v>8.7499999999999994E-2</v>
      </c>
      <c r="J46" s="5">
        <v>8.7499999999999994E-2</v>
      </c>
      <c r="K46" s="9">
        <v>182665852.63999999</v>
      </c>
      <c r="L46" s="3">
        <f t="shared" si="8"/>
        <v>2.1097368474867295E-4</v>
      </c>
      <c r="M46" s="8">
        <v>1</v>
      </c>
      <c r="N46" s="8">
        <v>1</v>
      </c>
      <c r="O46" s="60">
        <v>61</v>
      </c>
      <c r="P46" s="5">
        <v>7.0599999999999996E-2</v>
      </c>
      <c r="Q46" s="5">
        <v>7.0599999999999996E-2</v>
      </c>
      <c r="R46" s="81">
        <f t="shared" si="15"/>
        <v>-6.5650157707533151E-4</v>
      </c>
      <c r="S46" s="81">
        <f t="shared" si="16"/>
        <v>0</v>
      </c>
      <c r="T46" s="81">
        <f t="shared" si="17"/>
        <v>0</v>
      </c>
      <c r="U46" s="82">
        <f t="shared" si="18"/>
        <v>-1.6899999999999998E-2</v>
      </c>
      <c r="V46" s="84">
        <f t="shared" si="19"/>
        <v>-1.6899999999999998E-2</v>
      </c>
    </row>
    <row r="47" spans="1:22">
      <c r="A47" s="128">
        <v>39</v>
      </c>
      <c r="B47" s="120" t="s">
        <v>81</v>
      </c>
      <c r="C47" s="121" t="s">
        <v>38</v>
      </c>
      <c r="D47" s="13">
        <v>613514442.23000002</v>
      </c>
      <c r="E47" s="3">
        <f t="shared" si="14"/>
        <v>7.0859112775107876E-4</v>
      </c>
      <c r="F47" s="8">
        <v>10</v>
      </c>
      <c r="G47" s="8">
        <v>10</v>
      </c>
      <c r="H47" s="60">
        <v>615</v>
      </c>
      <c r="I47" s="5">
        <v>0.1273</v>
      </c>
      <c r="J47" s="5">
        <v>0.1273</v>
      </c>
      <c r="K47" s="13">
        <v>665908872.97000003</v>
      </c>
      <c r="L47" s="3">
        <f t="shared" si="8"/>
        <v>7.6910515351872992E-4</v>
      </c>
      <c r="M47" s="8">
        <v>10</v>
      </c>
      <c r="N47" s="8">
        <v>10</v>
      </c>
      <c r="O47" s="60">
        <v>632</v>
      </c>
      <c r="P47" s="5">
        <v>0.1158</v>
      </c>
      <c r="Q47" s="5">
        <v>0.1158</v>
      </c>
      <c r="R47" s="81">
        <f t="shared" si="15"/>
        <v>8.5400484705065671E-2</v>
      </c>
      <c r="S47" s="81">
        <f t="shared" si="16"/>
        <v>0</v>
      </c>
      <c r="T47" s="81">
        <f t="shared" si="17"/>
        <v>2.7642276422764227E-2</v>
      </c>
      <c r="U47" s="82">
        <f t="shared" si="18"/>
        <v>-1.1499999999999996E-2</v>
      </c>
      <c r="V47" s="84">
        <f t="shared" si="19"/>
        <v>-1.1499999999999996E-2</v>
      </c>
    </row>
    <row r="48" spans="1:22">
      <c r="A48" s="129">
        <v>40</v>
      </c>
      <c r="B48" s="120" t="s">
        <v>82</v>
      </c>
      <c r="C48" s="121" t="s">
        <v>42</v>
      </c>
      <c r="D48" s="9">
        <v>378208823518.59998</v>
      </c>
      <c r="E48" s="3">
        <f t="shared" si="14"/>
        <v>0.4368200621461244</v>
      </c>
      <c r="F48" s="8">
        <v>100</v>
      </c>
      <c r="G48" s="8">
        <v>100</v>
      </c>
      <c r="H48" s="60">
        <v>130561</v>
      </c>
      <c r="I48" s="5">
        <v>9.9299999999999999E-2</v>
      </c>
      <c r="J48" s="5">
        <v>9.9299999999999999E-2</v>
      </c>
      <c r="K48" s="9">
        <v>379435822490.33002</v>
      </c>
      <c r="L48" s="3">
        <f t="shared" si="8"/>
        <v>0.43823720985330367</v>
      </c>
      <c r="M48" s="8">
        <v>100</v>
      </c>
      <c r="N48" s="8">
        <v>100</v>
      </c>
      <c r="O48" s="60">
        <v>130568</v>
      </c>
      <c r="P48" s="5">
        <v>0.1024</v>
      </c>
      <c r="Q48" s="5">
        <v>0.1024</v>
      </c>
      <c r="R48" s="81">
        <f t="shared" si="15"/>
        <v>3.2442367692928739E-3</v>
      </c>
      <c r="S48" s="81">
        <f t="shared" si="16"/>
        <v>0</v>
      </c>
      <c r="T48" s="81">
        <f t="shared" si="17"/>
        <v>5.3614785425969467E-5</v>
      </c>
      <c r="U48" s="82">
        <f t="shared" si="18"/>
        <v>3.1000000000000055E-3</v>
      </c>
      <c r="V48" s="84">
        <f t="shared" si="19"/>
        <v>3.1000000000000055E-3</v>
      </c>
    </row>
    <row r="49" spans="1:22">
      <c r="A49" s="126">
        <v>41</v>
      </c>
      <c r="B49" s="120" t="s">
        <v>83</v>
      </c>
      <c r="C49" s="121" t="s">
        <v>84</v>
      </c>
      <c r="D49" s="9">
        <v>2530663785.7399998</v>
      </c>
      <c r="E49" s="3">
        <f t="shared" si="14"/>
        <v>2.9228422062541554E-3</v>
      </c>
      <c r="F49" s="8">
        <v>1</v>
      </c>
      <c r="G49" s="8">
        <v>1</v>
      </c>
      <c r="H49" s="60">
        <v>321</v>
      </c>
      <c r="I49" s="5">
        <v>0.13795199999999999</v>
      </c>
      <c r="J49" s="5">
        <v>0.13795199999999999</v>
      </c>
      <c r="K49" s="9">
        <v>2508178608.9400001</v>
      </c>
      <c r="L49" s="3">
        <f t="shared" si="8"/>
        <v>2.896872488689754E-3</v>
      </c>
      <c r="M49" s="8">
        <v>1</v>
      </c>
      <c r="N49" s="8">
        <v>1</v>
      </c>
      <c r="O49" s="60">
        <v>314</v>
      </c>
      <c r="P49" s="5">
        <v>0.13892499999999999</v>
      </c>
      <c r="Q49" s="5">
        <v>0.13892499999999999</v>
      </c>
      <c r="R49" s="81">
        <f t="shared" si="15"/>
        <v>-8.8850905152636651E-3</v>
      </c>
      <c r="S49" s="81">
        <f t="shared" si="16"/>
        <v>0</v>
      </c>
      <c r="T49" s="81">
        <f t="shared" si="17"/>
        <v>-2.1806853582554516E-2</v>
      </c>
      <c r="U49" s="82">
        <f t="shared" si="18"/>
        <v>9.7300000000000164E-4</v>
      </c>
      <c r="V49" s="84">
        <f t="shared" si="19"/>
        <v>9.7300000000000164E-4</v>
      </c>
    </row>
    <row r="50" spans="1:22">
      <c r="A50" s="127">
        <v>42</v>
      </c>
      <c r="B50" s="120" t="s">
        <v>85</v>
      </c>
      <c r="C50" s="121" t="s">
        <v>45</v>
      </c>
      <c r="D50" s="9">
        <v>43893195513.599998</v>
      </c>
      <c r="E50" s="3">
        <f t="shared" si="14"/>
        <v>5.0695349235023356E-2</v>
      </c>
      <c r="F50" s="8">
        <v>1</v>
      </c>
      <c r="G50" s="8">
        <v>1</v>
      </c>
      <c r="H50" s="60">
        <v>18505</v>
      </c>
      <c r="I50" s="5">
        <v>9.8699999999999996E-2</v>
      </c>
      <c r="J50" s="5">
        <v>9.8699999999999996E-2</v>
      </c>
      <c r="K50" s="9">
        <v>45848781777.639999</v>
      </c>
      <c r="L50" s="3">
        <f t="shared" si="8"/>
        <v>5.2953993825709512E-2</v>
      </c>
      <c r="M50" s="8">
        <v>1</v>
      </c>
      <c r="N50" s="8">
        <v>1</v>
      </c>
      <c r="O50" s="60">
        <v>18694</v>
      </c>
      <c r="P50" s="5">
        <v>0.10639999999999999</v>
      </c>
      <c r="Q50" s="5">
        <v>0.10639999999999999</v>
      </c>
      <c r="R50" s="81">
        <f t="shared" si="15"/>
        <v>4.4553289892828064E-2</v>
      </c>
      <c r="S50" s="81">
        <f t="shared" si="16"/>
        <v>0</v>
      </c>
      <c r="T50" s="81">
        <f t="shared" si="17"/>
        <v>1.0213455822750609E-2</v>
      </c>
      <c r="U50" s="82">
        <f t="shared" si="18"/>
        <v>7.6999999999999985E-3</v>
      </c>
      <c r="V50" s="84">
        <f t="shared" si="19"/>
        <v>7.6999999999999985E-3</v>
      </c>
    </row>
    <row r="51" spans="1:22">
      <c r="A51" s="127">
        <v>43</v>
      </c>
      <c r="B51" s="120" t="s">
        <v>86</v>
      </c>
      <c r="C51" s="121" t="s">
        <v>87</v>
      </c>
      <c r="D51" s="9">
        <v>1843998294.1700001</v>
      </c>
      <c r="E51" s="3">
        <f t="shared" si="14"/>
        <v>2.129763769028179E-3</v>
      </c>
      <c r="F51" s="8">
        <v>1</v>
      </c>
      <c r="G51" s="8">
        <v>1</v>
      </c>
      <c r="H51" s="60">
        <v>56</v>
      </c>
      <c r="I51" s="5">
        <v>8.0500000000000002E-2</v>
      </c>
      <c r="J51" s="5">
        <v>8.0500000000000002E-2</v>
      </c>
      <c r="K51" s="9">
        <v>1850612253.3800001</v>
      </c>
      <c r="L51" s="3">
        <f t="shared" si="8"/>
        <v>2.1374026972960755E-3</v>
      </c>
      <c r="M51" s="8">
        <v>1</v>
      </c>
      <c r="N51" s="8">
        <v>1</v>
      </c>
      <c r="O51" s="60">
        <v>56</v>
      </c>
      <c r="P51" s="5">
        <v>8.3199999999999996E-2</v>
      </c>
      <c r="Q51" s="5">
        <v>8.3199999999999996E-2</v>
      </c>
      <c r="R51" s="81">
        <f t="shared" si="15"/>
        <v>3.5867490934838632E-3</v>
      </c>
      <c r="S51" s="81">
        <f t="shared" si="16"/>
        <v>0</v>
      </c>
      <c r="T51" s="81">
        <f t="shared" si="17"/>
        <v>0</v>
      </c>
      <c r="U51" s="82">
        <f t="shared" si="18"/>
        <v>2.6999999999999941E-3</v>
      </c>
      <c r="V51" s="84">
        <f t="shared" si="19"/>
        <v>2.6999999999999941E-3</v>
      </c>
    </row>
    <row r="52" spans="1:22">
      <c r="A52" s="127">
        <v>44</v>
      </c>
      <c r="B52" s="120" t="s">
        <v>88</v>
      </c>
      <c r="C52" s="121" t="s">
        <v>89</v>
      </c>
      <c r="D52" s="9">
        <v>963438758.21000004</v>
      </c>
      <c r="E52" s="3">
        <f t="shared" si="14"/>
        <v>1.1127434159784485E-3</v>
      </c>
      <c r="F52" s="8">
        <v>1</v>
      </c>
      <c r="G52" s="8">
        <v>1</v>
      </c>
      <c r="H52" s="60">
        <v>206</v>
      </c>
      <c r="I52" s="5">
        <v>0.1012</v>
      </c>
      <c r="J52" s="5">
        <v>0.1012</v>
      </c>
      <c r="K52" s="9">
        <v>947335535.28999996</v>
      </c>
      <c r="L52" s="3">
        <f t="shared" si="8"/>
        <v>1.0941446673526875E-3</v>
      </c>
      <c r="M52" s="8">
        <v>1</v>
      </c>
      <c r="N52" s="8">
        <v>1</v>
      </c>
      <c r="O52" s="60">
        <v>206</v>
      </c>
      <c r="P52" s="5">
        <v>0.1007</v>
      </c>
      <c r="Q52" s="5">
        <v>0.1007</v>
      </c>
      <c r="R52" s="81">
        <f t="shared" si="15"/>
        <v>-1.671431918508106E-2</v>
      </c>
      <c r="S52" s="81">
        <f t="shared" si="16"/>
        <v>0</v>
      </c>
      <c r="T52" s="81">
        <f t="shared" si="17"/>
        <v>0</v>
      </c>
      <c r="U52" s="82">
        <f t="shared" si="18"/>
        <v>-5.0000000000000044E-4</v>
      </c>
      <c r="V52" s="84">
        <f t="shared" si="19"/>
        <v>-5.0000000000000044E-4</v>
      </c>
    </row>
    <row r="53" spans="1:22">
      <c r="A53" s="126">
        <v>45</v>
      </c>
      <c r="B53" s="120" t="s">
        <v>90</v>
      </c>
      <c r="C53" s="121" t="s">
        <v>91</v>
      </c>
      <c r="D53" s="9">
        <v>26219305103.240002</v>
      </c>
      <c r="E53" s="3">
        <f t="shared" si="14"/>
        <v>3.0282525875714374E-2</v>
      </c>
      <c r="F53" s="8">
        <v>1</v>
      </c>
      <c r="G53" s="8">
        <v>1</v>
      </c>
      <c r="H53" s="60">
        <v>3047</v>
      </c>
      <c r="I53" s="5">
        <v>0.1081</v>
      </c>
      <c r="J53" s="5">
        <v>0.1081</v>
      </c>
      <c r="K53" s="9">
        <v>25946779698.580002</v>
      </c>
      <c r="L53" s="3">
        <f t="shared" si="8"/>
        <v>2.9967767052552954E-2</v>
      </c>
      <c r="M53" s="8">
        <v>1</v>
      </c>
      <c r="N53" s="8">
        <v>1</v>
      </c>
      <c r="O53" s="60">
        <v>3048</v>
      </c>
      <c r="P53" s="5">
        <v>0.109</v>
      </c>
      <c r="Q53" s="5">
        <v>0.109</v>
      </c>
      <c r="R53" s="81">
        <f t="shared" si="15"/>
        <v>-1.0394074274162324E-2</v>
      </c>
      <c r="S53" s="81">
        <f t="shared" si="16"/>
        <v>0</v>
      </c>
      <c r="T53" s="81">
        <f t="shared" si="17"/>
        <v>3.2819166393173612E-4</v>
      </c>
      <c r="U53" s="82">
        <f t="shared" si="18"/>
        <v>8.9999999999999802E-4</v>
      </c>
      <c r="V53" s="84">
        <f t="shared" si="19"/>
        <v>8.9999999999999802E-4</v>
      </c>
    </row>
    <row r="54" spans="1:22">
      <c r="A54" s="76"/>
      <c r="B54" s="19"/>
      <c r="C54" s="72" t="s">
        <v>46</v>
      </c>
      <c r="D54" s="59">
        <f>SUM(D25:D53)</f>
        <v>861362592384.79565</v>
      </c>
      <c r="E54" s="105">
        <f>(D54/$D$175)</f>
        <v>0.42972416096378313</v>
      </c>
      <c r="F54" s="30"/>
      <c r="G54" s="11"/>
      <c r="H54" s="66">
        <f>SUM(H25:H53)</f>
        <v>284552</v>
      </c>
      <c r="I54" s="32"/>
      <c r="J54" s="32"/>
      <c r="K54" s="59">
        <f>SUM(K25:K53)</f>
        <v>865822924113.04614</v>
      </c>
      <c r="L54" s="105">
        <f>(K54/$K$175)</f>
        <v>0.42865068436637094</v>
      </c>
      <c r="M54" s="30"/>
      <c r="N54" s="11"/>
      <c r="O54" s="66">
        <f>SUM(O25:O53)</f>
        <v>285098</v>
      </c>
      <c r="P54" s="32"/>
      <c r="Q54" s="32"/>
      <c r="R54" s="81">
        <f t="shared" si="15"/>
        <v>5.1782278075269937E-3</v>
      </c>
      <c r="S54" s="81" t="e">
        <f t="shared" si="16"/>
        <v>#DIV/0!</v>
      </c>
      <c r="T54" s="81">
        <f t="shared" si="17"/>
        <v>1.9188057015940847E-3</v>
      </c>
      <c r="U54" s="82">
        <f t="shared" si="18"/>
        <v>0</v>
      </c>
      <c r="V54" s="84">
        <f t="shared" si="19"/>
        <v>0</v>
      </c>
    </row>
    <row r="55" spans="1:22" ht="9" customHeight="1">
      <c r="A55" s="134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</row>
    <row r="56" spans="1:22" ht="15" customHeight="1">
      <c r="A56" s="141" t="s">
        <v>92</v>
      </c>
      <c r="B56" s="141"/>
      <c r="C56" s="141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</row>
    <row r="57" spans="1:22">
      <c r="A57" s="129">
        <v>46</v>
      </c>
      <c r="B57" s="120" t="s">
        <v>93</v>
      </c>
      <c r="C57" s="121" t="s">
        <v>19</v>
      </c>
      <c r="D57" s="2">
        <v>476093029.44</v>
      </c>
      <c r="E57" s="3">
        <f>(D57/$D$88)</f>
        <v>1.5895279104807931E-3</v>
      </c>
      <c r="F57" s="14">
        <v>1.2315</v>
      </c>
      <c r="G57" s="14">
        <v>1.2315</v>
      </c>
      <c r="H57" s="60">
        <v>392</v>
      </c>
      <c r="I57" s="5">
        <v>3.2499999999999999E-4</v>
      </c>
      <c r="J57" s="5">
        <v>2.0000000000000001E-4</v>
      </c>
      <c r="K57" s="2">
        <v>469203576.20999998</v>
      </c>
      <c r="L57" s="3">
        <f t="shared" ref="L57:L87" si="20">(K57/$K$88)</f>
        <v>1.5728314379702274E-3</v>
      </c>
      <c r="M57" s="14">
        <v>1.2137</v>
      </c>
      <c r="N57" s="14">
        <v>1.2137</v>
      </c>
      <c r="O57" s="60">
        <v>392</v>
      </c>
      <c r="P57" s="5">
        <v>2.4699999999999999E-4</v>
      </c>
      <c r="Q57" s="5">
        <v>-1.4200000000000001E-2</v>
      </c>
      <c r="R57" s="81">
        <f t="shared" ref="R57" si="21">((K57-D57)/D57)</f>
        <v>-1.4470813063790651E-2</v>
      </c>
      <c r="S57" s="81">
        <f t="shared" ref="S57" si="22">((N57-G57)/G57)</f>
        <v>-1.4453917986195726E-2</v>
      </c>
      <c r="T57" s="81">
        <f t="shared" ref="T57" si="23">((O57-H57)/H57)</f>
        <v>0</v>
      </c>
      <c r="U57" s="82">
        <f t="shared" ref="U57" si="24">P57-I57</f>
        <v>-7.7999999999999999E-5</v>
      </c>
      <c r="V57" s="84">
        <f t="shared" ref="V57" si="25">Q57-J57</f>
        <v>-1.4400000000000001E-2</v>
      </c>
    </row>
    <row r="58" spans="1:22">
      <c r="A58" s="129">
        <v>47</v>
      </c>
      <c r="B58" s="120" t="s">
        <v>94</v>
      </c>
      <c r="C58" s="121" t="s">
        <v>21</v>
      </c>
      <c r="D58" s="2">
        <v>1129967987.8</v>
      </c>
      <c r="E58" s="3">
        <f>(D58/$D$88)</f>
        <v>3.7726148956026186E-3</v>
      </c>
      <c r="F58" s="14">
        <v>1.1477999999999999</v>
      </c>
      <c r="G58" s="14">
        <v>1.1477999999999999</v>
      </c>
      <c r="H58" s="60">
        <v>554</v>
      </c>
      <c r="I58" s="5">
        <v>1.8200000000000001E-2</v>
      </c>
      <c r="J58" s="5">
        <v>4.2200000000000001E-2</v>
      </c>
      <c r="K58" s="2">
        <v>1062812205.04</v>
      </c>
      <c r="L58" s="3">
        <f t="shared" si="20"/>
        <v>3.5626847993102412E-3</v>
      </c>
      <c r="M58" s="14">
        <v>1.1477999999999999</v>
      </c>
      <c r="N58" s="14">
        <v>1.1477999999999999</v>
      </c>
      <c r="O58" s="60">
        <v>554</v>
      </c>
      <c r="P58" s="5">
        <v>0</v>
      </c>
      <c r="Q58" s="5">
        <v>4.1300000000000003E-2</v>
      </c>
      <c r="R58" s="81">
        <f t="shared" ref="R58:R88" si="26">((K58-D58)/D58)</f>
        <v>-5.9431579907630365E-2</v>
      </c>
      <c r="S58" s="81">
        <f t="shared" ref="S58:S88" si="27">((N58-G58)/G58)</f>
        <v>0</v>
      </c>
      <c r="T58" s="81">
        <f t="shared" ref="T58:T88" si="28">((O58-H58)/H58)</f>
        <v>0</v>
      </c>
      <c r="U58" s="82">
        <f t="shared" ref="U58:U88" si="29">P58-I58</f>
        <v>-1.8200000000000001E-2</v>
      </c>
      <c r="V58" s="84">
        <f t="shared" ref="V58:V88" si="30">Q58-J58</f>
        <v>-8.9999999999999802E-4</v>
      </c>
    </row>
    <row r="59" spans="1:22">
      <c r="A59" s="129">
        <v>48</v>
      </c>
      <c r="B59" s="120" t="s">
        <v>95</v>
      </c>
      <c r="C59" s="121" t="s">
        <v>21</v>
      </c>
      <c r="D59" s="2">
        <v>989376702.07000005</v>
      </c>
      <c r="E59" s="3">
        <f>(D59/$D$88)</f>
        <v>3.3032239177488289E-3</v>
      </c>
      <c r="F59" s="14">
        <v>1.0561</v>
      </c>
      <c r="G59" s="14">
        <v>1.0561</v>
      </c>
      <c r="H59" s="60">
        <v>143</v>
      </c>
      <c r="I59" s="5">
        <v>8.4099999999999994E-2</v>
      </c>
      <c r="J59" s="5">
        <v>2.3199999999999998E-2</v>
      </c>
      <c r="K59" s="2">
        <v>987439645.13999999</v>
      </c>
      <c r="L59" s="3">
        <f t="shared" si="20"/>
        <v>3.3100261714101935E-3</v>
      </c>
      <c r="M59" s="14">
        <v>1.0575000000000001</v>
      </c>
      <c r="N59" s="14">
        <v>1.0575000000000001</v>
      </c>
      <c r="O59" s="60">
        <v>143</v>
      </c>
      <c r="P59" s="5">
        <v>6.9099999999999995E-2</v>
      </c>
      <c r="Q59" s="5">
        <v>2.4299999999999999E-2</v>
      </c>
      <c r="R59" s="81">
        <f t="shared" si="26"/>
        <v>-1.9578558156335248E-3</v>
      </c>
      <c r="S59" s="81">
        <f t="shared" si="27"/>
        <v>1.3256320424202895E-3</v>
      </c>
      <c r="T59" s="81">
        <f t="shared" si="28"/>
        <v>0</v>
      </c>
      <c r="U59" s="82">
        <f t="shared" si="29"/>
        <v>-1.4999999999999999E-2</v>
      </c>
      <c r="V59" s="84">
        <f t="shared" si="30"/>
        <v>1.1000000000000003E-3</v>
      </c>
    </row>
    <row r="60" spans="1:22">
      <c r="A60" s="129">
        <v>49</v>
      </c>
      <c r="B60" s="120" t="s">
        <v>96</v>
      </c>
      <c r="C60" s="121" t="s">
        <v>97</v>
      </c>
      <c r="D60" s="2">
        <v>255268266.58000001</v>
      </c>
      <c r="E60" s="3">
        <f>(D60/$D$88)</f>
        <v>8.5226207757384774E-4</v>
      </c>
      <c r="F60" s="7">
        <v>1120.53</v>
      </c>
      <c r="G60" s="7">
        <v>1120.53</v>
      </c>
      <c r="H60" s="60">
        <v>112</v>
      </c>
      <c r="I60" s="5">
        <v>-2.2000000000000001E-3</v>
      </c>
      <c r="J60" s="5">
        <v>4.6399999999999997E-2</v>
      </c>
      <c r="K60" s="2">
        <v>255808357.59</v>
      </c>
      <c r="L60" s="3">
        <f t="shared" si="20"/>
        <v>8.5750289919573469E-4</v>
      </c>
      <c r="M60" s="7">
        <v>1122.56</v>
      </c>
      <c r="N60" s="7">
        <v>1122.56</v>
      </c>
      <c r="O60" s="60">
        <v>113</v>
      </c>
      <c r="P60" s="5">
        <v>1.4E-3</v>
      </c>
      <c r="Q60" s="5">
        <v>4.82E-2</v>
      </c>
      <c r="R60" s="81">
        <f t="shared" si="26"/>
        <v>2.1157781076196879E-3</v>
      </c>
      <c r="S60" s="81">
        <f t="shared" si="27"/>
        <v>1.8116427047914583E-3</v>
      </c>
      <c r="T60" s="81">
        <f t="shared" si="28"/>
        <v>8.9285714285714281E-3</v>
      </c>
      <c r="U60" s="82">
        <f t="shared" si="29"/>
        <v>3.5999999999999999E-3</v>
      </c>
      <c r="V60" s="84">
        <f t="shared" si="30"/>
        <v>1.800000000000003E-3</v>
      </c>
    </row>
    <row r="61" spans="1:22" ht="15" customHeight="1">
      <c r="A61" s="133">
        <v>50</v>
      </c>
      <c r="B61" s="120" t="s">
        <v>98</v>
      </c>
      <c r="C61" s="121" t="s">
        <v>99</v>
      </c>
      <c r="D61" s="2">
        <v>1457069750.22</v>
      </c>
      <c r="E61" s="3">
        <f>(D61/$K$88)</f>
        <v>4.8842873896505472E-3</v>
      </c>
      <c r="F61" s="7">
        <v>1.0387999999999999</v>
      </c>
      <c r="G61" s="7">
        <v>1.0387999999999999</v>
      </c>
      <c r="H61" s="60">
        <v>781</v>
      </c>
      <c r="I61" s="5">
        <v>1.12E-2</v>
      </c>
      <c r="J61" s="5">
        <v>7.0199999999999999E-2</v>
      </c>
      <c r="K61" s="2">
        <v>1457110940.1800001</v>
      </c>
      <c r="L61" s="3">
        <f t="shared" si="20"/>
        <v>4.8844254637559073E-3</v>
      </c>
      <c r="M61" s="7">
        <v>1.0408999999999999</v>
      </c>
      <c r="N61" s="7">
        <v>1.0408999999999999</v>
      </c>
      <c r="O61" s="60">
        <v>783</v>
      </c>
      <c r="P61" s="5">
        <v>1.32E-2</v>
      </c>
      <c r="Q61" s="5">
        <v>7.22E-2</v>
      </c>
      <c r="R61" s="81">
        <f t="shared" si="26"/>
        <v>2.8269037905576559E-5</v>
      </c>
      <c r="S61" s="81">
        <f t="shared" si="27"/>
        <v>2.0215633423180503E-3</v>
      </c>
      <c r="T61" s="81">
        <f t="shared" si="28"/>
        <v>2.5608194622279128E-3</v>
      </c>
      <c r="U61" s="82">
        <f t="shared" si="29"/>
        <v>2E-3</v>
      </c>
      <c r="V61" s="84">
        <f t="shared" si="30"/>
        <v>2.0000000000000018E-3</v>
      </c>
    </row>
    <row r="62" spans="1:22">
      <c r="A62" s="126">
        <v>51</v>
      </c>
      <c r="B62" s="120" t="s">
        <v>100</v>
      </c>
      <c r="C62" s="121" t="s">
        <v>101</v>
      </c>
      <c r="D62" s="2">
        <v>425943695.97959042</v>
      </c>
      <c r="E62" s="3">
        <f t="shared" ref="E62:E87" si="31">(D62/$D$88)</f>
        <v>1.4220947402848506E-3</v>
      </c>
      <c r="F62" s="7">
        <v>2.2075999999999998</v>
      </c>
      <c r="G62" s="7">
        <v>2.2075999999999998</v>
      </c>
      <c r="H62" s="60">
        <v>1402</v>
      </c>
      <c r="I62" s="5">
        <v>0.104134246291108</v>
      </c>
      <c r="J62" s="5">
        <v>6.6524225692634303E-2</v>
      </c>
      <c r="K62" s="2">
        <v>420972044.40987921</v>
      </c>
      <c r="L62" s="3">
        <f t="shared" si="20"/>
        <v>1.4111530677211092E-3</v>
      </c>
      <c r="M62" s="7">
        <v>2.2121</v>
      </c>
      <c r="N62" s="7">
        <v>2.2121</v>
      </c>
      <c r="O62" s="60">
        <v>1400</v>
      </c>
      <c r="P62" s="5">
        <v>0.10630000000000001</v>
      </c>
      <c r="Q62" s="5">
        <v>9.4799999999999995E-2</v>
      </c>
      <c r="R62" s="81">
        <f t="shared" si="26"/>
        <v>-1.1672086279566469E-2</v>
      </c>
      <c r="S62" s="81">
        <f t="shared" si="27"/>
        <v>2.0384127559341233E-3</v>
      </c>
      <c r="T62" s="81">
        <f t="shared" si="28"/>
        <v>-1.4265335235378032E-3</v>
      </c>
      <c r="U62" s="82">
        <f t="shared" si="29"/>
        <v>2.165753708892007E-3</v>
      </c>
      <c r="V62" s="84">
        <f t="shared" si="30"/>
        <v>2.8275774307365692E-2</v>
      </c>
    </row>
    <row r="63" spans="1:22">
      <c r="A63" s="128">
        <v>52</v>
      </c>
      <c r="B63" s="120" t="s">
        <v>102</v>
      </c>
      <c r="C63" s="121" t="s">
        <v>56</v>
      </c>
      <c r="D63" s="2">
        <v>2570358161.5999198</v>
      </c>
      <c r="E63" s="3">
        <f t="shared" si="31"/>
        <v>8.5816338092596905E-3</v>
      </c>
      <c r="F63" s="2">
        <v>3952.2874898816699</v>
      </c>
      <c r="G63" s="2">
        <v>3952.2874898816699</v>
      </c>
      <c r="H63" s="60">
        <v>1033</v>
      </c>
      <c r="I63" s="5">
        <v>6.8948042206047666E-2</v>
      </c>
      <c r="J63" s="5">
        <v>7.5210540815445773E-2</v>
      </c>
      <c r="K63" s="2">
        <v>2586805310.3988099</v>
      </c>
      <c r="L63" s="3">
        <f t="shared" si="20"/>
        <v>8.671307983131411E-3</v>
      </c>
      <c r="M63" s="2">
        <v>3957.9333687263502</v>
      </c>
      <c r="N63" s="2">
        <v>3957.9333687263502</v>
      </c>
      <c r="O63" s="60">
        <v>1034</v>
      </c>
      <c r="P63" s="5">
        <v>7.4486548561490729E-2</v>
      </c>
      <c r="Q63" s="5">
        <v>7.5299848862777935E-2</v>
      </c>
      <c r="R63" s="81">
        <f t="shared" si="26"/>
        <v>6.398777043839129E-3</v>
      </c>
      <c r="S63" s="81">
        <f t="shared" si="27"/>
        <v>1.4285091504943428E-3</v>
      </c>
      <c r="T63" s="81">
        <f t="shared" si="28"/>
        <v>9.6805421103581804E-4</v>
      </c>
      <c r="U63" s="82">
        <f t="shared" si="29"/>
        <v>5.5385063554430625E-3</v>
      </c>
      <c r="V63" s="84">
        <f t="shared" si="30"/>
        <v>8.9308047332162244E-5</v>
      </c>
    </row>
    <row r="64" spans="1:22">
      <c r="A64" s="125">
        <v>53</v>
      </c>
      <c r="B64" s="120" t="s">
        <v>103</v>
      </c>
      <c r="C64" s="121" t="s">
        <v>58</v>
      </c>
      <c r="D64" s="2">
        <v>322295164.39999998</v>
      </c>
      <c r="E64" s="3">
        <f t="shared" si="31"/>
        <v>1.0760442341056335E-3</v>
      </c>
      <c r="F64" s="14">
        <v>106.06</v>
      </c>
      <c r="G64" s="14">
        <v>106.06</v>
      </c>
      <c r="H64" s="60">
        <v>120</v>
      </c>
      <c r="I64" s="5">
        <v>1.9E-3</v>
      </c>
      <c r="J64" s="5">
        <v>0.1007</v>
      </c>
      <c r="K64" s="2">
        <v>323065342.55000001</v>
      </c>
      <c r="L64" s="3">
        <f t="shared" si="20"/>
        <v>1.0829570639372954E-3</v>
      </c>
      <c r="M64" s="14">
        <v>106.27</v>
      </c>
      <c r="N64" s="14">
        <v>106.27</v>
      </c>
      <c r="O64" s="60">
        <v>120</v>
      </c>
      <c r="P64" s="5">
        <v>2E-3</v>
      </c>
      <c r="Q64" s="5">
        <v>0.1009</v>
      </c>
      <c r="R64" s="81">
        <f t="shared" si="26"/>
        <v>2.3896670973448703E-3</v>
      </c>
      <c r="S64" s="81">
        <f t="shared" si="27"/>
        <v>1.9800113143503086E-3</v>
      </c>
      <c r="T64" s="81">
        <f t="shared" si="28"/>
        <v>0</v>
      </c>
      <c r="U64" s="82">
        <f t="shared" si="29"/>
        <v>1.0000000000000005E-4</v>
      </c>
      <c r="V64" s="84">
        <f t="shared" si="30"/>
        <v>2.0000000000000573E-4</v>
      </c>
    </row>
    <row r="65" spans="1:22">
      <c r="A65" s="129">
        <v>54</v>
      </c>
      <c r="B65" s="120" t="s">
        <v>104</v>
      </c>
      <c r="C65" s="121" t="s">
        <v>105</v>
      </c>
      <c r="D65" s="2">
        <v>316200584.10000002</v>
      </c>
      <c r="E65" s="3">
        <f t="shared" si="31"/>
        <v>1.0556963086152916E-3</v>
      </c>
      <c r="F65" s="14">
        <v>1.3652</v>
      </c>
      <c r="G65" s="14">
        <v>1.3652</v>
      </c>
      <c r="H65" s="60">
        <v>304</v>
      </c>
      <c r="I65" s="5">
        <v>-1.5220370771117486E-2</v>
      </c>
      <c r="J65" s="5">
        <v>1.2847287165868027E-2</v>
      </c>
      <c r="K65" s="2">
        <v>315000000</v>
      </c>
      <c r="L65" s="3">
        <f t="shared" si="20"/>
        <v>1.0559209862860855E-3</v>
      </c>
      <c r="M65" s="14">
        <v>1.3601000000000001</v>
      </c>
      <c r="N65" s="14">
        <v>1.3601000000000001</v>
      </c>
      <c r="O65" s="60">
        <v>305</v>
      </c>
      <c r="P65" s="5">
        <v>-3.7357163785525227E-3</v>
      </c>
      <c r="Q65" s="5">
        <v>9.2258996774068347E-3</v>
      </c>
      <c r="R65" s="81">
        <f t="shared" si="26"/>
        <v>-3.7969066484087616E-3</v>
      </c>
      <c r="S65" s="81">
        <f t="shared" si="27"/>
        <v>-3.7357163785525071E-3</v>
      </c>
      <c r="T65" s="81">
        <f t="shared" si="28"/>
        <v>3.2894736842105261E-3</v>
      </c>
      <c r="U65" s="82">
        <f t="shared" si="29"/>
        <v>1.1484654392564964E-2</v>
      </c>
      <c r="V65" s="84">
        <f t="shared" si="30"/>
        <v>-3.6213874884611919E-3</v>
      </c>
    </row>
    <row r="66" spans="1:22">
      <c r="A66" s="126">
        <v>55</v>
      </c>
      <c r="B66" s="120" t="s">
        <v>106</v>
      </c>
      <c r="C66" s="121" t="s">
        <v>25</v>
      </c>
      <c r="D66" s="2">
        <v>64661332.060000002</v>
      </c>
      <c r="E66" s="3">
        <f t="shared" si="31"/>
        <v>2.1588426144178522E-4</v>
      </c>
      <c r="F66" s="14">
        <v>110.5839</v>
      </c>
      <c r="G66" s="14">
        <v>110.5839</v>
      </c>
      <c r="H66" s="60">
        <v>77</v>
      </c>
      <c r="I66" s="5">
        <v>3.3300000000000002E-4</v>
      </c>
      <c r="J66" s="5">
        <v>8.4900000000000003E-2</v>
      </c>
      <c r="K66" s="2">
        <v>66286208.640000001</v>
      </c>
      <c r="L66" s="3">
        <f t="shared" si="20"/>
        <v>2.2219999620417153E-4</v>
      </c>
      <c r="M66" s="14">
        <v>110.83839999999999</v>
      </c>
      <c r="N66" s="14">
        <v>110.83839999999999</v>
      </c>
      <c r="O66" s="60">
        <v>80</v>
      </c>
      <c r="P66" s="5">
        <v>3.2899999999999997E-4</v>
      </c>
      <c r="Q66" s="5">
        <v>8.7400000000000005E-2</v>
      </c>
      <c r="R66" s="81">
        <f t="shared" si="26"/>
        <v>2.5129030414842927E-2</v>
      </c>
      <c r="S66" s="81">
        <f t="shared" si="27"/>
        <v>2.3014200077949238E-3</v>
      </c>
      <c r="T66" s="81">
        <f t="shared" si="28"/>
        <v>3.896103896103896E-2</v>
      </c>
      <c r="U66" s="82">
        <f t="shared" si="29"/>
        <v>-4.000000000000043E-6</v>
      </c>
      <c r="V66" s="84">
        <f t="shared" si="30"/>
        <v>2.5000000000000022E-3</v>
      </c>
    </row>
    <row r="67" spans="1:22">
      <c r="A67" s="128">
        <v>56</v>
      </c>
      <c r="B67" s="120" t="s">
        <v>107</v>
      </c>
      <c r="C67" s="121" t="s">
        <v>108</v>
      </c>
      <c r="D67" s="2">
        <v>1241144553.1000001</v>
      </c>
      <c r="E67" s="3">
        <f t="shared" si="31"/>
        <v>4.1437991865039244E-3</v>
      </c>
      <c r="F67" s="7">
        <v>1000</v>
      </c>
      <c r="G67" s="7">
        <v>1000</v>
      </c>
      <c r="H67" s="60">
        <v>260</v>
      </c>
      <c r="I67" s="5">
        <v>7.1515400608081995E-5</v>
      </c>
      <c r="J67" s="5">
        <v>0.16500000000000001</v>
      </c>
      <c r="K67" s="2">
        <v>1240974515.3</v>
      </c>
      <c r="L67" s="3">
        <f t="shared" si="20"/>
        <v>4.1599080449253104E-3</v>
      </c>
      <c r="M67" s="7">
        <v>1000</v>
      </c>
      <c r="N67" s="7">
        <v>1000</v>
      </c>
      <c r="O67" s="60">
        <v>260</v>
      </c>
      <c r="P67" s="5">
        <v>1.37019574458552E-6</v>
      </c>
      <c r="Q67" s="5">
        <v>0.15190000000000001</v>
      </c>
      <c r="R67" s="81">
        <f t="shared" si="26"/>
        <v>-1.3700080266677094E-4</v>
      </c>
      <c r="S67" s="81">
        <f t="shared" si="27"/>
        <v>0</v>
      </c>
      <c r="T67" s="81">
        <f t="shared" si="28"/>
        <v>0</v>
      </c>
      <c r="U67" s="82">
        <f t="shared" si="29"/>
        <v>-7.0145204863496474E-5</v>
      </c>
      <c r="V67" s="84">
        <f t="shared" si="30"/>
        <v>-1.3100000000000001E-2</v>
      </c>
    </row>
    <row r="68" spans="1:22">
      <c r="A68" s="128">
        <v>57</v>
      </c>
      <c r="B68" s="120" t="s">
        <v>109</v>
      </c>
      <c r="C68" s="121" t="s">
        <v>64</v>
      </c>
      <c r="D68" s="2">
        <v>246557876.34</v>
      </c>
      <c r="E68" s="3">
        <f t="shared" si="31"/>
        <v>8.231807687927781E-4</v>
      </c>
      <c r="F68" s="7">
        <v>1105.47</v>
      </c>
      <c r="G68" s="7">
        <v>1117.6099999999999</v>
      </c>
      <c r="H68" s="60">
        <v>82</v>
      </c>
      <c r="I68" s="5">
        <v>2.0999999999999999E-3</v>
      </c>
      <c r="J68" s="5">
        <v>6.8599999999999994E-2</v>
      </c>
      <c r="K68" s="2">
        <v>233416345.90000001</v>
      </c>
      <c r="L68" s="3">
        <f t="shared" si="20"/>
        <v>7.8244196246991132E-4</v>
      </c>
      <c r="M68" s="7">
        <v>1107.1400000000001</v>
      </c>
      <c r="N68" s="7">
        <v>1120.1099999999999</v>
      </c>
      <c r="O68" s="60">
        <v>82</v>
      </c>
      <c r="P68" s="5">
        <v>-1.5E-3</v>
      </c>
      <c r="Q68" s="5">
        <v>6.7100000000000007E-2</v>
      </c>
      <c r="R68" s="81">
        <f t="shared" si="26"/>
        <v>-5.3299982280338928E-2</v>
      </c>
      <c r="S68" s="81">
        <f t="shared" si="27"/>
        <v>2.2369162766975961E-3</v>
      </c>
      <c r="T68" s="81">
        <f t="shared" si="28"/>
        <v>0</v>
      </c>
      <c r="U68" s="82">
        <f t="shared" si="29"/>
        <v>-3.5999999999999999E-3</v>
      </c>
      <c r="V68" s="84">
        <f t="shared" si="30"/>
        <v>-1.4999999999999875E-3</v>
      </c>
    </row>
    <row r="69" spans="1:22">
      <c r="A69" s="128">
        <v>58</v>
      </c>
      <c r="B69" s="120" t="s">
        <v>110</v>
      </c>
      <c r="C69" s="121" t="s">
        <v>67</v>
      </c>
      <c r="D69" s="2">
        <v>741258654.32000005</v>
      </c>
      <c r="E69" s="3">
        <f t="shared" si="31"/>
        <v>2.4748342174070082E-3</v>
      </c>
      <c r="F69" s="15">
        <v>1.0923</v>
      </c>
      <c r="G69" s="15">
        <v>1.0923</v>
      </c>
      <c r="H69" s="60">
        <v>38</v>
      </c>
      <c r="I69" s="5">
        <v>1.9262520638414883E-3</v>
      </c>
      <c r="J69" s="5">
        <v>9.8002655170870798E-2</v>
      </c>
      <c r="K69" s="2">
        <v>741258654.32000005</v>
      </c>
      <c r="L69" s="3">
        <f t="shared" si="20"/>
        <v>2.4847954582941931E-3</v>
      </c>
      <c r="M69" s="15">
        <v>1.0920000000000001</v>
      </c>
      <c r="N69" s="15">
        <v>1.0920000000000001</v>
      </c>
      <c r="O69" s="60">
        <v>38</v>
      </c>
      <c r="P69" s="5">
        <v>-2.7464982147758579E-4</v>
      </c>
      <c r="Q69" s="5">
        <v>9.5545973866795322E-2</v>
      </c>
      <c r="R69" s="81">
        <f t="shared" si="26"/>
        <v>0</v>
      </c>
      <c r="S69" s="81">
        <f t="shared" si="27"/>
        <v>-2.7464982147758579E-4</v>
      </c>
      <c r="T69" s="81">
        <f t="shared" si="28"/>
        <v>0</v>
      </c>
      <c r="U69" s="82">
        <f t="shared" si="29"/>
        <v>-2.200901885319074E-3</v>
      </c>
      <c r="V69" s="84">
        <f t="shared" si="30"/>
        <v>-2.4566813040754754E-3</v>
      </c>
    </row>
    <row r="70" spans="1:22">
      <c r="A70" s="128">
        <v>59</v>
      </c>
      <c r="B70" s="120" t="s">
        <v>111</v>
      </c>
      <c r="C70" s="121" t="s">
        <v>27</v>
      </c>
      <c r="D70" s="2">
        <v>65849385149.410004</v>
      </c>
      <c r="E70" s="3">
        <f t="shared" si="31"/>
        <v>0.21985080459191578</v>
      </c>
      <c r="F70" s="15">
        <v>1522.23</v>
      </c>
      <c r="G70" s="2">
        <v>1522.23</v>
      </c>
      <c r="H70" s="60">
        <v>2447</v>
      </c>
      <c r="I70" s="5">
        <v>2.0999999999999999E-3</v>
      </c>
      <c r="J70" s="5">
        <v>0.1154</v>
      </c>
      <c r="K70" s="2">
        <v>66042060712.239998</v>
      </c>
      <c r="L70" s="3">
        <f t="shared" si="20"/>
        <v>0.22138158058296503</v>
      </c>
      <c r="M70" s="15">
        <v>1525.48</v>
      </c>
      <c r="N70" s="2">
        <v>1525.48</v>
      </c>
      <c r="O70" s="60">
        <v>2448</v>
      </c>
      <c r="P70" s="5">
        <v>2.0999999999999999E-3</v>
      </c>
      <c r="Q70" s="5">
        <v>0.1158</v>
      </c>
      <c r="R70" s="81">
        <f t="shared" si="26"/>
        <v>2.9260039769972027E-3</v>
      </c>
      <c r="S70" s="81">
        <f t="shared" si="27"/>
        <v>2.1350255874605021E-3</v>
      </c>
      <c r="T70" s="81">
        <f t="shared" si="28"/>
        <v>4.086636697997548E-4</v>
      </c>
      <c r="U70" s="82">
        <f t="shared" si="29"/>
        <v>0</v>
      </c>
      <c r="V70" s="84">
        <f t="shared" si="30"/>
        <v>3.9999999999999758E-4</v>
      </c>
    </row>
    <row r="71" spans="1:22">
      <c r="A71" s="126">
        <v>60</v>
      </c>
      <c r="B71" s="120" t="s">
        <v>112</v>
      </c>
      <c r="C71" s="121" t="s">
        <v>72</v>
      </c>
      <c r="D71" s="2">
        <v>24753171.850000001</v>
      </c>
      <c r="E71" s="3">
        <f t="shared" si="31"/>
        <v>8.2643212766174472E-5</v>
      </c>
      <c r="F71" s="2">
        <v>0.754</v>
      </c>
      <c r="G71" s="2">
        <v>0.754</v>
      </c>
      <c r="H71" s="60">
        <v>733</v>
      </c>
      <c r="I71" s="5">
        <v>1.9933554817276504E-3</v>
      </c>
      <c r="J71" s="5">
        <v>0.10346846187618906</v>
      </c>
      <c r="K71" s="2">
        <v>24802988.879999999</v>
      </c>
      <c r="L71" s="3">
        <f t="shared" si="20"/>
        <v>8.3142845971467965E-5</v>
      </c>
      <c r="M71" s="2">
        <v>0.75539999999999996</v>
      </c>
      <c r="N71" s="2">
        <v>0.75539999999999996</v>
      </c>
      <c r="O71" s="60">
        <v>733</v>
      </c>
      <c r="P71" s="5">
        <v>1.9E-3</v>
      </c>
      <c r="Q71" s="5">
        <v>0.1055</v>
      </c>
      <c r="R71" s="81">
        <f t="shared" si="26"/>
        <v>2.0125513732898626E-3</v>
      </c>
      <c r="S71" s="81">
        <f t="shared" si="27"/>
        <v>1.8567639257293857E-3</v>
      </c>
      <c r="T71" s="81">
        <f t="shared" si="28"/>
        <v>0</v>
      </c>
      <c r="U71" s="82">
        <f t="shared" si="29"/>
        <v>-9.3355481727650435E-5</v>
      </c>
      <c r="V71" s="84">
        <f t="shared" si="30"/>
        <v>2.0315381238109331E-3</v>
      </c>
    </row>
    <row r="72" spans="1:22">
      <c r="A72" s="126">
        <v>61</v>
      </c>
      <c r="B72" s="120" t="s">
        <v>113</v>
      </c>
      <c r="C72" s="121" t="s">
        <v>114</v>
      </c>
      <c r="D72" s="2">
        <v>1077613454.5</v>
      </c>
      <c r="E72" s="3">
        <f t="shared" si="31"/>
        <v>3.5978192427058905E-3</v>
      </c>
      <c r="F72" s="2">
        <v>210.71602899999999</v>
      </c>
      <c r="G72" s="2">
        <v>212.54186799999999</v>
      </c>
      <c r="H72" s="60">
        <v>487</v>
      </c>
      <c r="I72" s="5">
        <v>1.6000000000000001E-3</v>
      </c>
      <c r="J72" s="5">
        <v>6.5600000000000006E-2</v>
      </c>
      <c r="K72" s="2">
        <v>1075556941.47</v>
      </c>
      <c r="L72" s="3">
        <f t="shared" si="20"/>
        <v>3.6054068141074536E-3</v>
      </c>
      <c r="M72" s="2">
        <v>211.178755</v>
      </c>
      <c r="N72" s="2">
        <v>213.10270600000001</v>
      </c>
      <c r="O72" s="60">
        <v>487</v>
      </c>
      <c r="P72" s="5">
        <v>1.5E-3</v>
      </c>
      <c r="Q72" s="5">
        <v>6.8400000000000002E-2</v>
      </c>
      <c r="R72" s="81">
        <f t="shared" si="26"/>
        <v>-1.9083958365703306E-3</v>
      </c>
      <c r="S72" s="81">
        <f t="shared" si="27"/>
        <v>2.6387177513656659E-3</v>
      </c>
      <c r="T72" s="81">
        <f t="shared" si="28"/>
        <v>0</v>
      </c>
      <c r="U72" s="82">
        <f t="shared" si="29"/>
        <v>-1.0000000000000005E-4</v>
      </c>
      <c r="V72" s="84">
        <f t="shared" si="30"/>
        <v>2.7999999999999969E-3</v>
      </c>
    </row>
    <row r="73" spans="1:22">
      <c r="A73" s="126">
        <v>62</v>
      </c>
      <c r="B73" s="120" t="s">
        <v>115</v>
      </c>
      <c r="C73" s="121" t="s">
        <v>34</v>
      </c>
      <c r="D73" s="2">
        <v>1222258745.48</v>
      </c>
      <c r="E73" s="3">
        <f t="shared" si="31"/>
        <v>4.0807452947902159E-3</v>
      </c>
      <c r="F73" s="14">
        <v>3.56</v>
      </c>
      <c r="G73" s="14">
        <v>3.56</v>
      </c>
      <c r="H73" s="61">
        <v>782</v>
      </c>
      <c r="I73" s="12">
        <v>4.7999999999999996E-3</v>
      </c>
      <c r="J73" s="12">
        <v>-6.3E-3</v>
      </c>
      <c r="K73" s="2">
        <v>1223601251.1700001</v>
      </c>
      <c r="L73" s="3">
        <f t="shared" si="20"/>
        <v>4.1016706030359189E-3</v>
      </c>
      <c r="M73" s="14">
        <v>3.57</v>
      </c>
      <c r="N73" s="14">
        <v>3.57</v>
      </c>
      <c r="O73" s="61">
        <v>782</v>
      </c>
      <c r="P73" s="12">
        <v>5.8999999999999999E-3</v>
      </c>
      <c r="Q73" s="12">
        <v>-4.8999999999999998E-3</v>
      </c>
      <c r="R73" s="81">
        <f t="shared" si="26"/>
        <v>1.0983809238139953E-3</v>
      </c>
      <c r="S73" s="81">
        <f t="shared" si="27"/>
        <v>2.8089887640448839E-3</v>
      </c>
      <c r="T73" s="81">
        <f t="shared" si="28"/>
        <v>0</v>
      </c>
      <c r="U73" s="82">
        <f t="shared" si="29"/>
        <v>1.1000000000000003E-3</v>
      </c>
      <c r="V73" s="84">
        <f t="shared" si="30"/>
        <v>1.4000000000000002E-3</v>
      </c>
    </row>
    <row r="74" spans="1:22">
      <c r="A74" s="128">
        <v>63</v>
      </c>
      <c r="B74" s="121" t="s">
        <v>116</v>
      </c>
      <c r="C74" s="132" t="s">
        <v>40</v>
      </c>
      <c r="D74" s="2">
        <v>2108485508</v>
      </c>
      <c r="E74" s="3">
        <f t="shared" si="31"/>
        <v>7.0395833514984244E-3</v>
      </c>
      <c r="F74" s="14">
        <v>101.03</v>
      </c>
      <c r="G74" s="14">
        <v>101.03</v>
      </c>
      <c r="H74" s="60">
        <v>169</v>
      </c>
      <c r="I74" s="5">
        <v>1.9E-3</v>
      </c>
      <c r="J74" s="5">
        <v>0.10340000000000001</v>
      </c>
      <c r="K74" s="2">
        <v>2168403179</v>
      </c>
      <c r="L74" s="3">
        <f t="shared" si="20"/>
        <v>7.2687695982081362E-3</v>
      </c>
      <c r="M74" s="14">
        <v>101.14</v>
      </c>
      <c r="N74" s="14">
        <v>101.14</v>
      </c>
      <c r="O74" s="60">
        <v>169</v>
      </c>
      <c r="P74" s="5">
        <v>1.9E-3</v>
      </c>
      <c r="Q74" s="5">
        <v>0.1002</v>
      </c>
      <c r="R74" s="81">
        <f t="shared" si="26"/>
        <v>2.8417397593040513E-2</v>
      </c>
      <c r="S74" s="81">
        <f t="shared" si="27"/>
        <v>1.0887855092546711E-3</v>
      </c>
      <c r="T74" s="81">
        <f t="shared" si="28"/>
        <v>0</v>
      </c>
      <c r="U74" s="82">
        <f t="shared" si="29"/>
        <v>0</v>
      </c>
      <c r="V74" s="84">
        <f t="shared" si="30"/>
        <v>-3.2000000000000084E-3</v>
      </c>
    </row>
    <row r="75" spans="1:22">
      <c r="A75" s="129">
        <v>64</v>
      </c>
      <c r="B75" s="120" t="s">
        <v>117</v>
      </c>
      <c r="C75" s="121" t="s">
        <v>17</v>
      </c>
      <c r="D75" s="2">
        <v>1652533724.4400001</v>
      </c>
      <c r="E75" s="3">
        <f t="shared" si="31"/>
        <v>5.5173008542003738E-3</v>
      </c>
      <c r="F75" s="14">
        <v>341.87419999999997</v>
      </c>
      <c r="G75" s="14">
        <v>341.87419999999997</v>
      </c>
      <c r="H75" s="60">
        <v>102</v>
      </c>
      <c r="I75" s="5">
        <v>1.6999999999999999E-3</v>
      </c>
      <c r="J75" s="5">
        <v>0.13930000000000001</v>
      </c>
      <c r="K75" s="2">
        <v>1656000094.0699999</v>
      </c>
      <c r="L75" s="3">
        <f t="shared" si="20"/>
        <v>5.5511277860960141E-3</v>
      </c>
      <c r="M75" s="14">
        <v>342.59129999999999</v>
      </c>
      <c r="N75" s="14">
        <v>342.59129999999999</v>
      </c>
      <c r="O75" s="60">
        <v>102</v>
      </c>
      <c r="P75" s="5">
        <v>2.0999999999999999E-3</v>
      </c>
      <c r="Q75" s="5">
        <v>0.14149999999999999</v>
      </c>
      <c r="R75" s="81">
        <f t="shared" si="26"/>
        <v>2.0976090101728706E-3</v>
      </c>
      <c r="S75" s="81">
        <f t="shared" si="27"/>
        <v>2.0975551825789026E-3</v>
      </c>
      <c r="T75" s="81">
        <f t="shared" si="28"/>
        <v>0</v>
      </c>
      <c r="U75" s="82">
        <f t="shared" si="29"/>
        <v>3.9999999999999996E-4</v>
      </c>
      <c r="V75" s="84">
        <f t="shared" si="30"/>
        <v>2.1999999999999797E-3</v>
      </c>
    </row>
    <row r="76" spans="1:22">
      <c r="A76" s="128">
        <v>65</v>
      </c>
      <c r="B76" s="120" t="s">
        <v>118</v>
      </c>
      <c r="C76" s="121" t="s">
        <v>38</v>
      </c>
      <c r="D76" s="2">
        <v>54778769.32</v>
      </c>
      <c r="E76" s="3">
        <f t="shared" si="31"/>
        <v>1.8288942990479624E-4</v>
      </c>
      <c r="F76" s="14">
        <v>11.92127</v>
      </c>
      <c r="G76" s="2">
        <v>12.109640000000001</v>
      </c>
      <c r="H76" s="60">
        <v>53</v>
      </c>
      <c r="I76" s="5">
        <v>2.0000000000000001E-4</v>
      </c>
      <c r="J76" s="5">
        <v>7.3800000000000004E-2</v>
      </c>
      <c r="K76" s="2">
        <v>54792111.079999998</v>
      </c>
      <c r="L76" s="3">
        <f t="shared" si="20"/>
        <v>1.8367028562631856E-4</v>
      </c>
      <c r="M76" s="14">
        <v>11.936745999999999</v>
      </c>
      <c r="N76" s="2">
        <v>12.13</v>
      </c>
      <c r="O76" s="60">
        <v>55</v>
      </c>
      <c r="P76" s="5">
        <v>2.0000000000000001E-4</v>
      </c>
      <c r="Q76" s="5">
        <v>7.5300000000000006E-2</v>
      </c>
      <c r="R76" s="81">
        <f t="shared" si="26"/>
        <v>2.4355713291146852E-4</v>
      </c>
      <c r="S76" s="81">
        <f t="shared" si="27"/>
        <v>1.6813051420190984E-3</v>
      </c>
      <c r="T76" s="81">
        <f t="shared" si="28"/>
        <v>3.7735849056603772E-2</v>
      </c>
      <c r="U76" s="82">
        <f t="shared" si="29"/>
        <v>0</v>
      </c>
      <c r="V76" s="84">
        <f t="shared" si="30"/>
        <v>1.5000000000000013E-3</v>
      </c>
    </row>
    <row r="77" spans="1:22">
      <c r="A77" s="129">
        <v>66</v>
      </c>
      <c r="B77" s="120" t="s">
        <v>237</v>
      </c>
      <c r="C77" s="121" t="s">
        <v>238</v>
      </c>
      <c r="D77" s="2">
        <v>136806730.99000001</v>
      </c>
      <c r="E77" s="3">
        <f t="shared" si="31"/>
        <v>4.5675551584114924E-4</v>
      </c>
      <c r="F77" s="2">
        <v>110.18</v>
      </c>
      <c r="G77" s="2">
        <v>110.18</v>
      </c>
      <c r="H77" s="60">
        <v>61</v>
      </c>
      <c r="I77" s="5">
        <v>9.7699999999999995E-2</v>
      </c>
      <c r="J77" s="5">
        <v>0.11070000000000001</v>
      </c>
      <c r="K77" s="2">
        <v>138460979.99000001</v>
      </c>
      <c r="L77" s="3">
        <f t="shared" si="20"/>
        <v>4.6413922080374201E-4</v>
      </c>
      <c r="M77" s="2">
        <v>110.42</v>
      </c>
      <c r="N77" s="2">
        <v>110.42</v>
      </c>
      <c r="O77" s="60">
        <v>66</v>
      </c>
      <c r="P77" s="5">
        <v>-1.72E-2</v>
      </c>
      <c r="Q77" s="5">
        <v>0.1105</v>
      </c>
      <c r="R77" s="81">
        <f t="shared" ref="R77" si="32">((K77-D77)/D77)</f>
        <v>1.2091868492354507E-2</v>
      </c>
      <c r="S77" s="81">
        <f t="shared" ref="S77" si="33">((N77-G77)/G77)</f>
        <v>2.178253766563758E-3</v>
      </c>
      <c r="T77" s="81">
        <f t="shared" ref="T77" si="34">((O77-H77)/H77)</f>
        <v>8.1967213114754092E-2</v>
      </c>
      <c r="U77" s="82">
        <f t="shared" si="29"/>
        <v>-0.1149</v>
      </c>
      <c r="V77" s="84">
        <f t="shared" si="30"/>
        <v>-2.0000000000000573E-4</v>
      </c>
    </row>
    <row r="78" spans="1:22">
      <c r="A78" s="129">
        <v>67</v>
      </c>
      <c r="B78" s="120" t="s">
        <v>119</v>
      </c>
      <c r="C78" s="121" t="s">
        <v>120</v>
      </c>
      <c r="D78" s="2">
        <v>6724509273.6700001</v>
      </c>
      <c r="E78" s="3">
        <f t="shared" si="31"/>
        <v>2.2451064211878896E-2</v>
      </c>
      <c r="F78" s="14">
        <v>1.1000000000000001</v>
      </c>
      <c r="G78" s="14">
        <v>1.1000000000000001</v>
      </c>
      <c r="H78" s="60">
        <v>3581</v>
      </c>
      <c r="I78" s="5">
        <v>0</v>
      </c>
      <c r="J78" s="5">
        <v>0.1004</v>
      </c>
      <c r="K78" s="2">
        <v>6871373364.6899996</v>
      </c>
      <c r="L78" s="3">
        <f t="shared" si="20"/>
        <v>2.3033737588518736E-2</v>
      </c>
      <c r="M78" s="14">
        <v>1.1000000000000001</v>
      </c>
      <c r="N78" s="14">
        <v>1.1000000000000001</v>
      </c>
      <c r="O78" s="60">
        <v>3589</v>
      </c>
      <c r="P78" s="5">
        <v>0</v>
      </c>
      <c r="Q78" s="5">
        <v>0.10050000000000001</v>
      </c>
      <c r="R78" s="81">
        <f t="shared" si="26"/>
        <v>2.1840120229300576E-2</v>
      </c>
      <c r="S78" s="81">
        <f t="shared" si="27"/>
        <v>0</v>
      </c>
      <c r="T78" s="81">
        <f t="shared" si="28"/>
        <v>2.2340128455738619E-3</v>
      </c>
      <c r="U78" s="82">
        <f t="shared" si="29"/>
        <v>0</v>
      </c>
      <c r="V78" s="84">
        <f t="shared" si="30"/>
        <v>1.0000000000000286E-4</v>
      </c>
    </row>
    <row r="79" spans="1:22" ht="14.25" customHeight="1">
      <c r="A79" s="129">
        <v>68</v>
      </c>
      <c r="B79" s="120" t="s">
        <v>121</v>
      </c>
      <c r="C79" s="121" t="s">
        <v>42</v>
      </c>
      <c r="D79" s="2">
        <v>22211793737.73</v>
      </c>
      <c r="E79" s="3">
        <f t="shared" si="31"/>
        <v>7.415833441101416E-2</v>
      </c>
      <c r="F79" s="2">
        <v>4940.8599999999997</v>
      </c>
      <c r="G79" s="2">
        <v>4940.8599999999997</v>
      </c>
      <c r="H79" s="60">
        <v>1136</v>
      </c>
      <c r="I79" s="5">
        <v>1.9E-3</v>
      </c>
      <c r="J79" s="5">
        <v>8.0699999999999994E-2</v>
      </c>
      <c r="K79" s="2">
        <v>22199251971.25</v>
      </c>
      <c r="L79" s="3">
        <f t="shared" si="20"/>
        <v>7.4414781067605157E-2</v>
      </c>
      <c r="M79" s="2">
        <v>4950.3999999999996</v>
      </c>
      <c r="N79" s="2">
        <v>4950.3999999999996</v>
      </c>
      <c r="O79" s="60">
        <v>1136</v>
      </c>
      <c r="P79" s="5">
        <v>1.9E-3</v>
      </c>
      <c r="Q79" s="5">
        <v>8.2799999999999999E-2</v>
      </c>
      <c r="R79" s="81">
        <f t="shared" si="26"/>
        <v>-5.6464446897395353E-4</v>
      </c>
      <c r="S79" s="81">
        <f t="shared" si="27"/>
        <v>1.9308379512878253E-3</v>
      </c>
      <c r="T79" s="81">
        <f t="shared" si="28"/>
        <v>0</v>
      </c>
      <c r="U79" s="82">
        <f t="shared" si="29"/>
        <v>0</v>
      </c>
      <c r="V79" s="84">
        <f t="shared" si="30"/>
        <v>2.1000000000000046E-3</v>
      </c>
    </row>
    <row r="80" spans="1:22">
      <c r="A80" s="129">
        <v>69</v>
      </c>
      <c r="B80" s="120" t="s">
        <v>122</v>
      </c>
      <c r="C80" s="121" t="s">
        <v>42</v>
      </c>
      <c r="D80" s="2">
        <v>41084584129.790001</v>
      </c>
      <c r="E80" s="3">
        <f t="shared" si="31"/>
        <v>0.13716876561207367</v>
      </c>
      <c r="F80" s="14">
        <v>255.19</v>
      </c>
      <c r="G80" s="14">
        <v>255.19</v>
      </c>
      <c r="H80" s="60">
        <v>11767</v>
      </c>
      <c r="I80" s="5">
        <v>1E-3</v>
      </c>
      <c r="J80" s="5">
        <v>4.1300000000000003E-2</v>
      </c>
      <c r="K80" s="2">
        <v>39660259321.57</v>
      </c>
      <c r="L80" s="3">
        <f>(K80/$K$88)</f>
        <v>0.13294634964823526</v>
      </c>
      <c r="M80" s="14">
        <v>255.3</v>
      </c>
      <c r="N80" s="14">
        <v>255.3</v>
      </c>
      <c r="O80" s="60">
        <v>11770</v>
      </c>
      <c r="P80" s="5">
        <v>4.0000000000000002E-4</v>
      </c>
      <c r="Q80" s="5">
        <v>4.1700000000000001E-2</v>
      </c>
      <c r="R80" s="81">
        <f t="shared" si="26"/>
        <v>-3.4668108206241721E-2</v>
      </c>
      <c r="S80" s="81">
        <f t="shared" si="27"/>
        <v>4.3105137348647537E-4</v>
      </c>
      <c r="T80" s="81">
        <f t="shared" si="28"/>
        <v>2.5495028469448456E-4</v>
      </c>
      <c r="U80" s="82">
        <f t="shared" si="29"/>
        <v>-6.0000000000000006E-4</v>
      </c>
      <c r="V80" s="84">
        <f t="shared" si="30"/>
        <v>3.9999999999999758E-4</v>
      </c>
    </row>
    <row r="81" spans="1:29" ht="12.75" customHeight="1">
      <c r="A81" s="129">
        <v>70</v>
      </c>
      <c r="B81" s="120" t="s">
        <v>123</v>
      </c>
      <c r="C81" s="121" t="s">
        <v>42</v>
      </c>
      <c r="D81" s="2">
        <v>490672185.52999997</v>
      </c>
      <c r="E81" s="3">
        <f t="shared" si="31"/>
        <v>1.6382032198915802E-3</v>
      </c>
      <c r="F81" s="2">
        <v>5146.3500000000004</v>
      </c>
      <c r="G81" s="7">
        <v>5160.53</v>
      </c>
      <c r="H81" s="60">
        <v>1132</v>
      </c>
      <c r="I81" s="5">
        <v>3.3E-3</v>
      </c>
      <c r="J81" s="5">
        <v>0.2117</v>
      </c>
      <c r="K81" s="2">
        <v>490993766.79000002</v>
      </c>
      <c r="L81" s="3">
        <f t="shared" si="20"/>
        <v>1.6458749920292605E-3</v>
      </c>
      <c r="M81" s="2">
        <v>5149.74</v>
      </c>
      <c r="N81" s="7">
        <v>5163.8999999999996</v>
      </c>
      <c r="O81" s="60">
        <v>1132</v>
      </c>
      <c r="P81" s="5">
        <v>6.9999999999999999E-4</v>
      </c>
      <c r="Q81" s="5">
        <v>0.21249999999999999</v>
      </c>
      <c r="R81" s="81">
        <f t="shared" si="26"/>
        <v>6.5538921806357093E-4</v>
      </c>
      <c r="S81" s="81">
        <f t="shared" si="27"/>
        <v>6.5303370002691406E-4</v>
      </c>
      <c r="T81" s="81">
        <f t="shared" si="28"/>
        <v>0</v>
      </c>
      <c r="U81" s="82">
        <f t="shared" si="29"/>
        <v>-2.5999999999999999E-3</v>
      </c>
      <c r="V81" s="84">
        <f t="shared" si="30"/>
        <v>7.9999999999999516E-4</v>
      </c>
    </row>
    <row r="82" spans="1:29" ht="12.75" customHeight="1">
      <c r="A82" s="129">
        <v>71</v>
      </c>
      <c r="B82" s="120" t="s">
        <v>124</v>
      </c>
      <c r="C82" s="121" t="s">
        <v>42</v>
      </c>
      <c r="D82" s="2">
        <v>19355720359.700001</v>
      </c>
      <c r="E82" s="3">
        <f t="shared" si="31"/>
        <v>6.4622785541290625E-2</v>
      </c>
      <c r="F82" s="14">
        <v>124.38</v>
      </c>
      <c r="G82" s="14">
        <v>124.38</v>
      </c>
      <c r="H82" s="60">
        <v>5692</v>
      </c>
      <c r="I82" s="5">
        <v>1.6999999999999999E-3</v>
      </c>
      <c r="J82" s="5">
        <v>8.1600000000000006E-2</v>
      </c>
      <c r="K82" s="2">
        <v>18977391598.5</v>
      </c>
      <c r="L82" s="3">
        <f t="shared" si="20"/>
        <v>6.3614685885159963E-2</v>
      </c>
      <c r="M82" s="14">
        <v>124.58</v>
      </c>
      <c r="N82" s="14">
        <v>124.58</v>
      </c>
      <c r="O82" s="60">
        <v>5706</v>
      </c>
      <c r="P82" s="5">
        <v>1.6000000000000001E-3</v>
      </c>
      <c r="Q82" s="5">
        <v>8.3299999999999999E-2</v>
      </c>
      <c r="R82" s="81">
        <f t="shared" si="26"/>
        <v>-1.9546095633191127E-2</v>
      </c>
      <c r="S82" s="81">
        <f t="shared" si="27"/>
        <v>1.6079755587715297E-3</v>
      </c>
      <c r="T82" s="81">
        <f t="shared" si="28"/>
        <v>2.4595924104005621E-3</v>
      </c>
      <c r="U82" s="82">
        <f t="shared" si="29"/>
        <v>-9.9999999999999829E-5</v>
      </c>
      <c r="V82" s="84">
        <f t="shared" si="30"/>
        <v>1.6999999999999932E-3</v>
      </c>
    </row>
    <row r="83" spans="1:29" ht="12.75" customHeight="1">
      <c r="A83" s="129">
        <v>72</v>
      </c>
      <c r="B83" s="120" t="s">
        <v>125</v>
      </c>
      <c r="C83" s="121" t="s">
        <v>42</v>
      </c>
      <c r="D83" s="2">
        <v>13600600014.299999</v>
      </c>
      <c r="E83" s="3">
        <f t="shared" si="31"/>
        <v>4.5408212229958334E-2</v>
      </c>
      <c r="F83" s="14">
        <v>348.8</v>
      </c>
      <c r="G83" s="14">
        <v>348.93</v>
      </c>
      <c r="H83" s="60">
        <v>17523</v>
      </c>
      <c r="I83" s="5">
        <v>1.5E-3</v>
      </c>
      <c r="J83" s="5">
        <v>4.9399999999999999E-2</v>
      </c>
      <c r="K83" s="2">
        <v>13711231248.559999</v>
      </c>
      <c r="L83" s="3">
        <f t="shared" si="20"/>
        <v>4.5961831184685935E-2</v>
      </c>
      <c r="M83" s="14">
        <v>349.14</v>
      </c>
      <c r="N83" s="14">
        <v>349.27</v>
      </c>
      <c r="O83" s="60">
        <v>17539</v>
      </c>
      <c r="P83" s="5">
        <v>1E-3</v>
      </c>
      <c r="Q83" s="5">
        <v>5.04E-2</v>
      </c>
      <c r="R83" s="81">
        <f t="shared" si="26"/>
        <v>8.1342907036218905E-3</v>
      </c>
      <c r="S83" s="81">
        <f t="shared" si="27"/>
        <v>9.7440747427843689E-4</v>
      </c>
      <c r="T83" s="81">
        <f t="shared" si="28"/>
        <v>9.1308565884837072E-4</v>
      </c>
      <c r="U83" s="82">
        <f t="shared" si="29"/>
        <v>-5.0000000000000001E-4</v>
      </c>
      <c r="V83" s="84">
        <f t="shared" si="30"/>
        <v>1.0000000000000009E-3</v>
      </c>
    </row>
    <row r="84" spans="1:29">
      <c r="A84" s="127">
        <v>73</v>
      </c>
      <c r="B84" s="120" t="s">
        <v>126</v>
      </c>
      <c r="C84" s="121" t="s">
        <v>45</v>
      </c>
      <c r="D84" s="2">
        <v>101789784265.21001</v>
      </c>
      <c r="E84" s="3">
        <f t="shared" si="31"/>
        <v>0.33984472169584801</v>
      </c>
      <c r="F84" s="2">
        <v>1.9305000000000001</v>
      </c>
      <c r="G84" s="2">
        <v>1.9305000000000001</v>
      </c>
      <c r="H84" s="60">
        <v>6090</v>
      </c>
      <c r="I84" s="5">
        <v>5.8500000000000003E-2</v>
      </c>
      <c r="J84" s="5">
        <v>6.83E-2</v>
      </c>
      <c r="K84" s="2">
        <v>101963557080.77</v>
      </c>
      <c r="L84" s="3">
        <f t="shared" si="20"/>
        <v>0.34179511034274357</v>
      </c>
      <c r="M84" s="2">
        <v>1.9340999999999999</v>
      </c>
      <c r="N84" s="2">
        <v>1.9340999999999999</v>
      </c>
      <c r="O84" s="60">
        <v>6094</v>
      </c>
      <c r="P84" s="5">
        <v>0.10199999999999999</v>
      </c>
      <c r="Q84" s="5">
        <v>6.8900000000000003E-2</v>
      </c>
      <c r="R84" s="81">
        <f t="shared" si="26"/>
        <v>1.7071734340966681E-3</v>
      </c>
      <c r="S84" s="81">
        <f t="shared" si="27"/>
        <v>1.8648018648017744E-3</v>
      </c>
      <c r="T84" s="81">
        <f t="shared" si="28"/>
        <v>6.5681444991789822E-4</v>
      </c>
      <c r="U84" s="82">
        <f t="shared" si="29"/>
        <v>4.349999999999999E-2</v>
      </c>
      <c r="V84" s="84">
        <f t="shared" si="30"/>
        <v>6.0000000000000331E-4</v>
      </c>
    </row>
    <row r="85" spans="1:29">
      <c r="A85" s="129">
        <v>74</v>
      </c>
      <c r="B85" s="120" t="s">
        <v>242</v>
      </c>
      <c r="C85" s="120" t="s">
        <v>243</v>
      </c>
      <c r="D85" s="2">
        <v>77103280.980000004</v>
      </c>
      <c r="E85" s="3">
        <f t="shared" si="31"/>
        <v>2.5742409472264354E-4</v>
      </c>
      <c r="F85" s="2">
        <v>100.52645293688184</v>
      </c>
      <c r="G85" s="2">
        <v>100.52645293688184</v>
      </c>
      <c r="H85" s="60">
        <v>35</v>
      </c>
      <c r="I85" s="5">
        <v>1.0637179395729275E-3</v>
      </c>
      <c r="J85" s="5">
        <v>5.2645293688184935E-3</v>
      </c>
      <c r="K85" s="2">
        <v>77201139.840000004</v>
      </c>
      <c r="L85" s="3">
        <f t="shared" si="20"/>
        <v>2.5878826578496129E-4</v>
      </c>
      <c r="M85" s="2">
        <v>100.64099604892164</v>
      </c>
      <c r="N85" s="2">
        <v>100.64099604892164</v>
      </c>
      <c r="O85" s="60">
        <v>35</v>
      </c>
      <c r="P85" s="5">
        <v>1.0637179395729275E-3</v>
      </c>
      <c r="Q85" s="5">
        <v>6.4000000000000003E-3</v>
      </c>
      <c r="R85" s="81">
        <f t="shared" ref="R85" si="35">((K85-D85)/D85)</f>
        <v>1.2691919041082473E-3</v>
      </c>
      <c r="S85" s="81">
        <f t="shared" ref="S85" si="36">((N85-G85)/G85)</f>
        <v>1.1394325443046932E-3</v>
      </c>
      <c r="T85" s="81">
        <f t="shared" ref="T85" si="37">((O85-H85)/H85)</f>
        <v>0</v>
      </c>
      <c r="U85" s="82">
        <f t="shared" ref="U85" si="38">P85-I85</f>
        <v>0</v>
      </c>
      <c r="V85" s="84">
        <f t="shared" ref="V85" si="39">Q85-J85</f>
        <v>1.1354706311815068E-3</v>
      </c>
    </row>
    <row r="86" spans="1:29" ht="15.75" customHeight="1">
      <c r="A86" s="127">
        <v>75</v>
      </c>
      <c r="B86" s="120" t="s">
        <v>127</v>
      </c>
      <c r="C86" s="121" t="s">
        <v>32</v>
      </c>
      <c r="D86" s="2">
        <v>9200323884.3554993</v>
      </c>
      <c r="E86" s="3">
        <f t="shared" si="31"/>
        <v>3.0717046239571447E-2</v>
      </c>
      <c r="F86" s="14">
        <v>1</v>
      </c>
      <c r="G86" s="14">
        <v>1</v>
      </c>
      <c r="H86" s="60">
        <v>5510</v>
      </c>
      <c r="I86" s="5">
        <v>0.06</v>
      </c>
      <c r="J86" s="5">
        <v>0.06</v>
      </c>
      <c r="K86" s="2">
        <v>9196264976.9004993</v>
      </c>
      <c r="L86" s="3">
        <f t="shared" si="20"/>
        <v>3.0827076776371299E-2</v>
      </c>
      <c r="M86" s="14">
        <v>1</v>
      </c>
      <c r="N86" s="14">
        <v>1</v>
      </c>
      <c r="O86" s="60">
        <v>5509</v>
      </c>
      <c r="P86" s="5">
        <v>0.06</v>
      </c>
      <c r="Q86" s="5">
        <v>0.06</v>
      </c>
      <c r="R86" s="81">
        <f t="shared" si="26"/>
        <v>-4.4117006162161412E-4</v>
      </c>
      <c r="S86" s="81">
        <f t="shared" si="27"/>
        <v>0</v>
      </c>
      <c r="T86" s="81">
        <f t="shared" si="28"/>
        <v>-1.8148820326678765E-4</v>
      </c>
      <c r="U86" s="82">
        <f t="shared" si="29"/>
        <v>0</v>
      </c>
      <c r="V86" s="84">
        <f t="shared" si="30"/>
        <v>0</v>
      </c>
    </row>
    <row r="87" spans="1:29">
      <c r="A87" s="126">
        <v>76</v>
      </c>
      <c r="B87" s="120" t="s">
        <v>128</v>
      </c>
      <c r="C87" s="121" t="s">
        <v>91</v>
      </c>
      <c r="D87" s="2">
        <v>2620606654.73</v>
      </c>
      <c r="E87" s="3">
        <f t="shared" si="31"/>
        <v>8.7493980430352041E-3</v>
      </c>
      <c r="F87" s="14">
        <v>25.169799999999999</v>
      </c>
      <c r="G87" s="14">
        <v>25.169799999999999</v>
      </c>
      <c r="H87" s="60">
        <v>1319</v>
      </c>
      <c r="I87" s="5">
        <v>0</v>
      </c>
      <c r="J87" s="5">
        <v>0.1055</v>
      </c>
      <c r="K87" s="2">
        <v>2626419880.7600002</v>
      </c>
      <c r="L87" s="3">
        <f t="shared" si="20"/>
        <v>8.8041011774396254E-3</v>
      </c>
      <c r="M87" s="14">
        <v>25.210899999999999</v>
      </c>
      <c r="N87" s="14">
        <v>25.210899999999999</v>
      </c>
      <c r="O87" s="60">
        <v>1319</v>
      </c>
      <c r="P87" s="5">
        <v>0</v>
      </c>
      <c r="Q87" s="5">
        <v>0.1053</v>
      </c>
      <c r="R87" s="81">
        <f t="shared" si="26"/>
        <v>2.2182749248185604E-3</v>
      </c>
      <c r="S87" s="81">
        <f t="shared" si="27"/>
        <v>1.632909280169097E-3</v>
      </c>
      <c r="T87" s="81">
        <f t="shared" si="28"/>
        <v>0</v>
      </c>
      <c r="U87" s="82">
        <f t="shared" si="29"/>
        <v>0</v>
      </c>
      <c r="V87" s="84">
        <f t="shared" si="30"/>
        <v>-1.9999999999999185E-4</v>
      </c>
    </row>
    <row r="88" spans="1:29">
      <c r="A88" s="76"/>
      <c r="B88" s="19"/>
      <c r="C88" s="72" t="s">
        <v>46</v>
      </c>
      <c r="D88" s="59">
        <f>SUM(D57:D87)</f>
        <v>299518508797.995</v>
      </c>
      <c r="E88" s="105">
        <f>(D88/$D$175)</f>
        <v>0.1494264332166903</v>
      </c>
      <c r="F88" s="30"/>
      <c r="G88" s="11"/>
      <c r="H88" s="66">
        <f>SUM(H57:H87)</f>
        <v>63917</v>
      </c>
      <c r="I88" s="12"/>
      <c r="J88" s="12"/>
      <c r="K88" s="59">
        <f>SUM(K57:K87)</f>
        <v>298317775753.20929</v>
      </c>
      <c r="L88" s="105">
        <f>(K88/$K$175)</f>
        <v>0.14769084436781538</v>
      </c>
      <c r="M88" s="30"/>
      <c r="N88" s="11"/>
      <c r="O88" s="66">
        <f>SUM(O57:O87)</f>
        <v>63975</v>
      </c>
      <c r="P88" s="12"/>
      <c r="Q88" s="12"/>
      <c r="R88" s="81">
        <f t="shared" si="26"/>
        <v>-4.0088776136219311E-3</v>
      </c>
      <c r="S88" s="81" t="e">
        <f t="shared" si="27"/>
        <v>#DIV/0!</v>
      </c>
      <c r="T88" s="81">
        <f t="shared" si="28"/>
        <v>9.0742681915609302E-4</v>
      </c>
      <c r="U88" s="82">
        <f t="shared" si="29"/>
        <v>0</v>
      </c>
      <c r="V88" s="84">
        <f t="shared" si="30"/>
        <v>0</v>
      </c>
    </row>
    <row r="89" spans="1:29" ht="8.25" customHeight="1">
      <c r="A89" s="134"/>
      <c r="B89" s="134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  <c r="R89" s="134"/>
      <c r="S89" s="134"/>
      <c r="T89" s="134"/>
      <c r="U89" s="134"/>
      <c r="V89" s="134"/>
    </row>
    <row r="90" spans="1:29" ht="15" customHeight="1">
      <c r="A90" s="141" t="s">
        <v>129</v>
      </c>
      <c r="B90" s="141"/>
      <c r="C90" s="141"/>
      <c r="D90" s="141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41"/>
      <c r="R90" s="141"/>
      <c r="S90" s="141"/>
      <c r="T90" s="141"/>
      <c r="U90" s="141"/>
      <c r="V90" s="141"/>
    </row>
    <row r="91" spans="1:29">
      <c r="A91" s="145" t="s">
        <v>231</v>
      </c>
      <c r="B91" s="145"/>
      <c r="C91" s="145"/>
      <c r="D91" s="145"/>
      <c r="E91" s="145"/>
      <c r="F91" s="145"/>
      <c r="G91" s="145"/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T91" s="145"/>
      <c r="U91" s="145"/>
      <c r="V91" s="145"/>
      <c r="Z91" s="99"/>
      <c r="AA91" s="99"/>
      <c r="AB91" s="108"/>
      <c r="AC91" s="99"/>
    </row>
    <row r="92" spans="1:29" ht="45.75" customHeight="1">
      <c r="A92" s="129">
        <v>77</v>
      </c>
      <c r="B92" s="120" t="s">
        <v>130</v>
      </c>
      <c r="C92" s="121" t="s">
        <v>17</v>
      </c>
      <c r="D92" s="2">
        <v>1671503870.04</v>
      </c>
      <c r="E92" s="3">
        <f>(D92/$D$115)</f>
        <v>2.6185191126694663E-3</v>
      </c>
      <c r="F92" s="2">
        <f>109.3306*801.495</f>
        <v>87627.929247000007</v>
      </c>
      <c r="G92" s="2">
        <f>109.3306*801.495</f>
        <v>87627.929247000007</v>
      </c>
      <c r="H92" s="60">
        <v>227</v>
      </c>
      <c r="I92" s="5">
        <v>1.1000000000000001E-3</v>
      </c>
      <c r="J92" s="5">
        <v>5.6399999999999999E-2</v>
      </c>
      <c r="K92" s="2">
        <v>1465097267.2</v>
      </c>
      <c r="L92" s="3">
        <f t="shared" ref="L92:L103" si="40">(K92/$K$115)</f>
        <v>2.2632210916546549E-3</v>
      </c>
      <c r="M92" s="2">
        <f>109.4549*820.683</f>
        <v>89827.775696700002</v>
      </c>
      <c r="N92" s="2">
        <f>109.4549*820.683</f>
        <v>89827.775696700002</v>
      </c>
      <c r="O92" s="60">
        <v>227</v>
      </c>
      <c r="P92" s="5">
        <v>1.1000000000000001E-3</v>
      </c>
      <c r="Q92" s="5">
        <v>5.7500000000000002E-2</v>
      </c>
      <c r="R92" s="82">
        <f t="shared" ref="R92" si="41">((K92-D92)/D92)</f>
        <v>-0.12348556682376123</v>
      </c>
      <c r="S92" s="82">
        <f t="shared" ref="S92" si="42">((N92-G92)/G92)</f>
        <v>2.5104398433280425E-2</v>
      </c>
      <c r="T92" s="82">
        <f t="shared" ref="T92" si="43">((O92-H92)/H92)</f>
        <v>0</v>
      </c>
      <c r="U92" s="82">
        <f t="shared" ref="U92" si="44">P92-I92</f>
        <v>0</v>
      </c>
      <c r="V92" s="84">
        <f t="shared" ref="V92" si="45">Q92-J92</f>
        <v>1.1000000000000038E-3</v>
      </c>
      <c r="Z92" s="99"/>
      <c r="AA92" s="109"/>
      <c r="AB92" s="99"/>
      <c r="AC92" s="99"/>
    </row>
    <row r="93" spans="1:29">
      <c r="A93" s="129">
        <v>78</v>
      </c>
      <c r="B93" s="120" t="s">
        <v>131</v>
      </c>
      <c r="C93" s="121" t="s">
        <v>21</v>
      </c>
      <c r="D93" s="2">
        <f>10332003.89*800.995</f>
        <v>8275883455.8705502</v>
      </c>
      <c r="E93" s="3">
        <f>(D93/$D$115)</f>
        <v>1.2964707645518931E-2</v>
      </c>
      <c r="F93" s="2">
        <f>1.1659*800.995</f>
        <v>933.88007049999999</v>
      </c>
      <c r="G93" s="2">
        <f>1.1659*800.995</f>
        <v>933.88007049999999</v>
      </c>
      <c r="H93" s="60">
        <v>274</v>
      </c>
      <c r="I93" s="5">
        <v>6.2700000000000006E-2</v>
      </c>
      <c r="J93" s="5">
        <v>4.19E-2</v>
      </c>
      <c r="K93" s="2">
        <f>10348875.51*840.042</f>
        <v>8693490081.1714211</v>
      </c>
      <c r="L93" s="3">
        <f t="shared" si="40"/>
        <v>1.3429340530680159E-2</v>
      </c>
      <c r="M93" s="2">
        <f>1.1672*840.042</f>
        <v>980.49702239999999</v>
      </c>
      <c r="N93" s="2">
        <f>1.1672*840.042</f>
        <v>980.49702239999999</v>
      </c>
      <c r="O93" s="60">
        <v>277</v>
      </c>
      <c r="P93" s="5">
        <v>5.8099999999999999E-2</v>
      </c>
      <c r="Q93" s="5">
        <v>4.2299999999999997E-2</v>
      </c>
      <c r="R93" s="82">
        <f t="shared" ref="R93:R103" si="46">((K93-D93)/D93)</f>
        <v>5.0460670154150011E-2</v>
      </c>
      <c r="S93" s="82">
        <f t="shared" ref="S93:S103" si="47">((N93-G93)/G93)</f>
        <v>4.9917493019249526E-2</v>
      </c>
      <c r="T93" s="82">
        <f t="shared" ref="T93:T103" si="48">((O93-H93)/H93)</f>
        <v>1.0948905109489052E-2</v>
      </c>
      <c r="U93" s="82">
        <f t="shared" ref="U93:U103" si="49">P93-I93</f>
        <v>-4.6000000000000069E-3</v>
      </c>
      <c r="V93" s="84">
        <f t="shared" ref="V93:V103" si="50">Q93-J93</f>
        <v>3.9999999999999758E-4</v>
      </c>
      <c r="Z93" s="99"/>
      <c r="AA93" s="99"/>
      <c r="AB93" s="99"/>
      <c r="AC93" s="99"/>
    </row>
    <row r="94" spans="1:29">
      <c r="A94" s="126">
        <v>79</v>
      </c>
      <c r="B94" s="120" t="s">
        <v>244</v>
      </c>
      <c r="C94" s="121" t="s">
        <v>25</v>
      </c>
      <c r="D94" s="2">
        <f>339899.28*801.495</f>
        <v>272427573.42360002</v>
      </c>
      <c r="E94" s="3">
        <v>0</v>
      </c>
      <c r="F94" s="2">
        <f>1.0893*801.495</f>
        <v>873.06850349999991</v>
      </c>
      <c r="G94" s="2">
        <f>1.0893*801.495</f>
        <v>873.06850349999991</v>
      </c>
      <c r="H94" s="60">
        <v>16</v>
      </c>
      <c r="I94" s="5">
        <v>1.84E-4</v>
      </c>
      <c r="J94" s="5">
        <v>8.9300000000000004E-2</v>
      </c>
      <c r="K94" s="2">
        <f>340250.84*820.683</f>
        <v>279238080.12371999</v>
      </c>
      <c r="L94" s="3">
        <f t="shared" si="40"/>
        <v>4.3135532819397749E-4</v>
      </c>
      <c r="M94" s="2">
        <f>1.0905*820.683</f>
        <v>894.95481150000001</v>
      </c>
      <c r="N94" s="2">
        <f>1.0905*820.683</f>
        <v>894.95481150000001</v>
      </c>
      <c r="O94" s="60">
        <v>16</v>
      </c>
      <c r="P94" s="5">
        <v>1.83E-4</v>
      </c>
      <c r="Q94" s="5">
        <v>9.0499999999999997E-2</v>
      </c>
      <c r="R94" s="82"/>
      <c r="S94" s="82"/>
      <c r="T94" s="82"/>
      <c r="U94" s="82"/>
      <c r="V94" s="84"/>
      <c r="Z94" s="99"/>
      <c r="AA94" s="99"/>
      <c r="AB94" s="99"/>
      <c r="AC94" s="99"/>
    </row>
    <row r="95" spans="1:29">
      <c r="A95" s="128">
        <v>88</v>
      </c>
      <c r="B95" s="120" t="s">
        <v>140</v>
      </c>
      <c r="C95" s="121" t="s">
        <v>64</v>
      </c>
      <c r="D95" s="2">
        <f>276430.75*801.495</f>
        <v>221557863.97125</v>
      </c>
      <c r="E95" s="3">
        <f t="shared" ref="E95:E103" si="51">(D95/$D$115)</f>
        <v>3.4708474911102446E-4</v>
      </c>
      <c r="F95" s="2">
        <f>101.1*801.495</f>
        <v>81031.144499999995</v>
      </c>
      <c r="G95" s="2">
        <f>101.7*801.495</f>
        <v>81512.041500000007</v>
      </c>
      <c r="H95" s="60">
        <v>29</v>
      </c>
      <c r="I95" s="5">
        <v>1E-3</v>
      </c>
      <c r="J95" s="5">
        <v>1.4E-2</v>
      </c>
      <c r="K95" s="2">
        <f>276702.06*820.683</f>
        <v>227084676.70697999</v>
      </c>
      <c r="L95" s="3">
        <f t="shared" si="40"/>
        <v>3.5079092796141124E-4</v>
      </c>
      <c r="M95" s="2">
        <f>101.210538*820.683</f>
        <v>83061.767957453994</v>
      </c>
      <c r="N95" s="2">
        <f>101.944361*820.683</f>
        <v>83664.004018563006</v>
      </c>
      <c r="O95" s="60">
        <v>29</v>
      </c>
      <c r="P95" s="5">
        <v>1.8E-3</v>
      </c>
      <c r="Q95" s="5">
        <v>1.5800000000000002E-2</v>
      </c>
      <c r="R95" s="82">
        <f t="shared" ref="R95" si="52">((K95-D95)/D95)</f>
        <v>2.4945233884576392E-2</v>
      </c>
      <c r="S95" s="82">
        <f t="shared" ref="S95" si="53">((N95-G95)/G95)</f>
        <v>2.6400547440134953E-2</v>
      </c>
      <c r="T95" s="82">
        <f t="shared" ref="T95" si="54">((O95-H95)/H95)</f>
        <v>0</v>
      </c>
      <c r="U95" s="82">
        <f t="shared" ref="U95" si="55">P95-I95</f>
        <v>7.9999999999999993E-4</v>
      </c>
      <c r="V95" s="84">
        <f t="shared" ref="V95" si="56">Q95-J95</f>
        <v>1.8000000000000013E-3</v>
      </c>
      <c r="Z95" s="99"/>
      <c r="AA95" s="99"/>
      <c r="AB95" s="99"/>
      <c r="AC95" s="99"/>
    </row>
    <row r="96" spans="1:29">
      <c r="A96" s="128">
        <v>80</v>
      </c>
      <c r="B96" s="120" t="s">
        <v>132</v>
      </c>
      <c r="C96" s="121" t="s">
        <v>67</v>
      </c>
      <c r="D96" s="2">
        <v>2459432074.7894802</v>
      </c>
      <c r="E96" s="3">
        <f t="shared" si="51"/>
        <v>3.8528596969353473E-3</v>
      </c>
      <c r="F96" s="2">
        <v>102803.2588772</v>
      </c>
      <c r="G96" s="2">
        <v>102803.2588772</v>
      </c>
      <c r="H96" s="60">
        <v>42</v>
      </c>
      <c r="I96" s="5">
        <v>1.2136390086702707E-3</v>
      </c>
      <c r="J96" s="5">
        <v>5.6612151580530484E-2</v>
      </c>
      <c r="K96" s="2">
        <v>2093645771.84061</v>
      </c>
      <c r="L96" s="3">
        <f t="shared" si="40"/>
        <v>3.2341765801931722E-3</v>
      </c>
      <c r="M96" s="2">
        <v>87513.531705000001</v>
      </c>
      <c r="N96" s="2">
        <v>87513.531705000001</v>
      </c>
      <c r="O96" s="60">
        <v>42</v>
      </c>
      <c r="P96" s="5">
        <v>1.2356413034701798E-3</v>
      </c>
      <c r="Q96" s="5">
        <v>5.6803000979013585E-2</v>
      </c>
      <c r="R96" s="82">
        <f t="shared" si="46"/>
        <v>-0.14872795500163605</v>
      </c>
      <c r="S96" s="82">
        <f t="shared" si="47"/>
        <v>-0.14872803974496376</v>
      </c>
      <c r="T96" s="82">
        <f t="shared" si="48"/>
        <v>0</v>
      </c>
      <c r="U96" s="82">
        <f t="shared" si="49"/>
        <v>2.2002294799909009E-5</v>
      </c>
      <c r="V96" s="84">
        <f t="shared" si="50"/>
        <v>1.9084939848310056E-4</v>
      </c>
      <c r="X96" s="65">
        <v>820.68299999999999</v>
      </c>
    </row>
    <row r="97" spans="1:22">
      <c r="A97" s="128">
        <v>81</v>
      </c>
      <c r="B97" s="120" t="s">
        <v>133</v>
      </c>
      <c r="C97" s="121" t="s">
        <v>27</v>
      </c>
      <c r="D97" s="2">
        <v>22252424333.07</v>
      </c>
      <c r="E97" s="3">
        <f t="shared" si="51"/>
        <v>3.4859864499135439E-2</v>
      </c>
      <c r="F97" s="2">
        <v>95699.77</v>
      </c>
      <c r="G97" s="2">
        <v>95699.77</v>
      </c>
      <c r="H97" s="60">
        <v>1957</v>
      </c>
      <c r="I97" s="5">
        <v>2E-3</v>
      </c>
      <c r="J97" s="5">
        <v>7.46E-2</v>
      </c>
      <c r="K97" s="2">
        <v>22583583671.779999</v>
      </c>
      <c r="L97" s="3">
        <f t="shared" si="40"/>
        <v>3.4886177208426211E-2</v>
      </c>
      <c r="M97" s="2">
        <v>97258.57</v>
      </c>
      <c r="N97" s="2">
        <v>97258.57</v>
      </c>
      <c r="O97" s="60">
        <v>1967</v>
      </c>
      <c r="P97" s="5">
        <v>1.4E-3</v>
      </c>
      <c r="Q97" s="5">
        <v>7.3899999999999993E-2</v>
      </c>
      <c r="R97" s="82">
        <f t="shared" si="46"/>
        <v>1.4881944266083996E-2</v>
      </c>
      <c r="S97" s="82">
        <f t="shared" si="47"/>
        <v>1.6288440400640491E-2</v>
      </c>
      <c r="T97" s="82">
        <f t="shared" si="48"/>
        <v>5.1098620337250893E-3</v>
      </c>
      <c r="U97" s="82">
        <f t="shared" si="49"/>
        <v>-6.0000000000000006E-4</v>
      </c>
      <c r="V97" s="84">
        <f t="shared" si="50"/>
        <v>-7.0000000000000617E-4</v>
      </c>
    </row>
    <row r="98" spans="1:22">
      <c r="A98" s="128">
        <v>82</v>
      </c>
      <c r="B98" s="131" t="s">
        <v>134</v>
      </c>
      <c r="C98" s="131" t="s">
        <v>27</v>
      </c>
      <c r="D98" s="2">
        <v>20678192854.529999</v>
      </c>
      <c r="E98" s="3">
        <f t="shared" si="51"/>
        <v>3.2393728890233585E-2</v>
      </c>
      <c r="F98" s="2">
        <v>86033.84</v>
      </c>
      <c r="G98" s="2">
        <v>86033.84</v>
      </c>
      <c r="H98" s="60">
        <v>175</v>
      </c>
      <c r="I98" s="5">
        <v>1.8E-3</v>
      </c>
      <c r="J98" s="5">
        <v>9.4700000000000006E-2</v>
      </c>
      <c r="K98" s="2">
        <v>21069429044.330002</v>
      </c>
      <c r="L98" s="3">
        <f t="shared" si="40"/>
        <v>3.2547174354765486E-2</v>
      </c>
      <c r="M98" s="2">
        <v>87520.05</v>
      </c>
      <c r="N98" s="2">
        <v>87520.05</v>
      </c>
      <c r="O98" s="60">
        <v>184</v>
      </c>
      <c r="P98" s="5">
        <v>2.3999999999999998E-3</v>
      </c>
      <c r="Q98" s="5">
        <v>9.4899999999999998E-2</v>
      </c>
      <c r="R98" s="82">
        <f t="shared" si="46"/>
        <v>1.8920231209387062E-2</v>
      </c>
      <c r="S98" s="82">
        <f t="shared" si="47"/>
        <v>1.7274714228726819E-2</v>
      </c>
      <c r="T98" s="82">
        <f t="shared" si="48"/>
        <v>5.1428571428571428E-2</v>
      </c>
      <c r="U98" s="82">
        <f t="shared" si="49"/>
        <v>5.9999999999999984E-4</v>
      </c>
      <c r="V98" s="84">
        <f t="shared" si="50"/>
        <v>1.9999999999999185E-4</v>
      </c>
    </row>
    <row r="99" spans="1:22">
      <c r="A99" s="129">
        <v>83</v>
      </c>
      <c r="B99" s="120" t="s">
        <v>135</v>
      </c>
      <c r="C99" s="121" t="s">
        <v>31</v>
      </c>
      <c r="D99" s="2">
        <f>104535.08*801.495</f>
        <v>83784343.944600001</v>
      </c>
      <c r="E99" s="3">
        <f t="shared" si="51"/>
        <v>1.3125360335310336E-4</v>
      </c>
      <c r="F99" s="2">
        <f>108.72*801.495</f>
        <v>87138.536399999997</v>
      </c>
      <c r="G99" s="2">
        <f>108.72*801.495</f>
        <v>87138.536399999997</v>
      </c>
      <c r="H99" s="60">
        <v>3</v>
      </c>
      <c r="I99" s="5">
        <v>2.3E-3</v>
      </c>
      <c r="J99" s="5">
        <v>0.1052</v>
      </c>
      <c r="K99" s="2">
        <f>104535.08*820.683</f>
        <v>85790163.059640005</v>
      </c>
      <c r="L99" s="3">
        <f t="shared" si="40"/>
        <v>1.3252506221934294E-4</v>
      </c>
      <c r="M99" s="2">
        <f>108.47*820.683</f>
        <v>89019.485010000004</v>
      </c>
      <c r="N99" s="2">
        <f>108.47*820.683</f>
        <v>89019.485010000004</v>
      </c>
      <c r="O99" s="60">
        <v>3</v>
      </c>
      <c r="P99" s="5">
        <v>2E-3</v>
      </c>
      <c r="Q99" s="5">
        <v>0.104</v>
      </c>
      <c r="R99" s="82">
        <f t="shared" si="46"/>
        <v>2.3940261636067651E-2</v>
      </c>
      <c r="S99" s="82">
        <f t="shared" si="47"/>
        <v>2.158572645018636E-2</v>
      </c>
      <c r="T99" s="82">
        <f t="shared" si="48"/>
        <v>0</v>
      </c>
      <c r="U99" s="82">
        <f t="shared" si="49"/>
        <v>-2.9999999999999992E-4</v>
      </c>
      <c r="V99" s="84">
        <f t="shared" si="50"/>
        <v>-1.2000000000000066E-3</v>
      </c>
    </row>
    <row r="100" spans="1:22">
      <c r="A100" s="126">
        <v>84</v>
      </c>
      <c r="B100" s="120" t="s">
        <v>136</v>
      </c>
      <c r="C100" s="121" t="s">
        <v>34</v>
      </c>
      <c r="D100" s="2">
        <f>12853768.73*801.495</f>
        <v>10302231368.25135</v>
      </c>
      <c r="E100" s="3">
        <f t="shared" si="51"/>
        <v>1.6139112941607192E-2</v>
      </c>
      <c r="F100" s="2">
        <f>1.32*801.495</f>
        <v>1057.9734000000001</v>
      </c>
      <c r="G100" s="2">
        <f>1.32*801.495</f>
        <v>1057.9734000000001</v>
      </c>
      <c r="H100" s="61">
        <v>119</v>
      </c>
      <c r="I100" s="12">
        <v>2.81E-2</v>
      </c>
      <c r="J100" s="12">
        <v>5.2400000000000002E-2</v>
      </c>
      <c r="K100" s="2">
        <f>12795788.2*820.683</f>
        <v>10501285847.340599</v>
      </c>
      <c r="L100" s="3">
        <f t="shared" si="40"/>
        <v>1.6221947956136198E-2</v>
      </c>
      <c r="M100" s="2">
        <f>1.26*820.683</f>
        <v>1034.0605800000001</v>
      </c>
      <c r="N100" s="2">
        <f>1.28*820.683</f>
        <v>1050.47424</v>
      </c>
      <c r="O100" s="61">
        <v>119</v>
      </c>
      <c r="P100" s="12">
        <v>2.9100000000000001E-2</v>
      </c>
      <c r="Q100" s="12">
        <v>5.2400000000000002E-2</v>
      </c>
      <c r="R100" s="82">
        <f t="shared" si="46"/>
        <v>1.9321491818042442E-2</v>
      </c>
      <c r="S100" s="82">
        <f t="shared" si="47"/>
        <v>-7.0882311407830046E-3</v>
      </c>
      <c r="T100" s="82">
        <f t="shared" si="48"/>
        <v>0</v>
      </c>
      <c r="U100" s="82">
        <f t="shared" si="49"/>
        <v>1.0000000000000009E-3</v>
      </c>
      <c r="V100" s="84">
        <f t="shared" si="50"/>
        <v>0</v>
      </c>
    </row>
    <row r="101" spans="1:22">
      <c r="A101" s="127">
        <v>85</v>
      </c>
      <c r="B101" s="120" t="s">
        <v>137</v>
      </c>
      <c r="C101" s="121" t="s">
        <v>78</v>
      </c>
      <c r="D101" s="2">
        <f>7742957.37*801.495</f>
        <v>6205941617.2681503</v>
      </c>
      <c r="E101" s="3">
        <f t="shared" si="51"/>
        <v>9.7220096394623548E-3</v>
      </c>
      <c r="F101" s="2">
        <f>102.55*801.495</f>
        <v>82193.312250000003</v>
      </c>
      <c r="G101" s="2">
        <f>102.55*801.495</f>
        <v>82193.312250000003</v>
      </c>
      <c r="H101" s="60">
        <v>206</v>
      </c>
      <c r="I101" s="5">
        <v>1.6999999999999999E-3</v>
      </c>
      <c r="J101" s="5">
        <v>8.2000000000000003E-2</v>
      </c>
      <c r="K101" s="2">
        <f>7694705.4*820.683</f>
        <v>6314913911.7882004</v>
      </c>
      <c r="L101" s="3">
        <f t="shared" si="40"/>
        <v>9.755015367994304E-3</v>
      </c>
      <c r="M101" s="2">
        <f>102.74*820.683</f>
        <v>84316.971420000002</v>
      </c>
      <c r="N101" s="2">
        <f>102.74*820.683</f>
        <v>84316.971420000002</v>
      </c>
      <c r="O101" s="60">
        <v>208</v>
      </c>
      <c r="P101" s="5">
        <v>1.8E-3</v>
      </c>
      <c r="Q101" s="5">
        <v>8.3900000000000002E-2</v>
      </c>
      <c r="R101" s="82">
        <f t="shared" si="46"/>
        <v>1.7559348965970382E-2</v>
      </c>
      <c r="S101" s="82">
        <f t="shared" si="47"/>
        <v>2.5837371823399159E-2</v>
      </c>
      <c r="T101" s="82">
        <f t="shared" si="48"/>
        <v>9.7087378640776691E-3</v>
      </c>
      <c r="U101" s="82">
        <f t="shared" si="49"/>
        <v>1.0000000000000005E-4</v>
      </c>
      <c r="V101" s="84">
        <f t="shared" si="50"/>
        <v>1.8999999999999989E-3</v>
      </c>
    </row>
    <row r="102" spans="1:22">
      <c r="A102" s="128">
        <v>86</v>
      </c>
      <c r="B102" s="120" t="s">
        <v>138</v>
      </c>
      <c r="C102" s="121" t="s">
        <v>38</v>
      </c>
      <c r="D102" s="2">
        <f>1794799.02*801.495</f>
        <v>1438522440.5349</v>
      </c>
      <c r="E102" s="3">
        <f t="shared" si="51"/>
        <v>2.2535386079928252E-3</v>
      </c>
      <c r="F102" s="2">
        <f>128.5*801.495</f>
        <v>102992.1075</v>
      </c>
      <c r="G102" s="2">
        <f>131.43*801.495</f>
        <v>105340.48785</v>
      </c>
      <c r="H102" s="60">
        <v>43</v>
      </c>
      <c r="I102" s="5">
        <v>4.0000000000000002E-4</v>
      </c>
      <c r="J102" s="5">
        <v>0.15290000000000001</v>
      </c>
      <c r="K102" s="2">
        <f>1797637.37*820.683</f>
        <v>1475290429.7237101</v>
      </c>
      <c r="L102" s="3">
        <f t="shared" si="40"/>
        <v>2.2789670635643654E-3</v>
      </c>
      <c r="M102" s="2">
        <f>128.65*820.683</f>
        <v>105580.86795</v>
      </c>
      <c r="N102" s="2">
        <f>131.61*820.683</f>
        <v>108010.08963000002</v>
      </c>
      <c r="O102" s="60">
        <v>45</v>
      </c>
      <c r="P102" s="5">
        <v>4.0000000000000002E-4</v>
      </c>
      <c r="Q102" s="5">
        <v>0.15429999999999999</v>
      </c>
      <c r="R102" s="82">
        <f t="shared" si="46"/>
        <v>2.5559552046430577E-2</v>
      </c>
      <c r="S102" s="82">
        <f t="shared" si="47"/>
        <v>2.534259936028967E-2</v>
      </c>
      <c r="T102" s="82">
        <f t="shared" si="48"/>
        <v>4.6511627906976744E-2</v>
      </c>
      <c r="U102" s="82">
        <f t="shared" si="49"/>
        <v>0</v>
      </c>
      <c r="V102" s="84">
        <f t="shared" si="50"/>
        <v>1.3999999999999846E-3</v>
      </c>
    </row>
    <row r="103" spans="1:22" ht="16.5" customHeight="1">
      <c r="A103" s="127">
        <v>87</v>
      </c>
      <c r="B103" s="120" t="s">
        <v>139</v>
      </c>
      <c r="C103" s="121" t="s">
        <v>45</v>
      </c>
      <c r="D103" s="2">
        <v>114676133872.92</v>
      </c>
      <c r="E103" s="3">
        <f t="shared" si="51"/>
        <v>0.17964759381986803</v>
      </c>
      <c r="F103" s="2">
        <v>96275.75</v>
      </c>
      <c r="G103" s="2">
        <v>96275.75</v>
      </c>
      <c r="H103" s="60">
        <v>2950</v>
      </c>
      <c r="I103" s="5">
        <v>5.4699999999999999E-2</v>
      </c>
      <c r="J103" s="5">
        <v>5.5800000000000002E-2</v>
      </c>
      <c r="K103" s="2">
        <v>116943846995.91</v>
      </c>
      <c r="L103" s="3">
        <f t="shared" si="40"/>
        <v>0.18064997252107248</v>
      </c>
      <c r="M103" s="2">
        <v>97808.28</v>
      </c>
      <c r="N103" s="2">
        <v>97808.28</v>
      </c>
      <c r="O103" s="60">
        <v>2956</v>
      </c>
      <c r="P103" s="5">
        <v>5.4699999999999999E-2</v>
      </c>
      <c r="Q103" s="5">
        <v>5.57E-2</v>
      </c>
      <c r="R103" s="82">
        <f t="shared" si="46"/>
        <v>1.9774935258133172E-2</v>
      </c>
      <c r="S103" s="82">
        <f t="shared" si="47"/>
        <v>1.5918130993526396E-2</v>
      </c>
      <c r="T103" s="82">
        <f t="shared" si="48"/>
        <v>2.0338983050847458E-3</v>
      </c>
      <c r="U103" s="82">
        <f t="shared" si="49"/>
        <v>0</v>
      </c>
      <c r="V103" s="84">
        <f t="shared" si="50"/>
        <v>-1.0000000000000286E-4</v>
      </c>
    </row>
    <row r="104" spans="1:22" ht="6" customHeight="1">
      <c r="A104" s="134"/>
      <c r="B104" s="134"/>
      <c r="C104" s="134"/>
      <c r="D104" s="134"/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  <c r="R104" s="134"/>
      <c r="S104" s="134"/>
      <c r="T104" s="134"/>
      <c r="U104" s="134"/>
      <c r="V104" s="134"/>
    </row>
    <row r="105" spans="1:22">
      <c r="A105" s="145" t="s">
        <v>232</v>
      </c>
      <c r="B105" s="145"/>
      <c r="C105" s="145"/>
      <c r="D105" s="145"/>
      <c r="E105" s="145"/>
      <c r="F105" s="145"/>
      <c r="G105" s="145"/>
      <c r="H105" s="145"/>
      <c r="I105" s="145"/>
      <c r="J105" s="145"/>
      <c r="K105" s="145"/>
      <c r="L105" s="145"/>
      <c r="M105" s="145"/>
      <c r="N105" s="145"/>
      <c r="O105" s="145"/>
      <c r="P105" s="145"/>
      <c r="Q105" s="145"/>
      <c r="R105" s="145"/>
      <c r="S105" s="145"/>
      <c r="T105" s="145"/>
      <c r="U105" s="145"/>
      <c r="V105" s="145"/>
    </row>
    <row r="106" spans="1:22">
      <c r="A106" s="129">
        <v>89</v>
      </c>
      <c r="B106" s="120" t="s">
        <v>141</v>
      </c>
      <c r="C106" s="121" t="s">
        <v>97</v>
      </c>
      <c r="D106" s="4">
        <v>693511331.64999998</v>
      </c>
      <c r="E106" s="3">
        <f>(D106/$D$115)</f>
        <v>1.0864304350877278E-3</v>
      </c>
      <c r="F106" s="2">
        <v>76534.94</v>
      </c>
      <c r="G106" s="2">
        <v>76534.94</v>
      </c>
      <c r="H106" s="60">
        <v>29</v>
      </c>
      <c r="I106" s="5">
        <v>-2.8999999999999998E-3</v>
      </c>
      <c r="J106" s="5">
        <v>9.8500000000000004E-2</v>
      </c>
      <c r="K106" s="4">
        <v>746120584.71000004</v>
      </c>
      <c r="L106" s="3">
        <f t="shared" ref="L106:L114" si="57">(K106/$K$115)</f>
        <v>1.1525759292832403E-3</v>
      </c>
      <c r="M106" s="2">
        <v>78038.179999999993</v>
      </c>
      <c r="N106" s="2">
        <v>78038.179999999993</v>
      </c>
      <c r="O106" s="60">
        <v>27</v>
      </c>
      <c r="P106" s="5">
        <v>1.6500000000000001E-2</v>
      </c>
      <c r="Q106" s="5">
        <v>0.1191</v>
      </c>
      <c r="R106" s="82">
        <f t="shared" ref="R106" si="58">((K106-D106)/D106)</f>
        <v>7.5859255154248587E-2</v>
      </c>
      <c r="S106" s="82">
        <f t="shared" ref="S106" si="59">((N106-G106)/G106)</f>
        <v>1.9641225301803213E-2</v>
      </c>
      <c r="T106" s="82">
        <f t="shared" ref="T106" si="60">((O106-H106)/H106)</f>
        <v>-6.8965517241379309E-2</v>
      </c>
      <c r="U106" s="82">
        <f t="shared" ref="U106" si="61">P106-I106</f>
        <v>1.9400000000000001E-2</v>
      </c>
      <c r="V106" s="84">
        <f t="shared" ref="V106" si="62">Q106-J106</f>
        <v>2.0599999999999993E-2</v>
      </c>
    </row>
    <row r="107" spans="1:22">
      <c r="A107" s="127">
        <v>90</v>
      </c>
      <c r="B107" s="121" t="s">
        <v>142</v>
      </c>
      <c r="C107" s="121" t="s">
        <v>23</v>
      </c>
      <c r="D107" s="2">
        <f>6390496.49 *801.495</f>
        <v>5121950984.2525501</v>
      </c>
      <c r="E107" s="3">
        <f>(D107/$K$115)</f>
        <v>7.9121760428478467E-3</v>
      </c>
      <c r="F107" s="4">
        <f>130.69*801.495</f>
        <v>104747.38155000001</v>
      </c>
      <c r="G107" s="4">
        <f>130.69*801.495</f>
        <v>104747.38155000001</v>
      </c>
      <c r="H107" s="60">
        <v>332</v>
      </c>
      <c r="I107" s="5">
        <v>5.0000000000000001E-4</v>
      </c>
      <c r="J107" s="5">
        <v>5.1200000000000002E-2</v>
      </c>
      <c r="K107" s="2">
        <f>6541887.93*820.683</f>
        <v>5368816212.0561895</v>
      </c>
      <c r="L107" s="3">
        <f t="shared" si="57"/>
        <v>8.2935231403201536E-3</v>
      </c>
      <c r="M107" s="4">
        <f>130.83*820.683</f>
        <v>107369.95689000002</v>
      </c>
      <c r="N107" s="4">
        <f>130.83*820.683</f>
        <v>107369.95689000002</v>
      </c>
      <c r="O107" s="60">
        <v>333</v>
      </c>
      <c r="P107" s="5">
        <v>5.0000000000000001E-4</v>
      </c>
      <c r="Q107" s="5">
        <v>5.2299999999999999E-2</v>
      </c>
      <c r="R107" s="82">
        <f t="shared" ref="R107:R115" si="63">((K107-D107)/D107)</f>
        <v>4.8197499070691444E-2</v>
      </c>
      <c r="S107" s="82">
        <f t="shared" ref="S107:S115" si="64">((N107-G107)/G107)</f>
        <v>2.5037144615859947E-2</v>
      </c>
      <c r="T107" s="82">
        <f t="shared" ref="T107:T115" si="65">((O107-H107)/H107)</f>
        <v>3.0120481927710845E-3</v>
      </c>
      <c r="U107" s="82">
        <f t="shared" ref="U107:U115" si="66">P107-I107</f>
        <v>0</v>
      </c>
      <c r="V107" s="84">
        <f t="shared" ref="V107:V115" si="67">Q107-J107</f>
        <v>1.0999999999999968E-3</v>
      </c>
    </row>
    <row r="108" spans="1:22">
      <c r="A108" s="125">
        <v>91</v>
      </c>
      <c r="B108" s="120" t="s">
        <v>143</v>
      </c>
      <c r="C108" s="121" t="s">
        <v>58</v>
      </c>
      <c r="D108" s="4">
        <v>10980032579.370001</v>
      </c>
      <c r="E108" s="3">
        <f t="shared" ref="E108:E114" si="68">(D108/$D$115)</f>
        <v>1.7200932454990804E-2</v>
      </c>
      <c r="F108" s="4" t="s">
        <v>247</v>
      </c>
      <c r="G108" s="4" t="s">
        <v>248</v>
      </c>
      <c r="H108" s="60">
        <v>560</v>
      </c>
      <c r="I108" s="5">
        <v>1.1000000000000001E-3</v>
      </c>
      <c r="J108" s="5">
        <v>6.1800000000000001E-2</v>
      </c>
      <c r="K108" s="4">
        <v>11018456424.700001</v>
      </c>
      <c r="L108" s="3">
        <f t="shared" si="57"/>
        <v>1.7020851472555925E-2</v>
      </c>
      <c r="M108" s="4" t="s">
        <v>252</v>
      </c>
      <c r="N108" s="4" t="s">
        <v>253</v>
      </c>
      <c r="O108" s="60">
        <v>561</v>
      </c>
      <c r="P108" s="5">
        <v>1.1000000000000001E-3</v>
      </c>
      <c r="Q108" s="5">
        <v>6.2E-2</v>
      </c>
      <c r="R108" s="82">
        <f t="shared" si="63"/>
        <v>3.4994290820405346E-3</v>
      </c>
      <c r="S108" s="82" t="e">
        <f t="shared" si="64"/>
        <v>#VALUE!</v>
      </c>
      <c r="T108" s="82">
        <f t="shared" si="65"/>
        <v>1.7857142857142857E-3</v>
      </c>
      <c r="U108" s="82">
        <f t="shared" si="66"/>
        <v>0</v>
      </c>
      <c r="V108" s="84">
        <f t="shared" si="67"/>
        <v>1.9999999999999879E-4</v>
      </c>
    </row>
    <row r="109" spans="1:22">
      <c r="A109" s="128">
        <v>92</v>
      </c>
      <c r="B109" s="120" t="s">
        <v>144</v>
      </c>
      <c r="C109" s="121" t="s">
        <v>56</v>
      </c>
      <c r="D109" s="4">
        <v>3250912686.339735</v>
      </c>
      <c r="E109" s="3">
        <f t="shared" si="68"/>
        <v>5.0927653566225509E-3</v>
      </c>
      <c r="F109" s="4">
        <v>1019.5269702550195</v>
      </c>
      <c r="G109" s="4">
        <v>1019.5269702550195</v>
      </c>
      <c r="H109" s="60">
        <v>160</v>
      </c>
      <c r="I109" s="5">
        <v>5.0858064323036786E-2</v>
      </c>
      <c r="J109" s="5">
        <v>5.841647582280203E-2</v>
      </c>
      <c r="K109" s="4">
        <v>3095104897.099978</v>
      </c>
      <c r="L109" s="3">
        <f t="shared" si="57"/>
        <v>4.7811888267238461E-3</v>
      </c>
      <c r="M109" s="4">
        <v>973.71347903282106</v>
      </c>
      <c r="N109" s="4">
        <v>973.71347903282106</v>
      </c>
      <c r="O109" s="60">
        <v>160</v>
      </c>
      <c r="P109" s="5">
        <v>4.9290529510398563E-2</v>
      </c>
      <c r="Q109" s="5">
        <v>5.8271484419820913E-2</v>
      </c>
      <c r="R109" s="82">
        <f t="shared" si="63"/>
        <v>-4.792739894075225E-2</v>
      </c>
      <c r="S109" s="82">
        <f t="shared" si="64"/>
        <v>-4.4936026764195225E-2</v>
      </c>
      <c r="T109" s="82">
        <f t="shared" si="65"/>
        <v>0</v>
      </c>
      <c r="U109" s="82">
        <f t="shared" si="66"/>
        <v>-1.567534812638223E-3</v>
      </c>
      <c r="V109" s="84">
        <f t="shared" si="67"/>
        <v>-1.4499140298111779E-4</v>
      </c>
    </row>
    <row r="110" spans="1:22">
      <c r="A110" s="128">
        <v>93</v>
      </c>
      <c r="B110" s="121" t="s">
        <v>145</v>
      </c>
      <c r="C110" s="132" t="s">
        <v>40</v>
      </c>
      <c r="D110" s="2">
        <v>10438436743.01</v>
      </c>
      <c r="E110" s="3">
        <f t="shared" si="68"/>
        <v>1.6352487486199361E-2</v>
      </c>
      <c r="F110" s="4">
        <f>1.0258*801.495</f>
        <v>822.17357100000004</v>
      </c>
      <c r="G110" s="4">
        <f>1.0258*801.495</f>
        <v>822.17357100000004</v>
      </c>
      <c r="H110" s="60">
        <v>386</v>
      </c>
      <c r="I110" s="5">
        <v>1.5E-3</v>
      </c>
      <c r="J110" s="5">
        <v>9.0899999999999995E-2</v>
      </c>
      <c r="K110" s="2">
        <v>9129259740.1700001</v>
      </c>
      <c r="L110" s="3">
        <f t="shared" si="57"/>
        <v>1.4102499306843591E-2</v>
      </c>
      <c r="M110" s="4">
        <f>1.0275*820.683</f>
        <v>843.2517825000001</v>
      </c>
      <c r="N110" s="4">
        <f>1.0275*820.683</f>
        <v>843.2517825000001</v>
      </c>
      <c r="O110" s="60">
        <v>384</v>
      </c>
      <c r="P110" s="5">
        <v>1.5E-3</v>
      </c>
      <c r="Q110" s="5">
        <v>9.2200000000000004E-2</v>
      </c>
      <c r="R110" s="82">
        <f t="shared" si="63"/>
        <v>-0.12541887593625339</v>
      </c>
      <c r="S110" s="82">
        <f t="shared" si="64"/>
        <v>2.5637179597445447E-2</v>
      </c>
      <c r="T110" s="82">
        <f t="shared" si="65"/>
        <v>-5.1813471502590676E-3</v>
      </c>
      <c r="U110" s="82">
        <f t="shared" si="66"/>
        <v>0</v>
      </c>
      <c r="V110" s="84">
        <f t="shared" si="67"/>
        <v>1.3000000000000095E-3</v>
      </c>
    </row>
    <row r="111" spans="1:22">
      <c r="A111" s="133">
        <v>94</v>
      </c>
      <c r="B111" s="120" t="s">
        <v>146</v>
      </c>
      <c r="C111" s="121" t="s">
        <v>80</v>
      </c>
      <c r="D111" s="4">
        <v>190257867.31999999</v>
      </c>
      <c r="E111" s="3">
        <f t="shared" si="68"/>
        <v>2.9805127636421767E-4</v>
      </c>
      <c r="F111" s="4">
        <f>0.97*801.495</f>
        <v>777.45015000000001</v>
      </c>
      <c r="G111" s="4">
        <f>0.97*801.495</f>
        <v>777.45015000000001</v>
      </c>
      <c r="H111" s="60">
        <v>3</v>
      </c>
      <c r="I111" s="5">
        <v>1.3662000000000001E-2</v>
      </c>
      <c r="J111" s="5">
        <v>0.10729</v>
      </c>
      <c r="K111" s="4">
        <v>196910362.72999999</v>
      </c>
      <c r="L111" s="3">
        <f t="shared" si="57"/>
        <v>3.0417890748482904E-4</v>
      </c>
      <c r="M111" s="4">
        <f>0.97*820.683</f>
        <v>796.06250999999997</v>
      </c>
      <c r="N111" s="4">
        <f>0.97*820.683</f>
        <v>796.06250999999997</v>
      </c>
      <c r="O111" s="60">
        <v>3</v>
      </c>
      <c r="P111" s="5">
        <v>1.9796999999999999E-2</v>
      </c>
      <c r="Q111" s="5">
        <v>0.12921199999999999</v>
      </c>
      <c r="R111" s="82">
        <f t="shared" si="63"/>
        <v>3.4965678443199304E-2</v>
      </c>
      <c r="S111" s="82">
        <f t="shared" si="64"/>
        <v>2.3940261636067557E-2</v>
      </c>
      <c r="T111" s="82">
        <f t="shared" si="65"/>
        <v>0</v>
      </c>
      <c r="U111" s="82">
        <f t="shared" si="66"/>
        <v>6.1349999999999981E-3</v>
      </c>
      <c r="V111" s="84">
        <f t="shared" si="67"/>
        <v>2.1921999999999997E-2</v>
      </c>
    </row>
    <row r="112" spans="1:22">
      <c r="A112" s="129">
        <v>95</v>
      </c>
      <c r="B112" s="120" t="s">
        <v>147</v>
      </c>
      <c r="C112" s="121" t="s">
        <v>42</v>
      </c>
      <c r="D112" s="2">
        <v>379105005659.87</v>
      </c>
      <c r="E112" s="3">
        <f t="shared" si="68"/>
        <v>0.59389255437696364</v>
      </c>
      <c r="F112" s="4">
        <v>1131.05</v>
      </c>
      <c r="G112" s="4">
        <v>1131.05</v>
      </c>
      <c r="H112" s="60">
        <v>9620</v>
      </c>
      <c r="I112" s="5">
        <v>1.5E-3</v>
      </c>
      <c r="J112" s="5">
        <v>6.2300000000000001E-2</v>
      </c>
      <c r="K112" s="2">
        <v>384981752121.34998</v>
      </c>
      <c r="L112" s="3">
        <f t="shared" si="57"/>
        <v>0.59470373797664233</v>
      </c>
      <c r="M112" s="4">
        <v>1149.54</v>
      </c>
      <c r="N112" s="4">
        <v>1149.54</v>
      </c>
      <c r="O112" s="60">
        <v>9688</v>
      </c>
      <c r="P112" s="5">
        <v>1.4E-3</v>
      </c>
      <c r="Q112" s="5">
        <v>6.3799999999999996E-2</v>
      </c>
      <c r="R112" s="82">
        <f t="shared" si="63"/>
        <v>1.5501632459985376E-2</v>
      </c>
      <c r="S112" s="82">
        <f t="shared" si="64"/>
        <v>1.6347641571990638E-2</v>
      </c>
      <c r="T112" s="82">
        <f t="shared" si="65"/>
        <v>7.068607068607069E-3</v>
      </c>
      <c r="U112" s="82">
        <f t="shared" si="66"/>
        <v>-1.0000000000000005E-4</v>
      </c>
      <c r="V112" s="84">
        <f t="shared" si="67"/>
        <v>1.4999999999999944E-3</v>
      </c>
    </row>
    <row r="113" spans="1:22" ht="16.5" customHeight="1">
      <c r="A113" s="127">
        <v>96</v>
      </c>
      <c r="B113" s="120" t="s">
        <v>148</v>
      </c>
      <c r="C113" s="121" t="s">
        <v>45</v>
      </c>
      <c r="D113" s="2">
        <v>18472706564.799999</v>
      </c>
      <c r="E113" s="3">
        <f t="shared" si="68"/>
        <v>2.8938691719275513E-2</v>
      </c>
      <c r="F113" s="4">
        <v>834.91</v>
      </c>
      <c r="G113" s="4">
        <v>834.91</v>
      </c>
      <c r="H113" s="60">
        <v>128</v>
      </c>
      <c r="I113" s="5">
        <v>7.0599999999999996E-2</v>
      </c>
      <c r="J113" s="5">
        <v>8.3199999999999996E-2</v>
      </c>
      <c r="K113" s="2">
        <v>18894620378.91</v>
      </c>
      <c r="L113" s="3">
        <f t="shared" si="57"/>
        <v>2.9187620725061019E-2</v>
      </c>
      <c r="M113" s="4">
        <v>848.99</v>
      </c>
      <c r="N113" s="4">
        <v>848.99</v>
      </c>
      <c r="O113" s="60">
        <v>131</v>
      </c>
      <c r="P113" s="5">
        <v>0.1076</v>
      </c>
      <c r="Q113" s="5">
        <v>8.3699999999999997E-2</v>
      </c>
      <c r="R113" s="82">
        <f t="shared" si="63"/>
        <v>2.2839848217692325E-2</v>
      </c>
      <c r="S113" s="82">
        <f t="shared" si="64"/>
        <v>1.6864093135787142E-2</v>
      </c>
      <c r="T113" s="82">
        <f t="shared" si="65"/>
        <v>2.34375E-2</v>
      </c>
      <c r="U113" s="82">
        <f t="shared" si="66"/>
        <v>3.7000000000000005E-2</v>
      </c>
      <c r="V113" s="84">
        <f t="shared" si="67"/>
        <v>5.0000000000000044E-4</v>
      </c>
    </row>
    <row r="114" spans="1:22">
      <c r="A114" s="127">
        <v>97</v>
      </c>
      <c r="B114" s="120" t="s">
        <v>149</v>
      </c>
      <c r="C114" s="121" t="s">
        <v>32</v>
      </c>
      <c r="D114" s="4">
        <v>21548531114.086327</v>
      </c>
      <c r="E114" s="3">
        <f t="shared" si="68"/>
        <v>3.3757170164875193E-2</v>
      </c>
      <c r="F114" s="4">
        <f>1.1151*801.495</f>
        <v>893.74707449999994</v>
      </c>
      <c r="G114" s="4">
        <f>1.1151*801.495</f>
        <v>893.74707449999994</v>
      </c>
      <c r="H114" s="60">
        <v>968</v>
      </c>
      <c r="I114" s="5">
        <v>1.1000000000000001E-3</v>
      </c>
      <c r="J114" s="5">
        <v>6.0400000000000002E-2</v>
      </c>
      <c r="K114" s="4">
        <v>22186746505.89571</v>
      </c>
      <c r="L114" s="3">
        <f t="shared" si="57"/>
        <v>3.4273159722223244E-2</v>
      </c>
      <c r="M114" s="4">
        <f>1.1159*820.683</f>
        <v>915.80015969999988</v>
      </c>
      <c r="N114" s="4">
        <f>1.1159*820.683</f>
        <v>915.80015969999988</v>
      </c>
      <c r="O114" s="60">
        <v>976</v>
      </c>
      <c r="P114" s="5">
        <v>6.9999999999999999E-4</v>
      </c>
      <c r="Q114" s="5">
        <v>6.1100000000000002E-2</v>
      </c>
      <c r="R114" s="82">
        <f t="shared" si="63"/>
        <v>2.9617582211540185E-2</v>
      </c>
      <c r="S114" s="82">
        <f t="shared" si="64"/>
        <v>2.467486141125259E-2</v>
      </c>
      <c r="T114" s="82">
        <f t="shared" si="65"/>
        <v>8.2644628099173556E-3</v>
      </c>
      <c r="U114" s="82">
        <f t="shared" si="66"/>
        <v>-4.0000000000000007E-4</v>
      </c>
      <c r="V114" s="84">
        <f t="shared" si="67"/>
        <v>6.9999999999999923E-4</v>
      </c>
    </row>
    <row r="115" spans="1:22">
      <c r="A115" s="76"/>
      <c r="B115" s="19"/>
      <c r="C115" s="67" t="s">
        <v>46</v>
      </c>
      <c r="D115" s="59">
        <f>SUM(D92:D114)</f>
        <v>638339381199.3125</v>
      </c>
      <c r="E115" s="105">
        <f>(D115/$D$175)</f>
        <v>0.31846037594522436</v>
      </c>
      <c r="F115" s="30"/>
      <c r="G115" s="11"/>
      <c r="H115" s="66">
        <f>SUM(H92:H114)</f>
        <v>18227</v>
      </c>
      <c r="I115" s="33"/>
      <c r="J115" s="33"/>
      <c r="K115" s="59">
        <f>SUM(K92:K114)</f>
        <v>647350483168.5968</v>
      </c>
      <c r="L115" s="105">
        <f>(K115/$K$175)</f>
        <v>0.32048958269311173</v>
      </c>
      <c r="M115" s="30"/>
      <c r="N115" s="11"/>
      <c r="O115" s="66">
        <f>SUM(O92:O114)</f>
        <v>18336</v>
      </c>
      <c r="P115" s="33"/>
      <c r="Q115" s="33"/>
      <c r="R115" s="82">
        <f t="shared" si="63"/>
        <v>1.4116475083135615E-2</v>
      </c>
      <c r="S115" s="82" t="e">
        <f t="shared" si="64"/>
        <v>#DIV/0!</v>
      </c>
      <c r="T115" s="82">
        <f t="shared" si="65"/>
        <v>5.9801393537060408E-3</v>
      </c>
      <c r="U115" s="82">
        <f t="shared" si="66"/>
        <v>0</v>
      </c>
      <c r="V115" s="84">
        <f t="shared" si="67"/>
        <v>0</v>
      </c>
    </row>
    <row r="116" spans="1:22" ht="8.25" customHeight="1">
      <c r="A116" s="134"/>
      <c r="B116" s="134"/>
      <c r="C116" s="134"/>
      <c r="D116" s="134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  <c r="P116" s="134"/>
      <c r="Q116" s="134"/>
      <c r="R116" s="134"/>
      <c r="S116" s="134"/>
      <c r="T116" s="134"/>
      <c r="U116" s="134"/>
      <c r="V116" s="134"/>
    </row>
    <row r="117" spans="1:22" ht="15.75">
      <c r="A117" s="141" t="s">
        <v>150</v>
      </c>
      <c r="B117" s="141"/>
      <c r="C117" s="141"/>
      <c r="D117" s="141"/>
      <c r="E117" s="141"/>
      <c r="F117" s="141"/>
      <c r="G117" s="141"/>
      <c r="H117" s="141"/>
      <c r="I117" s="141"/>
      <c r="J117" s="141"/>
      <c r="K117" s="141"/>
      <c r="L117" s="141"/>
      <c r="M117" s="141"/>
      <c r="N117" s="141"/>
      <c r="O117" s="141"/>
      <c r="P117" s="141"/>
      <c r="Q117" s="141"/>
      <c r="R117" s="141"/>
      <c r="S117" s="141"/>
      <c r="T117" s="141"/>
      <c r="U117" s="141"/>
      <c r="V117" s="141"/>
    </row>
    <row r="118" spans="1:22">
      <c r="A118" s="129">
        <v>98</v>
      </c>
      <c r="B118" s="120" t="s">
        <v>254</v>
      </c>
      <c r="C118" s="121" t="s">
        <v>255</v>
      </c>
      <c r="D118" s="2">
        <v>0</v>
      </c>
      <c r="E118" s="3">
        <f>(D118/$D$123)</f>
        <v>0</v>
      </c>
      <c r="F118" s="14">
        <v>0</v>
      </c>
      <c r="G118" s="14">
        <v>0</v>
      </c>
      <c r="H118" s="60">
        <v>0</v>
      </c>
      <c r="I118" s="5">
        <v>0</v>
      </c>
      <c r="J118" s="5">
        <v>0</v>
      </c>
      <c r="K118" s="2">
        <v>2159135234.4099998</v>
      </c>
      <c r="L118" s="3">
        <f>(K118/$K$123)</f>
        <v>2.260132975465538E-2</v>
      </c>
      <c r="M118" s="14">
        <v>101.75</v>
      </c>
      <c r="N118" s="14">
        <v>101.75</v>
      </c>
      <c r="O118" s="60">
        <v>8</v>
      </c>
      <c r="P118" s="5">
        <v>1.1999999999999999E-3</v>
      </c>
      <c r="Q118" s="5">
        <v>1.78E-2</v>
      </c>
      <c r="R118" s="82" t="e">
        <f t="shared" ref="R118" si="69">((K118-D118)/D118)</f>
        <v>#DIV/0!</v>
      </c>
      <c r="S118" s="82" t="e">
        <f t="shared" ref="S118" si="70">((N118-G118)/G118)</f>
        <v>#DIV/0!</v>
      </c>
      <c r="T118" s="82" t="e">
        <f t="shared" ref="T118" si="71">((O118-H118)/H118)</f>
        <v>#DIV/0!</v>
      </c>
      <c r="U118" s="82">
        <f t="shared" ref="U118" si="72">P118-I118</f>
        <v>1.1999999999999999E-3</v>
      </c>
      <c r="V118" s="84">
        <f t="shared" ref="V118" si="73">Q118-J118</f>
        <v>1.78E-2</v>
      </c>
    </row>
    <row r="119" spans="1:22">
      <c r="A119" s="128">
        <v>98</v>
      </c>
      <c r="B119" s="120" t="s">
        <v>151</v>
      </c>
      <c r="C119" s="121" t="s">
        <v>40</v>
      </c>
      <c r="D119" s="2">
        <v>54330953714</v>
      </c>
      <c r="E119" s="3">
        <f>(D119/$D$123)</f>
        <v>0.58296884888479894</v>
      </c>
      <c r="F119" s="14">
        <v>101.33</v>
      </c>
      <c r="G119" s="14">
        <v>101.33</v>
      </c>
      <c r="H119" s="60">
        <v>675</v>
      </c>
      <c r="I119" s="5">
        <v>0</v>
      </c>
      <c r="J119" s="5">
        <v>7.6999999999999999E-2</v>
      </c>
      <c r="K119" s="2">
        <v>54330953714</v>
      </c>
      <c r="L119" s="3">
        <f>(K119/$K$123)</f>
        <v>0.5687238951989867</v>
      </c>
      <c r="M119" s="14">
        <v>101.33</v>
      </c>
      <c r="N119" s="14">
        <v>101.33</v>
      </c>
      <c r="O119" s="60">
        <v>675</v>
      </c>
      <c r="P119" s="5">
        <v>0</v>
      </c>
      <c r="Q119" s="5">
        <v>7.6999999999999999E-2</v>
      </c>
      <c r="R119" s="82">
        <f t="shared" ref="R119" si="74">((K119-D119)/D119)</f>
        <v>0</v>
      </c>
      <c r="S119" s="82">
        <f t="shared" ref="S119" si="75">((N119-G119)/G119)</f>
        <v>0</v>
      </c>
      <c r="T119" s="82">
        <f t="shared" ref="T119" si="76">((O119-H119)/H119)</f>
        <v>0</v>
      </c>
      <c r="U119" s="82">
        <f t="shared" ref="U119" si="77">P119-I119</f>
        <v>0</v>
      </c>
      <c r="V119" s="84">
        <f t="shared" ref="V119" si="78">Q119-J119</f>
        <v>0</v>
      </c>
    </row>
    <row r="120" spans="1:22" ht="17.25" customHeight="1">
      <c r="A120" s="129">
        <v>99</v>
      </c>
      <c r="B120" s="120" t="s">
        <v>152</v>
      </c>
      <c r="C120" s="121" t="s">
        <v>120</v>
      </c>
      <c r="D120" s="2">
        <v>2391844928.9099998</v>
      </c>
      <c r="E120" s="3">
        <f>(D120/$D$123)</f>
        <v>2.5664395516736618E-2</v>
      </c>
      <c r="F120" s="14">
        <v>92.15</v>
      </c>
      <c r="G120" s="14">
        <v>92.15</v>
      </c>
      <c r="H120" s="60">
        <v>2743</v>
      </c>
      <c r="I120" s="5">
        <v>1.3168</v>
      </c>
      <c r="J120" s="5">
        <v>0.15240000000000001</v>
      </c>
      <c r="K120" s="2">
        <v>2558299115.5999999</v>
      </c>
      <c r="L120" s="3">
        <f>(K120/$K$123)</f>
        <v>2.6779685218984831E-2</v>
      </c>
      <c r="M120" s="14">
        <v>92.15</v>
      </c>
      <c r="N120" s="14">
        <v>92.15</v>
      </c>
      <c r="O120" s="60">
        <v>2743</v>
      </c>
      <c r="P120" s="5">
        <v>0.1333</v>
      </c>
      <c r="Q120" s="5">
        <v>0.153</v>
      </c>
      <c r="R120" s="82">
        <f t="shared" ref="R120:R123" si="79">((K120-D120)/D120)</f>
        <v>6.9592382297900796E-2</v>
      </c>
      <c r="S120" s="82">
        <f t="shared" ref="S120:S123" si="80">((N120-G120)/G120)</f>
        <v>0</v>
      </c>
      <c r="T120" s="82">
        <f t="shared" ref="T120:T123" si="81">((O120-H120)/H120)</f>
        <v>0</v>
      </c>
      <c r="U120" s="82">
        <f t="shared" ref="U120:U123" si="82">P120-I120</f>
        <v>-1.1835</v>
      </c>
      <c r="V120" s="84">
        <f t="shared" ref="V120:V123" si="83">Q120-J120</f>
        <v>5.9999999999998943E-4</v>
      </c>
    </row>
    <row r="121" spans="1:22">
      <c r="A121" s="128">
        <v>100</v>
      </c>
      <c r="B121" s="120" t="s">
        <v>153</v>
      </c>
      <c r="C121" s="121" t="s">
        <v>120</v>
      </c>
      <c r="D121" s="2">
        <v>10100733906.09</v>
      </c>
      <c r="E121" s="3">
        <f>(D121/$D$123)</f>
        <v>0.10838045010440558</v>
      </c>
      <c r="F121" s="14">
        <v>36.6</v>
      </c>
      <c r="G121" s="14">
        <v>36.6</v>
      </c>
      <c r="H121" s="60">
        <v>5264</v>
      </c>
      <c r="I121" s="5">
        <v>6.5500000000000003E-2</v>
      </c>
      <c r="J121" s="5">
        <v>0.16589999999999999</v>
      </c>
      <c r="K121" s="2">
        <v>10112289367.41</v>
      </c>
      <c r="L121" s="3">
        <f>(K121/$K$123)</f>
        <v>0.1058531132857837</v>
      </c>
      <c r="M121" s="14">
        <v>36.6</v>
      </c>
      <c r="N121" s="14">
        <v>36.6</v>
      </c>
      <c r="O121" s="60">
        <v>5264</v>
      </c>
      <c r="P121" s="5">
        <v>5.6099999999999997E-2</v>
      </c>
      <c r="Q121" s="5">
        <v>0.1658</v>
      </c>
      <c r="R121" s="82">
        <f t="shared" si="79"/>
        <v>1.1440219520120812E-3</v>
      </c>
      <c r="S121" s="82">
        <f t="shared" si="80"/>
        <v>0</v>
      </c>
      <c r="T121" s="82">
        <f t="shared" si="81"/>
        <v>0</v>
      </c>
      <c r="U121" s="82">
        <f t="shared" si="82"/>
        <v>-9.4000000000000056E-3</v>
      </c>
      <c r="V121" s="84">
        <f t="shared" si="83"/>
        <v>-9.9999999999988987E-5</v>
      </c>
    </row>
    <row r="122" spans="1:22">
      <c r="A122" s="129">
        <v>101</v>
      </c>
      <c r="B122" s="120" t="s">
        <v>154</v>
      </c>
      <c r="C122" s="121" t="s">
        <v>42</v>
      </c>
      <c r="D122" s="2">
        <v>26373477579.299999</v>
      </c>
      <c r="E122" s="3">
        <f>(D122/$D$123)</f>
        <v>0.28298630549405884</v>
      </c>
      <c r="F122" s="14">
        <v>3.7</v>
      </c>
      <c r="G122" s="14">
        <v>3.7</v>
      </c>
      <c r="H122" s="60">
        <v>208853</v>
      </c>
      <c r="I122" s="5">
        <v>1.37E-2</v>
      </c>
      <c r="J122" s="5">
        <v>0.23330000000000001</v>
      </c>
      <c r="K122" s="2">
        <v>26370658903.57</v>
      </c>
      <c r="L122" s="3">
        <f>(K122/$K$123)</f>
        <v>0.27604197654158946</v>
      </c>
      <c r="M122" s="14">
        <v>3.7</v>
      </c>
      <c r="N122" s="14">
        <v>3.7</v>
      </c>
      <c r="O122" s="60">
        <v>208853</v>
      </c>
      <c r="P122" s="5">
        <v>0</v>
      </c>
      <c r="Q122" s="5">
        <v>0.23330000000000001</v>
      </c>
      <c r="R122" s="82">
        <f t="shared" si="79"/>
        <v>-1.0687539106378079E-4</v>
      </c>
      <c r="S122" s="82">
        <f t="shared" si="80"/>
        <v>0</v>
      </c>
      <c r="T122" s="82">
        <f t="shared" si="81"/>
        <v>0</v>
      </c>
      <c r="U122" s="82">
        <f t="shared" si="82"/>
        <v>-1.37E-2</v>
      </c>
      <c r="V122" s="84">
        <f t="shared" si="83"/>
        <v>0</v>
      </c>
    </row>
    <row r="123" spans="1:22">
      <c r="A123" s="76"/>
      <c r="B123" s="19"/>
      <c r="C123" s="72" t="s">
        <v>46</v>
      </c>
      <c r="D123" s="58">
        <f>SUM(D118:D122)</f>
        <v>93197010128.300003</v>
      </c>
      <c r="E123" s="105">
        <f>(D123/$D$175)</f>
        <v>4.649494572411831E-2</v>
      </c>
      <c r="F123" s="30"/>
      <c r="G123" s="34"/>
      <c r="H123" s="66">
        <f>SUM(H118:H122)</f>
        <v>217535</v>
      </c>
      <c r="I123" s="35"/>
      <c r="J123" s="35"/>
      <c r="K123" s="58">
        <f>SUM(K118:K122)</f>
        <v>95531336334.98999</v>
      </c>
      <c r="L123" s="105">
        <f>(K123/$K$175)</f>
        <v>4.7295551501337747E-2</v>
      </c>
      <c r="M123" s="30"/>
      <c r="N123" s="34"/>
      <c r="O123" s="66">
        <f>SUM(O118:O122)</f>
        <v>217543</v>
      </c>
      <c r="P123" s="35"/>
      <c r="Q123" s="35"/>
      <c r="R123" s="82">
        <f t="shared" si="79"/>
        <v>2.5047222045819158E-2</v>
      </c>
      <c r="S123" s="82" t="e">
        <f t="shared" si="80"/>
        <v>#DIV/0!</v>
      </c>
      <c r="T123" s="82">
        <f t="shared" si="81"/>
        <v>3.6775691268071802E-5</v>
      </c>
      <c r="U123" s="82">
        <f t="shared" si="82"/>
        <v>0</v>
      </c>
      <c r="V123" s="84">
        <f t="shared" si="83"/>
        <v>0</v>
      </c>
    </row>
    <row r="124" spans="1:22" ht="7.5" customHeight="1">
      <c r="A124" s="134"/>
      <c r="B124" s="134"/>
      <c r="C124" s="134"/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  <c r="P124" s="134"/>
      <c r="Q124" s="134"/>
      <c r="R124" s="134"/>
      <c r="S124" s="134"/>
      <c r="T124" s="134"/>
      <c r="U124" s="134"/>
      <c r="V124" s="134"/>
    </row>
    <row r="125" spans="1:22" ht="15" customHeight="1">
      <c r="A125" s="141" t="s">
        <v>155</v>
      </c>
      <c r="B125" s="141"/>
      <c r="C125" s="141"/>
      <c r="D125" s="141"/>
      <c r="E125" s="141"/>
      <c r="F125" s="141"/>
      <c r="G125" s="141"/>
      <c r="H125" s="141"/>
      <c r="I125" s="141"/>
      <c r="J125" s="141"/>
      <c r="K125" s="141"/>
      <c r="L125" s="141"/>
      <c r="M125" s="141"/>
      <c r="N125" s="141"/>
      <c r="O125" s="141"/>
      <c r="P125" s="141"/>
      <c r="Q125" s="141"/>
      <c r="R125" s="141"/>
      <c r="S125" s="141"/>
      <c r="T125" s="141"/>
      <c r="U125" s="141"/>
      <c r="V125" s="141"/>
    </row>
    <row r="126" spans="1:22">
      <c r="A126" s="133">
        <v>102</v>
      </c>
      <c r="B126" s="120" t="s">
        <v>156</v>
      </c>
      <c r="C126" s="121" t="s">
        <v>50</v>
      </c>
      <c r="D126" s="4">
        <v>213142621.53999999</v>
      </c>
      <c r="E126" s="3">
        <f t="shared" ref="E126:E149" si="84">(D126/$D$150)</f>
        <v>5.3673466304248272E-3</v>
      </c>
      <c r="F126" s="4">
        <v>4.7699999999999996</v>
      </c>
      <c r="G126" s="4">
        <v>4.87</v>
      </c>
      <c r="H126" s="62">
        <v>11815</v>
      </c>
      <c r="I126" s="6">
        <v>3.4870000000000001E-3</v>
      </c>
      <c r="J126" s="6">
        <v>0.26882699999999998</v>
      </c>
      <c r="K126" s="4">
        <v>213858932.52000001</v>
      </c>
      <c r="L126" s="16">
        <f t="shared" ref="L126:L141" si="85">(K126/$K$150)</f>
        <v>5.351720845581452E-3</v>
      </c>
      <c r="M126" s="4">
        <v>4.78</v>
      </c>
      <c r="N126" s="4">
        <v>4.88</v>
      </c>
      <c r="O126" s="62">
        <v>11813</v>
      </c>
      <c r="P126" s="6">
        <v>4.5519999999999996E-3</v>
      </c>
      <c r="Q126" s="6">
        <v>0.27337800000000001</v>
      </c>
      <c r="R126" s="82">
        <f t="shared" ref="R126" si="86">((K126-D126)/D126)</f>
        <v>3.3607120660547503E-3</v>
      </c>
      <c r="S126" s="82">
        <f t="shared" ref="S126" si="87">((N126-G126)/G126)</f>
        <v>2.0533880903490323E-3</v>
      </c>
      <c r="T126" s="82">
        <f t="shared" ref="T126" si="88">((O126-H126)/H126)</f>
        <v>-1.6927634363097757E-4</v>
      </c>
      <c r="U126" s="82">
        <f t="shared" ref="U126" si="89">P126-I126</f>
        <v>1.0649999999999995E-3</v>
      </c>
      <c r="V126" s="84">
        <f t="shared" ref="V126" si="90">Q126-J126</f>
        <v>4.5510000000000272E-3</v>
      </c>
    </row>
    <row r="127" spans="1:22">
      <c r="A127" s="129">
        <v>103</v>
      </c>
      <c r="B127" s="120" t="s">
        <v>157</v>
      </c>
      <c r="C127" s="121" t="s">
        <v>21</v>
      </c>
      <c r="D127" s="4">
        <v>6034356134.8299999</v>
      </c>
      <c r="E127" s="3">
        <f t="shared" si="84"/>
        <v>0.15195684857889821</v>
      </c>
      <c r="F127" s="4">
        <v>644.66780000000006</v>
      </c>
      <c r="G127" s="4">
        <v>664.10500000000002</v>
      </c>
      <c r="H127" s="62">
        <v>21198</v>
      </c>
      <c r="I127" s="6">
        <v>0.27179999999999999</v>
      </c>
      <c r="J127" s="6">
        <v>0.26100000000000001</v>
      </c>
      <c r="K127" s="4">
        <v>6071736412.8999996</v>
      </c>
      <c r="L127" s="16">
        <f t="shared" si="85"/>
        <v>0.15194239467530321</v>
      </c>
      <c r="M127" s="4">
        <v>647.20809999999994</v>
      </c>
      <c r="N127" s="4">
        <v>666.72190000000001</v>
      </c>
      <c r="O127" s="62">
        <v>21197</v>
      </c>
      <c r="P127" s="6">
        <v>0.20549999999999999</v>
      </c>
      <c r="Q127" s="6">
        <v>0.26079999999999998</v>
      </c>
      <c r="R127" s="82">
        <f t="shared" ref="R127:R150" si="91">((K127-D127)/D127)</f>
        <v>6.1945760632592783E-3</v>
      </c>
      <c r="S127" s="82">
        <f t="shared" ref="S127:S150" si="92">((N127-G127)/G127)</f>
        <v>3.9404913379661151E-3</v>
      </c>
      <c r="T127" s="82">
        <f t="shared" ref="T127:T150" si="93">((O127-H127)/H127)</f>
        <v>-4.7174261722804039E-5</v>
      </c>
      <c r="U127" s="82">
        <f t="shared" ref="U127:U150" si="94">P127-I127</f>
        <v>-6.6299999999999998E-2</v>
      </c>
      <c r="V127" s="84">
        <f t="shared" ref="V127:V150" si="95">Q127-J127</f>
        <v>-2.0000000000003348E-4</v>
      </c>
    </row>
    <row r="128" spans="1:22">
      <c r="A128" s="126">
        <v>104</v>
      </c>
      <c r="B128" s="120" t="s">
        <v>158</v>
      </c>
      <c r="C128" s="121" t="s">
        <v>91</v>
      </c>
      <c r="D128" s="4">
        <v>3229231415.2600002</v>
      </c>
      <c r="E128" s="3">
        <f t="shared" si="84"/>
        <v>8.1318340885213461E-2</v>
      </c>
      <c r="F128" s="4">
        <v>18.060099999999998</v>
      </c>
      <c r="G128" s="4">
        <v>18.2654</v>
      </c>
      <c r="H128" s="60">
        <v>6275</v>
      </c>
      <c r="I128" s="5">
        <v>3.0000000000000001E-3</v>
      </c>
      <c r="J128" s="5">
        <v>0.3034</v>
      </c>
      <c r="K128" s="4">
        <v>3240216727.8800001</v>
      </c>
      <c r="L128" s="16">
        <f t="shared" si="85"/>
        <v>8.1084924545648432E-2</v>
      </c>
      <c r="M128" s="4">
        <v>18.135200000000001</v>
      </c>
      <c r="N128" s="4">
        <v>18.341999999999999</v>
      </c>
      <c r="O128" s="60">
        <v>6275</v>
      </c>
      <c r="P128" s="5">
        <v>9.1000000000000004E-3</v>
      </c>
      <c r="Q128" s="5">
        <v>0.30890000000000001</v>
      </c>
      <c r="R128" s="82">
        <f t="shared" si="91"/>
        <v>3.4018350521699625E-3</v>
      </c>
      <c r="S128" s="82">
        <f t="shared" si="92"/>
        <v>4.1937214624371277E-3</v>
      </c>
      <c r="T128" s="82">
        <f t="shared" si="93"/>
        <v>0</v>
      </c>
      <c r="U128" s="82">
        <f t="shared" si="94"/>
        <v>6.1000000000000004E-3</v>
      </c>
      <c r="V128" s="84">
        <f t="shared" si="95"/>
        <v>5.5000000000000049E-3</v>
      </c>
    </row>
    <row r="129" spans="1:24">
      <c r="A129" s="126">
        <v>105</v>
      </c>
      <c r="B129" s="120" t="s">
        <v>159</v>
      </c>
      <c r="C129" s="121" t="s">
        <v>101</v>
      </c>
      <c r="D129" s="2">
        <v>1250995210.4924364</v>
      </c>
      <c r="E129" s="3">
        <f t="shared" si="84"/>
        <v>3.1502497619670486E-2</v>
      </c>
      <c r="F129" s="4">
        <v>2.927</v>
      </c>
      <c r="G129" s="4">
        <v>2.9975999999999998</v>
      </c>
      <c r="H129" s="60">
        <v>2754</v>
      </c>
      <c r="I129" s="5">
        <v>0.23589309052262</v>
      </c>
      <c r="J129" s="5">
        <v>0.31787671523854</v>
      </c>
      <c r="K129" s="2">
        <v>1260900885.4929314</v>
      </c>
      <c r="L129" s="16">
        <f t="shared" si="85"/>
        <v>3.1553461310172594E-2</v>
      </c>
      <c r="M129" s="4">
        <v>2.95</v>
      </c>
      <c r="N129" s="4">
        <v>3.0215000000000001</v>
      </c>
      <c r="O129" s="60">
        <v>2754</v>
      </c>
      <c r="P129" s="5">
        <v>0.41570000000000001</v>
      </c>
      <c r="Q129" s="5">
        <v>0.34660000000000002</v>
      </c>
      <c r="R129" s="82">
        <f t="shared" si="91"/>
        <v>7.9182357513548993E-3</v>
      </c>
      <c r="S129" s="82">
        <f t="shared" si="92"/>
        <v>7.9730451027489515E-3</v>
      </c>
      <c r="T129" s="82">
        <f t="shared" si="93"/>
        <v>0</v>
      </c>
      <c r="U129" s="82">
        <f t="shared" si="94"/>
        <v>0.17980690947738001</v>
      </c>
      <c r="V129" s="84">
        <f t="shared" si="95"/>
        <v>2.8723284761460022E-2</v>
      </c>
    </row>
    <row r="130" spans="1:24">
      <c r="A130" s="128">
        <v>106</v>
      </c>
      <c r="B130" s="120" t="s">
        <v>160</v>
      </c>
      <c r="C130" s="121" t="s">
        <v>56</v>
      </c>
      <c r="D130" s="2">
        <v>2859557567.97122</v>
      </c>
      <c r="E130" s="3">
        <f t="shared" si="84"/>
        <v>7.2009232907345913E-2</v>
      </c>
      <c r="F130" s="4">
        <v>5366.9741405883997</v>
      </c>
      <c r="G130" s="4">
        <v>5407.26035166985</v>
      </c>
      <c r="H130" s="60">
        <v>841</v>
      </c>
      <c r="I130" s="5">
        <v>9.2014415263491134E-2</v>
      </c>
      <c r="J130" s="5">
        <v>0.32017762963936985</v>
      </c>
      <c r="K130" s="2">
        <v>2867963048.4537201</v>
      </c>
      <c r="L130" s="16">
        <f t="shared" si="85"/>
        <v>7.1769448439249608E-2</v>
      </c>
      <c r="M130" s="4">
        <v>5382.61486239651</v>
      </c>
      <c r="N130" s="4">
        <v>5423.0722359990004</v>
      </c>
      <c r="O130" s="60">
        <v>843</v>
      </c>
      <c r="P130" s="5">
        <v>0.15195749066196484</v>
      </c>
      <c r="Q130" s="5">
        <v>0.31742200888487665</v>
      </c>
      <c r="R130" s="82">
        <f t="shared" si="91"/>
        <v>2.9394339098630356E-3</v>
      </c>
      <c r="S130" s="82">
        <f t="shared" si="92"/>
        <v>2.9241951193024114E-3</v>
      </c>
      <c r="T130" s="82">
        <f t="shared" si="93"/>
        <v>2.3781212841854932E-3</v>
      </c>
      <c r="U130" s="82">
        <f t="shared" si="94"/>
        <v>5.9943075398473711E-2</v>
      </c>
      <c r="V130" s="84">
        <f t="shared" si="95"/>
        <v>-2.7556207544932043E-3</v>
      </c>
    </row>
    <row r="131" spans="1:24">
      <c r="A131" s="125">
        <v>107</v>
      </c>
      <c r="B131" s="120" t="s">
        <v>161</v>
      </c>
      <c r="C131" s="121" t="s">
        <v>58</v>
      </c>
      <c r="D131" s="4">
        <v>420160271.98000002</v>
      </c>
      <c r="E131" s="3">
        <f t="shared" si="84"/>
        <v>1.0580454550837051E-2</v>
      </c>
      <c r="F131" s="4">
        <v>159.84</v>
      </c>
      <c r="G131" s="4">
        <v>160.9</v>
      </c>
      <c r="H131" s="60">
        <v>626</v>
      </c>
      <c r="I131" s="5">
        <v>6.8999999999999999E-3</v>
      </c>
      <c r="J131" s="5">
        <v>0.2452</v>
      </c>
      <c r="K131" s="4">
        <v>431460455.22000003</v>
      </c>
      <c r="L131" s="16">
        <f t="shared" si="85"/>
        <v>1.0797098278927371E-2</v>
      </c>
      <c r="M131" s="4">
        <v>160.59</v>
      </c>
      <c r="N131" s="4">
        <v>161.63999999999999</v>
      </c>
      <c r="O131" s="60">
        <v>627</v>
      </c>
      <c r="P131" s="5">
        <v>4.5999999999999999E-3</v>
      </c>
      <c r="Q131" s="5">
        <v>0.25059999999999999</v>
      </c>
      <c r="R131" s="82">
        <f t="shared" si="91"/>
        <v>2.6894935084528667E-2</v>
      </c>
      <c r="S131" s="82">
        <f t="shared" si="92"/>
        <v>4.5991298943441929E-3</v>
      </c>
      <c r="T131" s="82">
        <f t="shared" si="93"/>
        <v>1.5974440894568689E-3</v>
      </c>
      <c r="U131" s="82">
        <f t="shared" si="94"/>
        <v>-2.3E-3</v>
      </c>
      <c r="V131" s="84">
        <f t="shared" si="95"/>
        <v>5.3999999999999881E-3</v>
      </c>
    </row>
    <row r="132" spans="1:24">
      <c r="A132" s="133">
        <v>108</v>
      </c>
      <c r="B132" s="120" t="s">
        <v>162</v>
      </c>
      <c r="C132" s="121" t="s">
        <v>60</v>
      </c>
      <c r="D132" s="4">
        <v>3734808.11</v>
      </c>
      <c r="E132" s="3">
        <f t="shared" si="84"/>
        <v>9.4049747439790352E-5</v>
      </c>
      <c r="F132" s="4">
        <v>102.747</v>
      </c>
      <c r="G132" s="4">
        <v>102.99</v>
      </c>
      <c r="H132" s="60">
        <v>0</v>
      </c>
      <c r="I132" s="5">
        <v>0</v>
      </c>
      <c r="J132" s="5">
        <v>0</v>
      </c>
      <c r="K132" s="4">
        <v>3734808.11</v>
      </c>
      <c r="L132" s="16">
        <f t="shared" si="85"/>
        <v>9.3461845063050737E-5</v>
      </c>
      <c r="M132" s="4">
        <v>102.747</v>
      </c>
      <c r="N132" s="4">
        <v>102.99</v>
      </c>
      <c r="O132" s="60">
        <v>0</v>
      </c>
      <c r="P132" s="5">
        <v>0</v>
      </c>
      <c r="Q132" s="5">
        <v>0</v>
      </c>
      <c r="R132" s="82">
        <f t="shared" si="91"/>
        <v>0</v>
      </c>
      <c r="S132" s="82">
        <f t="shared" si="92"/>
        <v>0</v>
      </c>
      <c r="T132" s="82" t="e">
        <f t="shared" si="93"/>
        <v>#DIV/0!</v>
      </c>
      <c r="U132" s="82">
        <f t="shared" si="94"/>
        <v>0</v>
      </c>
      <c r="V132" s="84">
        <f t="shared" si="95"/>
        <v>0</v>
      </c>
    </row>
    <row r="133" spans="1:24">
      <c r="A133" s="129">
        <v>109</v>
      </c>
      <c r="B133" s="120" t="s">
        <v>163</v>
      </c>
      <c r="C133" s="121" t="s">
        <v>105</v>
      </c>
      <c r="D133" s="4">
        <v>162013106.90000001</v>
      </c>
      <c r="E133" s="3">
        <f t="shared" si="84"/>
        <v>4.0798057991474042E-3</v>
      </c>
      <c r="F133" s="4">
        <v>1.4359</v>
      </c>
      <c r="G133" s="4">
        <v>1.4495</v>
      </c>
      <c r="H133" s="60">
        <v>261</v>
      </c>
      <c r="I133" s="5">
        <v>9.2071970761877786E-3</v>
      </c>
      <c r="J133" s="5">
        <v>0.19538794538794524</v>
      </c>
      <c r="K133" s="4">
        <v>163000000</v>
      </c>
      <c r="L133" s="16">
        <f t="shared" si="85"/>
        <v>4.0789995888911336E-3</v>
      </c>
      <c r="M133" s="4">
        <v>1.4435</v>
      </c>
      <c r="N133" s="4">
        <v>1.4573</v>
      </c>
      <c r="O133" s="60">
        <v>261</v>
      </c>
      <c r="P133" s="5">
        <v>5.2928476913434164E-3</v>
      </c>
      <c r="Q133" s="5">
        <v>0.20171495171495168</v>
      </c>
      <c r="R133" s="82">
        <f t="shared" si="91"/>
        <v>6.0914398772016513E-3</v>
      </c>
      <c r="S133" s="82">
        <f t="shared" si="92"/>
        <v>5.3811659192825314E-3</v>
      </c>
      <c r="T133" s="82">
        <f t="shared" si="93"/>
        <v>0</v>
      </c>
      <c r="U133" s="82">
        <f t="shared" si="94"/>
        <v>-3.9143493848443622E-3</v>
      </c>
      <c r="V133" s="84">
        <f t="shared" si="95"/>
        <v>6.3270063270064458E-3</v>
      </c>
    </row>
    <row r="134" spans="1:24">
      <c r="A134" s="126">
        <v>110</v>
      </c>
      <c r="B134" s="120" t="s">
        <v>164</v>
      </c>
      <c r="C134" s="121" t="s">
        <v>25</v>
      </c>
      <c r="D134" s="9">
        <v>119863640.73999999</v>
      </c>
      <c r="E134" s="3">
        <f t="shared" si="84"/>
        <v>3.0184000909248229E-3</v>
      </c>
      <c r="F134" s="4">
        <v>125.5157</v>
      </c>
      <c r="G134" s="4">
        <v>126.02889999999999</v>
      </c>
      <c r="H134" s="60">
        <v>71</v>
      </c>
      <c r="I134" s="5">
        <v>1.354E-3</v>
      </c>
      <c r="J134" s="5">
        <v>0.2117</v>
      </c>
      <c r="K134" s="9">
        <v>134697639.66</v>
      </c>
      <c r="L134" s="16">
        <f t="shared" si="85"/>
        <v>3.3707461153235948E-3</v>
      </c>
      <c r="M134" s="4">
        <v>126.2229</v>
      </c>
      <c r="N134" s="4">
        <v>126.687</v>
      </c>
      <c r="O134" s="60">
        <v>73</v>
      </c>
      <c r="P134" s="5">
        <v>1.075E-3</v>
      </c>
      <c r="Q134" s="5">
        <v>0.21859999999999999</v>
      </c>
      <c r="R134" s="82">
        <f t="shared" si="91"/>
        <v>0.12375728643331381</v>
      </c>
      <c r="S134" s="82">
        <f t="shared" si="92"/>
        <v>5.2218181702768538E-3</v>
      </c>
      <c r="T134" s="82">
        <f t="shared" si="93"/>
        <v>2.8169014084507043E-2</v>
      </c>
      <c r="U134" s="82">
        <f t="shared" si="94"/>
        <v>-2.7899999999999995E-4</v>
      </c>
      <c r="V134" s="84">
        <f t="shared" si="95"/>
        <v>6.8999999999999895E-3</v>
      </c>
    </row>
    <row r="135" spans="1:24">
      <c r="A135" s="128">
        <v>111</v>
      </c>
      <c r="B135" s="120" t="s">
        <v>165</v>
      </c>
      <c r="C135" s="121" t="s">
        <v>64</v>
      </c>
      <c r="D135" s="9">
        <v>180172888.08000001</v>
      </c>
      <c r="E135" s="3">
        <f t="shared" si="84"/>
        <v>4.537104483105992E-3</v>
      </c>
      <c r="F135" s="4">
        <v>114.25</v>
      </c>
      <c r="G135" s="4">
        <v>116.66</v>
      </c>
      <c r="H135" s="60">
        <v>28</v>
      </c>
      <c r="I135" s="5">
        <v>3.2000000000000002E-3</v>
      </c>
      <c r="J135" s="5">
        <v>0.1104</v>
      </c>
      <c r="K135" s="9">
        <v>181058024.97999999</v>
      </c>
      <c r="L135" s="16">
        <f t="shared" si="85"/>
        <v>4.5308933095635617E-3</v>
      </c>
      <c r="M135" s="4">
        <v>114.52</v>
      </c>
      <c r="N135" s="4">
        <v>117.01</v>
      </c>
      <c r="O135" s="60">
        <v>28</v>
      </c>
      <c r="P135" s="5">
        <v>3.0000000000000001E-3</v>
      </c>
      <c r="Q135" s="5">
        <v>0.1134</v>
      </c>
      <c r="R135" s="82">
        <f t="shared" si="91"/>
        <v>4.9127086179967284E-3</v>
      </c>
      <c r="S135" s="82">
        <f t="shared" si="92"/>
        <v>3.0001714383679798E-3</v>
      </c>
      <c r="T135" s="82">
        <f t="shared" si="93"/>
        <v>0</v>
      </c>
      <c r="U135" s="82">
        <f t="shared" si="94"/>
        <v>-2.0000000000000009E-4</v>
      </c>
      <c r="V135" s="84">
        <f t="shared" si="95"/>
        <v>3.0000000000000027E-3</v>
      </c>
    </row>
    <row r="136" spans="1:24" ht="15.75" customHeight="1">
      <c r="A136" s="128">
        <v>112</v>
      </c>
      <c r="B136" s="120" t="s">
        <v>166</v>
      </c>
      <c r="C136" s="121" t="s">
        <v>67</v>
      </c>
      <c r="D136" s="2">
        <v>508605746.51999998</v>
      </c>
      <c r="E136" s="3">
        <f t="shared" si="84"/>
        <v>1.2807683982091393E-2</v>
      </c>
      <c r="F136" s="4">
        <v>1.2491000000000001</v>
      </c>
      <c r="G136" s="4">
        <v>1.2491000000000001</v>
      </c>
      <c r="H136" s="60">
        <v>104</v>
      </c>
      <c r="I136" s="5">
        <v>3.2125933659947017E-3</v>
      </c>
      <c r="J136" s="5">
        <v>0.26116955945044734</v>
      </c>
      <c r="K136" s="2">
        <v>495751045.80000001</v>
      </c>
      <c r="L136" s="16">
        <f t="shared" si="85"/>
        <v>1.2405940564481898E-2</v>
      </c>
      <c r="M136" s="4">
        <v>1.2519</v>
      </c>
      <c r="N136" s="4">
        <v>1.2519</v>
      </c>
      <c r="O136" s="60">
        <v>104</v>
      </c>
      <c r="P136" s="5">
        <v>2.2416139620526085E-3</v>
      </c>
      <c r="Q136" s="5">
        <v>0.25843017378787131</v>
      </c>
      <c r="R136" s="82">
        <f t="shared" si="91"/>
        <v>-2.5274391427849277E-2</v>
      </c>
      <c r="S136" s="82">
        <f t="shared" si="92"/>
        <v>2.2416139620526085E-3</v>
      </c>
      <c r="T136" s="82">
        <f t="shared" si="93"/>
        <v>0</v>
      </c>
      <c r="U136" s="82">
        <f t="shared" si="94"/>
        <v>-9.7097940394209317E-4</v>
      </c>
      <c r="V136" s="84">
        <f t="shared" si="95"/>
        <v>-2.7393856625760327E-3</v>
      </c>
      <c r="X136" s="110"/>
    </row>
    <row r="137" spans="1:24">
      <c r="A137" s="128">
        <v>113</v>
      </c>
      <c r="B137" s="120" t="s">
        <v>167</v>
      </c>
      <c r="C137" s="121" t="s">
        <v>27</v>
      </c>
      <c r="D137" s="4">
        <v>6744779804.9300003</v>
      </c>
      <c r="E137" s="3">
        <f t="shared" si="84"/>
        <v>0.16984670122467549</v>
      </c>
      <c r="F137" s="4">
        <v>255.33</v>
      </c>
      <c r="G137" s="4">
        <v>257.5</v>
      </c>
      <c r="H137" s="60">
        <v>5462</v>
      </c>
      <c r="I137" s="5">
        <v>4.1700000000000001E-2</v>
      </c>
      <c r="J137" s="5">
        <v>0.38550000000000001</v>
      </c>
      <c r="K137" s="4">
        <v>6770848490.0600004</v>
      </c>
      <c r="L137" s="16">
        <f t="shared" si="85"/>
        <v>0.16943735096563736</v>
      </c>
      <c r="M137" s="4">
        <v>256.32</v>
      </c>
      <c r="N137" s="4">
        <v>258.5</v>
      </c>
      <c r="O137" s="60">
        <v>5463</v>
      </c>
      <c r="P137" s="5">
        <v>3.8999999999999998E-3</v>
      </c>
      <c r="Q137" s="5">
        <v>0.39050000000000001</v>
      </c>
      <c r="R137" s="82">
        <f t="shared" si="91"/>
        <v>3.8650164844441005E-3</v>
      </c>
      <c r="S137" s="82">
        <f t="shared" si="92"/>
        <v>3.8834951456310678E-3</v>
      </c>
      <c r="T137" s="82">
        <f t="shared" si="93"/>
        <v>1.8308311973636032E-4</v>
      </c>
      <c r="U137" s="82">
        <f t="shared" si="94"/>
        <v>-3.78E-2</v>
      </c>
      <c r="V137" s="84">
        <f t="shared" si="95"/>
        <v>5.0000000000000044E-3</v>
      </c>
    </row>
    <row r="138" spans="1:24">
      <c r="A138" s="126">
        <v>114</v>
      </c>
      <c r="B138" s="120" t="s">
        <v>168</v>
      </c>
      <c r="C138" s="121" t="s">
        <v>72</v>
      </c>
      <c r="D138" s="4">
        <v>2379031862.4899998</v>
      </c>
      <c r="E138" s="3">
        <f t="shared" si="84"/>
        <v>5.9908659087279999E-2</v>
      </c>
      <c r="F138" s="4">
        <v>1.6587000000000001</v>
      </c>
      <c r="G138" s="4">
        <v>1.6870000000000001</v>
      </c>
      <c r="H138" s="60">
        <v>10336</v>
      </c>
      <c r="I138" s="5">
        <v>8.7370450711014448E-3</v>
      </c>
      <c r="J138" s="5">
        <v>0.28895903911302739</v>
      </c>
      <c r="K138" s="4">
        <v>2391904751.1999998</v>
      </c>
      <c r="L138" s="16">
        <f t="shared" si="85"/>
        <v>5.985630979638986E-2</v>
      </c>
      <c r="M138" s="4">
        <v>1.6674</v>
      </c>
      <c r="N138" s="4">
        <v>1.6960999999999999</v>
      </c>
      <c r="O138" s="60">
        <v>10336</v>
      </c>
      <c r="P138" s="5">
        <v>5.3E-3</v>
      </c>
      <c r="Q138" s="5">
        <v>0.29580000000000001</v>
      </c>
      <c r="R138" s="82">
        <f t="shared" si="91"/>
        <v>5.4109778490006033E-3</v>
      </c>
      <c r="S138" s="82">
        <f t="shared" si="92"/>
        <v>5.3941908713692269E-3</v>
      </c>
      <c r="T138" s="82">
        <f t="shared" si="93"/>
        <v>0</v>
      </c>
      <c r="U138" s="82">
        <f t="shared" si="94"/>
        <v>-3.4370450711014447E-3</v>
      </c>
      <c r="V138" s="84">
        <f t="shared" si="95"/>
        <v>6.8409608869726135E-3</v>
      </c>
    </row>
    <row r="139" spans="1:24">
      <c r="A139" s="125">
        <v>115</v>
      </c>
      <c r="B139" s="120" t="s">
        <v>169</v>
      </c>
      <c r="C139" s="121" t="s">
        <v>74</v>
      </c>
      <c r="D139" s="4">
        <v>168553167.62790558</v>
      </c>
      <c r="E139" s="3">
        <f t="shared" si="84"/>
        <v>4.2444972750102462E-3</v>
      </c>
      <c r="F139" s="4">
        <v>110.10570466885571</v>
      </c>
      <c r="G139" s="4">
        <v>115.40466187700115</v>
      </c>
      <c r="H139" s="60">
        <v>60</v>
      </c>
      <c r="I139" s="5">
        <v>1.6123953359851839E-2</v>
      </c>
      <c r="J139" s="5">
        <v>3.3424518212253992E-2</v>
      </c>
      <c r="K139" s="4">
        <v>167907838.79465103</v>
      </c>
      <c r="L139" s="16">
        <f t="shared" si="85"/>
        <v>4.2018159841409834E-3</v>
      </c>
      <c r="M139" s="4">
        <v>109.68414993376179</v>
      </c>
      <c r="N139" s="4">
        <v>115.02486313518901</v>
      </c>
      <c r="O139" s="60">
        <v>60</v>
      </c>
      <c r="P139" s="5">
        <v>3.291017E-5</v>
      </c>
      <c r="Q139" s="5">
        <v>2.9324518212254E-2</v>
      </c>
      <c r="R139" s="82">
        <f t="shared" si="91"/>
        <v>-3.8286366393253451E-3</v>
      </c>
      <c r="S139" s="82">
        <f t="shared" si="92"/>
        <v>-3.291017326639104E-3</v>
      </c>
      <c r="T139" s="82">
        <f t="shared" si="93"/>
        <v>0</v>
      </c>
      <c r="U139" s="82">
        <f t="shared" si="94"/>
        <v>-1.6091043189851838E-2</v>
      </c>
      <c r="V139" s="84">
        <f t="shared" si="95"/>
        <v>-4.0999999999999925E-3</v>
      </c>
    </row>
    <row r="140" spans="1:24" ht="13.5" customHeight="1">
      <c r="A140" s="127">
        <v>116</v>
      </c>
      <c r="B140" s="120" t="s">
        <v>241</v>
      </c>
      <c r="C140" s="121" t="s">
        <v>32</v>
      </c>
      <c r="D140" s="2">
        <v>2609882844.2895999</v>
      </c>
      <c r="E140" s="3">
        <f t="shared" si="84"/>
        <v>6.572193674305761E-2</v>
      </c>
      <c r="F140" s="4">
        <v>3.6223999999999998</v>
      </c>
      <c r="G140" s="4">
        <v>3.6903000000000001</v>
      </c>
      <c r="H140" s="60">
        <v>2260</v>
      </c>
      <c r="I140" s="5">
        <v>-1.1000000000000001E-3</v>
      </c>
      <c r="J140" s="5">
        <v>0.17399999999999999</v>
      </c>
      <c r="K140" s="2">
        <v>2623022988.8741999</v>
      </c>
      <c r="L140" s="16">
        <f t="shared" si="85"/>
        <v>6.563993676852671E-2</v>
      </c>
      <c r="M140" s="4">
        <v>3.609</v>
      </c>
      <c r="N140" s="4">
        <v>3.6760999999999999</v>
      </c>
      <c r="O140" s="60">
        <v>2261</v>
      </c>
      <c r="P140" s="5">
        <v>-3.7000000000000002E-3</v>
      </c>
      <c r="Q140" s="5">
        <v>0.1696</v>
      </c>
      <c r="R140" s="82">
        <f t="shared" si="91"/>
        <v>5.0347641517129744E-3</v>
      </c>
      <c r="S140" s="82">
        <f t="shared" si="92"/>
        <v>-3.8479256429017187E-3</v>
      </c>
      <c r="T140" s="82">
        <f t="shared" si="93"/>
        <v>4.4247787610619468E-4</v>
      </c>
      <c r="U140" s="82">
        <f t="shared" si="94"/>
        <v>-2.5999999999999999E-3</v>
      </c>
      <c r="V140" s="84">
        <f t="shared" si="95"/>
        <v>-4.3999999999999873E-3</v>
      </c>
    </row>
    <row r="141" spans="1:24">
      <c r="A141" s="126">
        <v>117</v>
      </c>
      <c r="B141" s="120" t="s">
        <v>170</v>
      </c>
      <c r="C141" s="121" t="s">
        <v>114</v>
      </c>
      <c r="D141" s="2">
        <v>176919250.03999999</v>
      </c>
      <c r="E141" s="3">
        <f t="shared" si="84"/>
        <v>4.4551715358407311E-3</v>
      </c>
      <c r="F141" s="4">
        <v>168.61587299999999</v>
      </c>
      <c r="G141" s="4">
        <v>173.56609900000001</v>
      </c>
      <c r="H141" s="60">
        <v>138</v>
      </c>
      <c r="I141" s="5">
        <v>1.6000000000000001E-3</v>
      </c>
      <c r="J141" s="5">
        <v>0.15260000000000001</v>
      </c>
      <c r="K141" s="2">
        <v>177574160.93000001</v>
      </c>
      <c r="L141" s="16">
        <f t="shared" si="85"/>
        <v>4.4437112235040368E-3</v>
      </c>
      <c r="M141" s="4">
        <v>169.17981700000001</v>
      </c>
      <c r="N141" s="4">
        <v>174.23012700000001</v>
      </c>
      <c r="O141" s="60">
        <v>138</v>
      </c>
      <c r="P141" s="5">
        <v>1.2999999999999999E-3</v>
      </c>
      <c r="Q141" s="5">
        <v>0.157</v>
      </c>
      <c r="R141" s="82">
        <f t="shared" si="91"/>
        <v>3.7017503174580804E-3</v>
      </c>
      <c r="S141" s="82">
        <f t="shared" si="92"/>
        <v>3.8257931924828349E-3</v>
      </c>
      <c r="T141" s="82">
        <f t="shared" si="93"/>
        <v>0</v>
      </c>
      <c r="U141" s="82">
        <f t="shared" si="94"/>
        <v>-3.0000000000000014E-4</v>
      </c>
      <c r="V141" s="84">
        <f t="shared" si="95"/>
        <v>4.3999999999999873E-3</v>
      </c>
    </row>
    <row r="142" spans="1:24">
      <c r="A142" s="128">
        <v>118</v>
      </c>
      <c r="B142" s="120" t="s">
        <v>171</v>
      </c>
      <c r="C142" s="121" t="s">
        <v>29</v>
      </c>
      <c r="D142" s="2">
        <v>1519542050.1400001</v>
      </c>
      <c r="E142" s="3">
        <f t="shared" si="84"/>
        <v>3.8265030446184893E-2</v>
      </c>
      <c r="F142" s="4">
        <v>552.20000000000005</v>
      </c>
      <c r="G142" s="4">
        <v>552.20000000000005</v>
      </c>
      <c r="H142" s="60">
        <v>0</v>
      </c>
      <c r="I142" s="5">
        <v>3.5599999999999998E-3</v>
      </c>
      <c r="J142" s="5">
        <v>0.32028000000000001</v>
      </c>
      <c r="K142" s="2">
        <v>1529297934.8199999</v>
      </c>
      <c r="L142" s="16">
        <f t="shared" ref="L142:L149" si="96">(K142/$K$150)</f>
        <v>3.8269973297072629E-2</v>
      </c>
      <c r="M142" s="4">
        <v>552.20000000000005</v>
      </c>
      <c r="N142" s="4">
        <v>552.20000000000005</v>
      </c>
      <c r="O142" s="60">
        <v>818</v>
      </c>
      <c r="P142" s="5">
        <v>6.4200000000000004E-3</v>
      </c>
      <c r="Q142" s="5">
        <v>0.32876129999999998</v>
      </c>
      <c r="R142" s="82">
        <f t="shared" si="91"/>
        <v>6.4202795040130597E-3</v>
      </c>
      <c r="S142" s="82">
        <f t="shared" si="92"/>
        <v>0</v>
      </c>
      <c r="T142" s="82" t="e">
        <f t="shared" si="93"/>
        <v>#DIV/0!</v>
      </c>
      <c r="U142" s="82">
        <f t="shared" si="94"/>
        <v>2.8600000000000006E-3</v>
      </c>
      <c r="V142" s="84">
        <f t="shared" si="95"/>
        <v>8.4812999999999694E-3</v>
      </c>
    </row>
    <row r="143" spans="1:24">
      <c r="A143" s="133">
        <v>119</v>
      </c>
      <c r="B143" s="120" t="s">
        <v>172</v>
      </c>
      <c r="C143" s="121" t="s">
        <v>80</v>
      </c>
      <c r="D143" s="2">
        <v>25321835.050000001</v>
      </c>
      <c r="E143" s="3">
        <f t="shared" si="84"/>
        <v>6.3765315941881979E-4</v>
      </c>
      <c r="F143" s="4">
        <v>1.55</v>
      </c>
      <c r="G143" s="4">
        <v>1.55</v>
      </c>
      <c r="H143" s="60">
        <v>8</v>
      </c>
      <c r="I143" s="5">
        <v>-2.0219999999999999E-3</v>
      </c>
      <c r="J143" s="5">
        <v>0.28377599999999997</v>
      </c>
      <c r="K143" s="2">
        <v>25430081.5</v>
      </c>
      <c r="L143" s="16">
        <f t="shared" si="96"/>
        <v>6.3637602444152153E-4</v>
      </c>
      <c r="M143" s="4">
        <v>1.56</v>
      </c>
      <c r="N143" s="4">
        <v>1.56</v>
      </c>
      <c r="O143" s="60">
        <v>8</v>
      </c>
      <c r="P143" s="5">
        <v>4.1250000000000002E-3</v>
      </c>
      <c r="Q143" s="5" t="s">
        <v>256</v>
      </c>
      <c r="R143" s="82">
        <f t="shared" si="91"/>
        <v>4.2748264407479917E-3</v>
      </c>
      <c r="S143" s="82">
        <f t="shared" si="92"/>
        <v>6.4516129032258117E-3</v>
      </c>
      <c r="T143" s="82">
        <f t="shared" si="93"/>
        <v>0</v>
      </c>
      <c r="U143" s="82">
        <f t="shared" si="94"/>
        <v>6.1469999999999997E-3</v>
      </c>
      <c r="V143" s="84" t="e">
        <f t="shared" si="95"/>
        <v>#VALUE!</v>
      </c>
    </row>
    <row r="144" spans="1:24">
      <c r="A144" s="128">
        <v>120</v>
      </c>
      <c r="B144" s="120" t="s">
        <v>173</v>
      </c>
      <c r="C144" s="121" t="s">
        <v>38</v>
      </c>
      <c r="D144" s="4">
        <v>208026367.75999999</v>
      </c>
      <c r="E144" s="3">
        <f t="shared" si="84"/>
        <v>5.2385093885439129E-3</v>
      </c>
      <c r="F144" s="4">
        <v>2.135049</v>
      </c>
      <c r="G144" s="4">
        <v>2.173578</v>
      </c>
      <c r="H144" s="60">
        <v>112</v>
      </c>
      <c r="I144" s="5">
        <v>1E-3</v>
      </c>
      <c r="J144" s="5">
        <v>0.35489999999999999</v>
      </c>
      <c r="K144" s="4">
        <v>208951004.91</v>
      </c>
      <c r="L144" s="16">
        <f t="shared" si="96"/>
        <v>5.2289022277685841E-3</v>
      </c>
      <c r="M144" s="4">
        <v>2.135049</v>
      </c>
      <c r="N144" s="4">
        <v>2.1800000000000002</v>
      </c>
      <c r="O144" s="60">
        <v>115</v>
      </c>
      <c r="P144" s="5">
        <v>1E-3</v>
      </c>
      <c r="Q144" s="5">
        <v>0.3609</v>
      </c>
      <c r="R144" s="82">
        <f t="shared" si="91"/>
        <v>4.44480745376836E-3</v>
      </c>
      <c r="S144" s="82">
        <f t="shared" si="92"/>
        <v>2.9545753591544216E-3</v>
      </c>
      <c r="T144" s="82">
        <v>1.1200000000000001</v>
      </c>
      <c r="U144" s="82">
        <f t="shared" si="94"/>
        <v>0</v>
      </c>
      <c r="V144" s="84">
        <f t="shared" si="95"/>
        <v>6.0000000000000053E-3</v>
      </c>
    </row>
    <row r="145" spans="1:22">
      <c r="A145" s="129">
        <v>121</v>
      </c>
      <c r="B145" s="120" t="s">
        <v>174</v>
      </c>
      <c r="C145" s="121" t="s">
        <v>42</v>
      </c>
      <c r="D145" s="2">
        <v>2081501225.6800001</v>
      </c>
      <c r="E145" s="3">
        <f t="shared" si="84"/>
        <v>5.2416257758104226E-2</v>
      </c>
      <c r="F145" s="4">
        <v>4688.08</v>
      </c>
      <c r="G145" s="4">
        <v>4725.58</v>
      </c>
      <c r="H145" s="60">
        <v>3544</v>
      </c>
      <c r="I145" s="5">
        <v>0</v>
      </c>
      <c r="J145" s="5">
        <v>0.28510000000000002</v>
      </c>
      <c r="K145" s="2">
        <v>2097463248.5799999</v>
      </c>
      <c r="L145" s="3">
        <f t="shared" si="96"/>
        <v>5.2488047415166141E-2</v>
      </c>
      <c r="M145" s="4">
        <v>4724.13</v>
      </c>
      <c r="N145" s="4">
        <v>4761.91</v>
      </c>
      <c r="O145" s="60">
        <v>3558</v>
      </c>
      <c r="P145" s="5">
        <v>7.7000000000000002E-3</v>
      </c>
      <c r="Q145" s="5">
        <v>0.29499999999999998</v>
      </c>
      <c r="R145" s="82">
        <f t="shared" si="91"/>
        <v>7.6685147734108427E-3</v>
      </c>
      <c r="S145" s="82">
        <f t="shared" si="92"/>
        <v>7.6879451834483657E-3</v>
      </c>
      <c r="T145" s="82">
        <f t="shared" si="93"/>
        <v>3.9503386004514675E-3</v>
      </c>
      <c r="U145" s="82">
        <f t="shared" si="94"/>
        <v>7.7000000000000002E-3</v>
      </c>
      <c r="V145" s="84">
        <f t="shared" si="95"/>
        <v>9.8999999999999644E-3</v>
      </c>
    </row>
    <row r="146" spans="1:22">
      <c r="A146" s="127">
        <v>122</v>
      </c>
      <c r="B146" s="120" t="s">
        <v>175</v>
      </c>
      <c r="C146" s="121" t="s">
        <v>45</v>
      </c>
      <c r="D146" s="4">
        <v>1552667265.1500001</v>
      </c>
      <c r="E146" s="3">
        <f t="shared" si="84"/>
        <v>3.9099187921969973E-2</v>
      </c>
      <c r="F146" s="4">
        <v>1.7404999999999999</v>
      </c>
      <c r="G146" s="4">
        <v>1.7512000000000001</v>
      </c>
      <c r="H146" s="60">
        <v>1896</v>
      </c>
      <c r="I146" s="5">
        <v>7.4999999999999997E-3</v>
      </c>
      <c r="J146" s="5">
        <v>0.34260000000000002</v>
      </c>
      <c r="K146" s="4">
        <v>1555977019.1400001</v>
      </c>
      <c r="L146" s="16">
        <f t="shared" si="96"/>
        <v>3.8937605039239945E-2</v>
      </c>
      <c r="M146" s="4">
        <v>1.744</v>
      </c>
      <c r="N146" s="4">
        <v>1.7554000000000001</v>
      </c>
      <c r="O146" s="60">
        <v>1908</v>
      </c>
      <c r="P146" s="5">
        <v>2E-3</v>
      </c>
      <c r="Q146" s="5">
        <v>0.34510000000000002</v>
      </c>
      <c r="R146" s="82">
        <f t="shared" si="91"/>
        <v>2.1316569649455839E-3</v>
      </c>
      <c r="S146" s="82">
        <f t="shared" si="92"/>
        <v>2.3983554134307796E-3</v>
      </c>
      <c r="T146" s="82">
        <f t="shared" si="93"/>
        <v>6.3291139240506328E-3</v>
      </c>
      <c r="U146" s="82">
        <f t="shared" si="94"/>
        <v>-5.4999999999999997E-3</v>
      </c>
      <c r="V146" s="84">
        <f t="shared" si="95"/>
        <v>2.5000000000000022E-3</v>
      </c>
    </row>
    <row r="147" spans="1:22">
      <c r="A147" s="127">
        <v>123</v>
      </c>
      <c r="B147" s="120" t="s">
        <v>176</v>
      </c>
      <c r="C147" s="121" t="s">
        <v>45</v>
      </c>
      <c r="D147" s="4">
        <v>830337777.50999999</v>
      </c>
      <c r="E147" s="3">
        <f t="shared" si="84"/>
        <v>2.0909523585813446E-2</v>
      </c>
      <c r="F147" s="4">
        <v>1.3461000000000001</v>
      </c>
      <c r="G147" s="4">
        <v>1.3552999999999999</v>
      </c>
      <c r="H147" s="60">
        <v>455</v>
      </c>
      <c r="I147" s="5">
        <v>1.14E-2</v>
      </c>
      <c r="J147" s="5">
        <v>0.25309999999999999</v>
      </c>
      <c r="K147" s="4">
        <v>830091844.27999997</v>
      </c>
      <c r="L147" s="16">
        <f t="shared" si="96"/>
        <v>2.0772664365398787E-2</v>
      </c>
      <c r="M147" s="4">
        <v>1.3452999999999999</v>
      </c>
      <c r="N147" s="4">
        <v>1.3545</v>
      </c>
      <c r="O147" s="60">
        <v>459</v>
      </c>
      <c r="P147" s="5">
        <v>-5.9999999999999995E-4</v>
      </c>
      <c r="Q147" s="5">
        <v>0.25240000000000001</v>
      </c>
      <c r="R147" s="82">
        <f t="shared" si="91"/>
        <v>-2.9618456086331354E-4</v>
      </c>
      <c r="S147" s="82">
        <f t="shared" si="92"/>
        <v>-5.902752158193108E-4</v>
      </c>
      <c r="T147" s="82">
        <f t="shared" si="93"/>
        <v>8.7912087912087912E-3</v>
      </c>
      <c r="U147" s="82">
        <f t="shared" si="94"/>
        <v>-1.2E-2</v>
      </c>
      <c r="V147" s="84">
        <f t="shared" si="95"/>
        <v>-6.9999999999997842E-4</v>
      </c>
    </row>
    <row r="148" spans="1:22">
      <c r="A148" s="127">
        <v>124</v>
      </c>
      <c r="B148" s="120" t="s">
        <v>177</v>
      </c>
      <c r="C148" s="121" t="s">
        <v>87</v>
      </c>
      <c r="D148" s="4">
        <v>6161256032.1899996</v>
      </c>
      <c r="E148" s="3">
        <f t="shared" si="84"/>
        <v>0.15515243532534642</v>
      </c>
      <c r="F148" s="4">
        <v>302.68</v>
      </c>
      <c r="G148" s="4">
        <v>306.17</v>
      </c>
      <c r="H148" s="60">
        <v>29</v>
      </c>
      <c r="I148" s="5">
        <v>3.7499999999999999E-2</v>
      </c>
      <c r="J148" s="5">
        <v>0.60399999999999998</v>
      </c>
      <c r="K148" s="4">
        <v>6245867342.6899996</v>
      </c>
      <c r="L148" s="16">
        <f t="shared" si="96"/>
        <v>0.15629994063252187</v>
      </c>
      <c r="M148" s="4">
        <v>305.89</v>
      </c>
      <c r="N148" s="4">
        <v>309.37</v>
      </c>
      <c r="O148" s="60">
        <v>29</v>
      </c>
      <c r="P148" s="5">
        <v>4.8399999999999999E-2</v>
      </c>
      <c r="Q148" s="5">
        <v>0.62019999999999997</v>
      </c>
      <c r="R148" s="82">
        <f t="shared" si="91"/>
        <v>1.3732802217265619E-2</v>
      </c>
      <c r="S148" s="82">
        <f t="shared" si="92"/>
        <v>1.0451709834405685E-2</v>
      </c>
      <c r="T148" s="82">
        <f t="shared" si="93"/>
        <v>0</v>
      </c>
      <c r="U148" s="82">
        <f t="shared" si="94"/>
        <v>1.09E-2</v>
      </c>
      <c r="V148" s="84">
        <f t="shared" si="95"/>
        <v>1.6199999999999992E-2</v>
      </c>
    </row>
    <row r="149" spans="1:22">
      <c r="A149" s="128">
        <v>125</v>
      </c>
      <c r="B149" s="120" t="s">
        <v>178</v>
      </c>
      <c r="C149" s="121" t="s">
        <v>40</v>
      </c>
      <c r="D149" s="2">
        <v>271332106.47000003</v>
      </c>
      <c r="E149" s="3">
        <f t="shared" si="84"/>
        <v>6.8326712736547553E-3</v>
      </c>
      <c r="F149" s="4">
        <v>195.51</v>
      </c>
      <c r="G149" s="4">
        <v>198.53</v>
      </c>
      <c r="H149" s="60">
        <v>734</v>
      </c>
      <c r="I149" s="5">
        <f>0/2%</f>
        <v>0</v>
      </c>
      <c r="J149" s="5">
        <v>0.41010000000000002</v>
      </c>
      <c r="K149" s="2">
        <v>272064040.39999998</v>
      </c>
      <c r="L149" s="16">
        <f t="shared" si="96"/>
        <v>6.8082767419856477E-3</v>
      </c>
      <c r="M149" s="4">
        <v>196.54</v>
      </c>
      <c r="N149" s="4">
        <v>199.58</v>
      </c>
      <c r="O149" s="60">
        <v>734</v>
      </c>
      <c r="P149" s="5">
        <v>-9.1000000000000004E-3</v>
      </c>
      <c r="Q149" s="5">
        <v>0.39729999999999999</v>
      </c>
      <c r="R149" s="82">
        <f t="shared" si="91"/>
        <v>2.6975573938607012E-3</v>
      </c>
      <c r="S149" s="82">
        <f t="shared" si="92"/>
        <v>5.2888732181534852E-3</v>
      </c>
      <c r="T149" s="82">
        <f t="shared" si="93"/>
        <v>0</v>
      </c>
      <c r="U149" s="82">
        <f t="shared" si="94"/>
        <v>-9.1000000000000004E-3</v>
      </c>
      <c r="V149" s="84">
        <f t="shared" si="95"/>
        <v>-1.2800000000000034E-2</v>
      </c>
    </row>
    <row r="150" spans="1:22">
      <c r="A150" s="85"/>
      <c r="B150" s="19"/>
      <c r="C150" s="72" t="s">
        <v>46</v>
      </c>
      <c r="D150" s="73">
        <f>SUM(D126:D149)</f>
        <v>39710985001.751167</v>
      </c>
      <c r="E150" s="105">
        <f>(D150/$D$175)</f>
        <v>1.9811366156123444E-2</v>
      </c>
      <c r="F150" s="30"/>
      <c r="G150" s="36"/>
      <c r="H150" s="66">
        <f>SUM(H126:H149)</f>
        <v>69007</v>
      </c>
      <c r="I150" s="37"/>
      <c r="J150" s="37"/>
      <c r="K150" s="73">
        <f>SUM(K126:K149)</f>
        <v>39960778727.195503</v>
      </c>
      <c r="L150" s="105">
        <f>(K150/$K$175)</f>
        <v>1.9783739460089642E-2</v>
      </c>
      <c r="M150" s="30"/>
      <c r="N150" s="36"/>
      <c r="O150" s="66">
        <f>SUM(O126:O149)</f>
        <v>69862</v>
      </c>
      <c r="P150" s="37"/>
      <c r="Q150" s="37"/>
      <c r="R150" s="82">
        <f t="shared" si="91"/>
        <v>6.2902928606107496E-3</v>
      </c>
      <c r="S150" s="82" t="e">
        <f t="shared" si="92"/>
        <v>#DIV/0!</v>
      </c>
      <c r="T150" s="82">
        <f t="shared" si="93"/>
        <v>1.2390047386497021E-2</v>
      </c>
      <c r="U150" s="82">
        <f t="shared" si="94"/>
        <v>0</v>
      </c>
      <c r="V150" s="84">
        <f t="shared" si="95"/>
        <v>0</v>
      </c>
    </row>
    <row r="151" spans="1:22" ht="8.25" customHeight="1">
      <c r="A151" s="134"/>
      <c r="B151" s="134"/>
      <c r="C151" s="134"/>
      <c r="D151" s="134"/>
      <c r="E151" s="134"/>
      <c r="F151" s="134"/>
      <c r="G151" s="134"/>
      <c r="H151" s="134"/>
      <c r="I151" s="134"/>
      <c r="J151" s="134"/>
      <c r="K151" s="134"/>
      <c r="L151" s="134"/>
      <c r="M151" s="134"/>
      <c r="N151" s="134"/>
      <c r="O151" s="134"/>
      <c r="P151" s="134"/>
      <c r="Q151" s="134"/>
      <c r="R151" s="134"/>
      <c r="S151" s="134"/>
      <c r="T151" s="134"/>
      <c r="U151" s="134"/>
      <c r="V151" s="134"/>
    </row>
    <row r="152" spans="1:22" ht="15" customHeight="1">
      <c r="A152" s="141" t="s">
        <v>179</v>
      </c>
      <c r="B152" s="141"/>
      <c r="C152" s="141"/>
      <c r="D152" s="141"/>
      <c r="E152" s="141"/>
      <c r="F152" s="141"/>
      <c r="G152" s="141"/>
      <c r="H152" s="141"/>
      <c r="I152" s="141"/>
      <c r="J152" s="141"/>
      <c r="K152" s="141"/>
      <c r="L152" s="141"/>
      <c r="M152" s="141"/>
      <c r="N152" s="141"/>
      <c r="O152" s="141"/>
      <c r="P152" s="141"/>
      <c r="Q152" s="141"/>
      <c r="R152" s="141"/>
      <c r="S152" s="141"/>
      <c r="T152" s="141"/>
      <c r="U152" s="141"/>
      <c r="V152" s="141"/>
    </row>
    <row r="153" spans="1:22">
      <c r="A153" s="129">
        <v>126</v>
      </c>
      <c r="B153" s="120" t="s">
        <v>180</v>
      </c>
      <c r="C153" s="121" t="s">
        <v>21</v>
      </c>
      <c r="D153" s="17">
        <v>722823738.95000005</v>
      </c>
      <c r="E153" s="3">
        <f>(D153/$D$156)</f>
        <v>0.18276610869946222</v>
      </c>
      <c r="F153" s="17">
        <v>53.336799999999997</v>
      </c>
      <c r="G153" s="17">
        <v>54.944899999999997</v>
      </c>
      <c r="H153" s="62">
        <v>1396</v>
      </c>
      <c r="I153" s="6">
        <v>0.25490000000000002</v>
      </c>
      <c r="J153" s="6">
        <v>0.19819999999999999</v>
      </c>
      <c r="K153" s="17">
        <v>716283550.30999994</v>
      </c>
      <c r="L153" s="16">
        <f>(K153/$K$156)</f>
        <v>0.18030598139131715</v>
      </c>
      <c r="M153" s="17">
        <v>53.491999999999997</v>
      </c>
      <c r="N153" s="17">
        <v>55.104799999999997</v>
      </c>
      <c r="O153" s="62">
        <v>1401</v>
      </c>
      <c r="P153" s="6">
        <v>0.1517</v>
      </c>
      <c r="Q153" s="6">
        <v>0.1978</v>
      </c>
      <c r="R153" s="82">
        <f t="shared" ref="R153" si="97">((K153-D153)/D153)</f>
        <v>-9.0481099161195504E-3</v>
      </c>
      <c r="S153" s="82">
        <f t="shared" ref="S153" si="98">((N153-G153)/G153)</f>
        <v>2.9101882067307499E-3</v>
      </c>
      <c r="T153" s="82">
        <f t="shared" ref="T153" si="99">((O153-H153)/H153)</f>
        <v>3.5816618911174787E-3</v>
      </c>
      <c r="U153" s="82">
        <f t="shared" ref="U153" si="100">P153-I153</f>
        <v>-0.10320000000000001</v>
      </c>
      <c r="V153" s="84">
        <f t="shared" ref="V153" si="101">Q153-J153</f>
        <v>-3.999999999999837E-4</v>
      </c>
    </row>
    <row r="154" spans="1:22">
      <c r="A154" s="126">
        <v>127</v>
      </c>
      <c r="B154" s="120" t="s">
        <v>181</v>
      </c>
      <c r="C154" s="121" t="s">
        <v>182</v>
      </c>
      <c r="D154" s="100">
        <v>785841186.00999999</v>
      </c>
      <c r="E154" s="3">
        <f>(D154/$D$156)</f>
        <v>0.19870008120022875</v>
      </c>
      <c r="F154" s="17">
        <v>21.578399999999998</v>
      </c>
      <c r="G154" s="17">
        <v>21.810300000000002</v>
      </c>
      <c r="H154" s="60">
        <v>1508</v>
      </c>
      <c r="I154" s="5">
        <v>2.3E-3</v>
      </c>
      <c r="J154" s="5">
        <v>0.36559999999999998</v>
      </c>
      <c r="K154" s="100">
        <v>783495652.53999996</v>
      </c>
      <c r="L154" s="16">
        <f>(K154/$K$156)</f>
        <v>0.19722490134795839</v>
      </c>
      <c r="M154" s="17">
        <v>21.5671</v>
      </c>
      <c r="N154" s="17">
        <v>21.7986</v>
      </c>
      <c r="O154" s="60">
        <v>1507</v>
      </c>
      <c r="P154" s="5">
        <v>2.0999999999999999E-3</v>
      </c>
      <c r="Q154" s="5">
        <v>0.3649</v>
      </c>
      <c r="R154" s="82">
        <f t="shared" ref="R154:R156" si="102">((K154-D154)/D154)</f>
        <v>-2.98474235221642E-3</v>
      </c>
      <c r="S154" s="82">
        <f t="shared" ref="S154:S156" si="103">((N154-G154)/G154)</f>
        <v>-5.3644379031930571E-4</v>
      </c>
      <c r="T154" s="82">
        <f t="shared" ref="T154:T156" si="104">((O154-H154)/H154)</f>
        <v>-6.6312997347480103E-4</v>
      </c>
      <c r="U154" s="82">
        <f t="shared" ref="U154:U156" si="105">P154-I154</f>
        <v>-2.0000000000000009E-4</v>
      </c>
      <c r="V154" s="84">
        <f t="shared" ref="V154:V156" si="106">Q154-J154</f>
        <v>-6.9999999999997842E-4</v>
      </c>
    </row>
    <row r="155" spans="1:22">
      <c r="A155" s="129">
        <v>128</v>
      </c>
      <c r="B155" s="120" t="s">
        <v>183</v>
      </c>
      <c r="C155" s="121" t="s">
        <v>42</v>
      </c>
      <c r="D155" s="9">
        <v>2446246322.5</v>
      </c>
      <c r="E155" s="3">
        <f>(D155/$D$156)</f>
        <v>0.61853381010030906</v>
      </c>
      <c r="F155" s="17">
        <v>1.93</v>
      </c>
      <c r="G155" s="17">
        <v>1.96</v>
      </c>
      <c r="H155" s="60">
        <v>17768</v>
      </c>
      <c r="I155" s="5">
        <v>5.1000000000000004E-3</v>
      </c>
      <c r="J155" s="5">
        <v>0.36109999999999998</v>
      </c>
      <c r="K155" s="9">
        <v>2472820845.04</v>
      </c>
      <c r="L155" s="16">
        <f>(K155/$K$156)</f>
        <v>0.62246911726072451</v>
      </c>
      <c r="M155" s="17">
        <v>1.95</v>
      </c>
      <c r="N155" s="17">
        <v>1.98</v>
      </c>
      <c r="O155" s="60">
        <v>17772</v>
      </c>
      <c r="P155" s="5">
        <v>1.0200000000000001E-2</v>
      </c>
      <c r="Q155" s="5">
        <v>0.375</v>
      </c>
      <c r="R155" s="82">
        <f t="shared" si="102"/>
        <v>1.0863387834484916E-2</v>
      </c>
      <c r="S155" s="82">
        <f t="shared" si="103"/>
        <v>1.0204081632653071E-2</v>
      </c>
      <c r="T155" s="82">
        <f t="shared" si="104"/>
        <v>2.2512381809995497E-4</v>
      </c>
      <c r="U155" s="82">
        <f t="shared" si="105"/>
        <v>5.1000000000000004E-3</v>
      </c>
      <c r="V155" s="84">
        <f t="shared" si="106"/>
        <v>1.3900000000000023E-2</v>
      </c>
    </row>
    <row r="156" spans="1:22">
      <c r="A156" s="76"/>
      <c r="B156" s="19"/>
      <c r="C156" s="67" t="s">
        <v>46</v>
      </c>
      <c r="D156" s="73">
        <f>SUM(D153:D155)</f>
        <v>3954911247.46</v>
      </c>
      <c r="E156" s="105">
        <f>(D156/$D$175)</f>
        <v>1.9730609763254636E-3</v>
      </c>
      <c r="F156" s="30"/>
      <c r="G156" s="36"/>
      <c r="H156" s="66">
        <f>SUM(H153:H155)</f>
        <v>20672</v>
      </c>
      <c r="I156" s="37"/>
      <c r="J156" s="37"/>
      <c r="K156" s="73">
        <f>SUM(K153:K155)</f>
        <v>3972600047.8899999</v>
      </c>
      <c r="L156" s="105">
        <f>(K156/$K$175)</f>
        <v>1.9667505696806808E-3</v>
      </c>
      <c r="M156" s="30"/>
      <c r="N156" s="36"/>
      <c r="O156" s="66">
        <f>SUM(O153:O155)</f>
        <v>20680</v>
      </c>
      <c r="P156" s="37"/>
      <c r="Q156" s="37"/>
      <c r="R156" s="82">
        <f t="shared" si="102"/>
        <v>4.4726162796599475E-3</v>
      </c>
      <c r="S156" s="82" t="e">
        <f t="shared" si="103"/>
        <v>#DIV/0!</v>
      </c>
      <c r="T156" s="82">
        <f t="shared" si="104"/>
        <v>3.8699690402476783E-4</v>
      </c>
      <c r="U156" s="82">
        <f t="shared" si="105"/>
        <v>0</v>
      </c>
      <c r="V156" s="84">
        <f t="shared" si="106"/>
        <v>0</v>
      </c>
    </row>
    <row r="157" spans="1:22" ht="6" customHeight="1">
      <c r="A157" s="134"/>
      <c r="B157" s="134"/>
      <c r="C157" s="134"/>
      <c r="D157" s="134"/>
      <c r="E157" s="134"/>
      <c r="F157" s="134"/>
      <c r="G157" s="134"/>
      <c r="H157" s="134"/>
      <c r="I157" s="134"/>
      <c r="J157" s="134"/>
      <c r="K157" s="134"/>
      <c r="L157" s="134"/>
      <c r="M157" s="134"/>
      <c r="N157" s="134"/>
      <c r="O157" s="134"/>
      <c r="P157" s="134"/>
      <c r="Q157" s="134"/>
      <c r="R157" s="134"/>
      <c r="S157" s="134"/>
      <c r="T157" s="134"/>
      <c r="U157" s="134"/>
      <c r="V157" s="134"/>
    </row>
    <row r="158" spans="1:22" ht="15" customHeight="1">
      <c r="A158" s="141" t="s">
        <v>184</v>
      </c>
      <c r="B158" s="141"/>
      <c r="C158" s="141"/>
      <c r="D158" s="141"/>
      <c r="E158" s="141"/>
      <c r="F158" s="141"/>
      <c r="G158" s="141"/>
      <c r="H158" s="141"/>
      <c r="I158" s="141"/>
      <c r="J158" s="141"/>
      <c r="K158" s="141"/>
      <c r="L158" s="141"/>
      <c r="M158" s="141"/>
      <c r="N158" s="141"/>
      <c r="O158" s="141"/>
      <c r="P158" s="141"/>
      <c r="Q158" s="141"/>
      <c r="R158" s="141"/>
      <c r="S158" s="141"/>
      <c r="T158" s="141"/>
      <c r="U158" s="141"/>
      <c r="V158" s="141"/>
    </row>
    <row r="159" spans="1:22">
      <c r="A159" s="145" t="s">
        <v>233</v>
      </c>
      <c r="B159" s="145"/>
      <c r="C159" s="145"/>
      <c r="D159" s="145"/>
      <c r="E159" s="145"/>
      <c r="F159" s="145"/>
      <c r="G159" s="145"/>
      <c r="H159" s="145"/>
      <c r="I159" s="145"/>
      <c r="J159" s="145"/>
      <c r="K159" s="145"/>
      <c r="L159" s="145"/>
      <c r="M159" s="145"/>
      <c r="N159" s="145"/>
      <c r="O159" s="145"/>
      <c r="P159" s="145"/>
      <c r="Q159" s="145"/>
      <c r="R159" s="145"/>
      <c r="S159" s="145"/>
      <c r="T159" s="145"/>
      <c r="U159" s="145"/>
      <c r="V159" s="145"/>
    </row>
    <row r="160" spans="1:22">
      <c r="A160" s="126">
        <v>129</v>
      </c>
      <c r="B160" s="120" t="s">
        <v>185</v>
      </c>
      <c r="C160" s="121" t="s">
        <v>186</v>
      </c>
      <c r="D160" s="13">
        <v>3604246207.52</v>
      </c>
      <c r="E160" s="3">
        <f>(D160/$D$174)</f>
        <v>7.9080782495602159E-2</v>
      </c>
      <c r="F160" s="18">
        <v>1.76</v>
      </c>
      <c r="G160" s="18">
        <v>1.79</v>
      </c>
      <c r="H160" s="61">
        <v>14967</v>
      </c>
      <c r="I160" s="12">
        <v>1.6000000000000001E-3</v>
      </c>
      <c r="J160" s="12">
        <v>0.14560000000000001</v>
      </c>
      <c r="K160" s="13">
        <v>3609432517.9299998</v>
      </c>
      <c r="L160" s="3">
        <f>(K160/$K$174)</f>
        <v>7.8354888311124693E-2</v>
      </c>
      <c r="M160" s="18">
        <v>1.76</v>
      </c>
      <c r="N160" s="18">
        <v>1.79</v>
      </c>
      <c r="O160" s="61">
        <v>14960</v>
      </c>
      <c r="P160" s="12">
        <v>2.5999999999999999E-3</v>
      </c>
      <c r="Q160" s="12">
        <v>0.1484</v>
      </c>
      <c r="R160" s="82">
        <f t="shared" ref="R160" si="107">((K160-D160)/D160)</f>
        <v>1.4389445424618842E-3</v>
      </c>
      <c r="S160" s="82">
        <f t="shared" ref="S160:S161" si="108">((N160-G160)/G160)</f>
        <v>0</v>
      </c>
      <c r="T160" s="82">
        <f t="shared" ref="T160" si="109">((O160-H160)/H160)</f>
        <v>-4.6769559698002272E-4</v>
      </c>
      <c r="U160" s="82">
        <f t="shared" ref="U160" si="110">P160-I160</f>
        <v>9.999999999999998E-4</v>
      </c>
      <c r="V160" s="84">
        <f t="shared" ref="V160" si="111">Q160-J160</f>
        <v>2.7999999999999969E-3</v>
      </c>
    </row>
    <row r="161" spans="1:24">
      <c r="A161" s="129">
        <v>130</v>
      </c>
      <c r="B161" s="120" t="s">
        <v>187</v>
      </c>
      <c r="C161" s="121" t="s">
        <v>42</v>
      </c>
      <c r="D161" s="13">
        <v>532011834.43000001</v>
      </c>
      <c r="E161" s="3">
        <f>(D161/$D$174)</f>
        <v>1.1672874088308707E-2</v>
      </c>
      <c r="F161" s="18">
        <v>365.93</v>
      </c>
      <c r="G161" s="18">
        <v>370.31</v>
      </c>
      <c r="H161" s="61">
        <v>1292</v>
      </c>
      <c r="I161" s="12">
        <v>2.3999999999999998E-3</v>
      </c>
      <c r="J161" s="12">
        <v>0.39479999999999998</v>
      </c>
      <c r="K161" s="13">
        <v>539971209.71000004</v>
      </c>
      <c r="L161" s="3">
        <f>(K161/$K$174)</f>
        <v>1.1721893571323578E-2</v>
      </c>
      <c r="M161" s="18">
        <v>368.17</v>
      </c>
      <c r="N161" s="18">
        <v>372.53</v>
      </c>
      <c r="O161" s="61">
        <v>1296</v>
      </c>
      <c r="P161" s="12">
        <v>6.0000000000000001E-3</v>
      </c>
      <c r="Q161" s="12">
        <v>0.4032</v>
      </c>
      <c r="R161" s="82">
        <f t="shared" ref="R161" si="112">((K161-D161)/D161)</f>
        <v>1.4960898921595876E-2</v>
      </c>
      <c r="S161" s="82">
        <f t="shared" si="108"/>
        <v>5.9949771812804692E-3</v>
      </c>
      <c r="T161" s="82">
        <f t="shared" ref="T161" si="113">((O161-H161)/H161)</f>
        <v>3.0959752321981426E-3</v>
      </c>
      <c r="U161" s="82">
        <f t="shared" ref="U161" si="114">P161-I161</f>
        <v>3.6000000000000003E-3</v>
      </c>
      <c r="V161" s="84">
        <f t="shared" ref="V161" si="115">Q161-J161</f>
        <v>8.4000000000000186E-3</v>
      </c>
    </row>
    <row r="162" spans="1:24" ht="6" customHeight="1">
      <c r="A162" s="134"/>
      <c r="B162" s="134"/>
      <c r="C162" s="134"/>
      <c r="D162" s="134"/>
      <c r="E162" s="134"/>
      <c r="F162" s="134"/>
      <c r="G162" s="134"/>
      <c r="H162" s="134"/>
      <c r="I162" s="134"/>
      <c r="J162" s="134"/>
      <c r="K162" s="134"/>
      <c r="L162" s="134"/>
      <c r="M162" s="134"/>
      <c r="N162" s="134"/>
      <c r="O162" s="134"/>
      <c r="P162" s="134"/>
      <c r="Q162" s="134"/>
      <c r="R162" s="134"/>
      <c r="S162" s="134"/>
      <c r="T162" s="134"/>
      <c r="U162" s="134"/>
      <c r="V162" s="134"/>
    </row>
    <row r="163" spans="1:24" ht="15" customHeight="1">
      <c r="A163" s="145" t="s">
        <v>232</v>
      </c>
      <c r="B163" s="145"/>
      <c r="C163" s="145"/>
      <c r="D163" s="145"/>
      <c r="E163" s="145"/>
      <c r="F163" s="145"/>
      <c r="G163" s="145"/>
      <c r="H163" s="145"/>
      <c r="I163" s="145"/>
      <c r="J163" s="145"/>
      <c r="K163" s="145"/>
      <c r="L163" s="145"/>
      <c r="M163" s="145"/>
      <c r="N163" s="145"/>
      <c r="O163" s="145"/>
      <c r="P163" s="145"/>
      <c r="Q163" s="145"/>
      <c r="R163" s="145"/>
      <c r="S163" s="145"/>
      <c r="T163" s="145"/>
      <c r="U163" s="145"/>
      <c r="V163" s="145"/>
    </row>
    <row r="164" spans="1:24">
      <c r="A164" s="128">
        <v>131</v>
      </c>
      <c r="B164" s="120" t="s">
        <v>188</v>
      </c>
      <c r="C164" s="121" t="s">
        <v>189</v>
      </c>
      <c r="D164" s="2">
        <v>403686975.07999998</v>
      </c>
      <c r="E164" s="3">
        <f t="shared" ref="E164:E173" si="116">(D164/$D$174)</f>
        <v>8.8572977633997827E-3</v>
      </c>
      <c r="F164" s="2">
        <v>1022.1</v>
      </c>
      <c r="G164" s="2">
        <v>1022.1</v>
      </c>
      <c r="H164" s="60">
        <v>21</v>
      </c>
      <c r="I164" s="5">
        <v>5.1200000000000002E-2</v>
      </c>
      <c r="J164" s="5">
        <v>9.1700000000000004E-2</v>
      </c>
      <c r="K164" s="2">
        <v>404513226.82999998</v>
      </c>
      <c r="L164" s="3">
        <f t="shared" ref="L164:L173" si="117">(K164/$K$174)</f>
        <v>8.7813218701799228E-3</v>
      </c>
      <c r="M164" s="2">
        <v>1024.19</v>
      </c>
      <c r="N164" s="2">
        <v>1024.19</v>
      </c>
      <c r="O164" s="60">
        <v>21</v>
      </c>
      <c r="P164" s="5">
        <v>2.3E-3</v>
      </c>
      <c r="Q164" s="5">
        <v>9.3200000000000005E-2</v>
      </c>
      <c r="R164" s="82">
        <f t="shared" ref="R164" si="118">((K164-D164)/D164)</f>
        <v>2.0467634603178837E-3</v>
      </c>
      <c r="S164" s="82">
        <f t="shared" ref="S164" si="119">((N164-G164)/G164)</f>
        <v>2.0448097055082983E-3</v>
      </c>
      <c r="T164" s="82">
        <f t="shared" ref="T164" si="120">((O164-H164)/H164)</f>
        <v>0</v>
      </c>
      <c r="U164" s="82">
        <f t="shared" ref="U164" si="121">P164-I164</f>
        <v>-4.8899999999999999E-2</v>
      </c>
      <c r="V164" s="84">
        <f t="shared" ref="V164" si="122">Q164-J164</f>
        <v>1.5000000000000013E-3</v>
      </c>
      <c r="X164" s="71"/>
    </row>
    <row r="165" spans="1:24">
      <c r="A165" s="125">
        <v>132</v>
      </c>
      <c r="B165" s="120" t="s">
        <v>190</v>
      </c>
      <c r="C165" s="121" t="s">
        <v>58</v>
      </c>
      <c r="D165" s="2">
        <v>51394645.450000003</v>
      </c>
      <c r="E165" s="3">
        <f t="shared" si="116"/>
        <v>1.1276501504780972E-3</v>
      </c>
      <c r="F165" s="17">
        <v>108.31</v>
      </c>
      <c r="G165" s="17">
        <v>108.31</v>
      </c>
      <c r="H165" s="60">
        <v>59</v>
      </c>
      <c r="I165" s="5">
        <v>1.4E-3</v>
      </c>
      <c r="J165" s="5">
        <v>0.11409999999999999</v>
      </c>
      <c r="K165" s="2">
        <v>52848635.340000004</v>
      </c>
      <c r="L165" s="3">
        <f t="shared" si="117"/>
        <v>1.1472576087489456E-3</v>
      </c>
      <c r="M165" s="17">
        <v>108.45</v>
      </c>
      <c r="N165" s="17">
        <v>108.45</v>
      </c>
      <c r="O165" s="60">
        <v>60</v>
      </c>
      <c r="P165" s="5">
        <v>1.2999999999999999E-3</v>
      </c>
      <c r="Q165" s="5">
        <v>0.1133</v>
      </c>
      <c r="R165" s="82">
        <f t="shared" ref="R165:R174" si="123">((K165-D165)/D165)</f>
        <v>2.829068820825965E-2</v>
      </c>
      <c r="S165" s="82">
        <f t="shared" ref="S165:S174" si="124">((N165-G165)/G165)</f>
        <v>1.2925860954667212E-3</v>
      </c>
      <c r="T165" s="82">
        <f t="shared" ref="T165:T174" si="125">((O165-H165)/H165)</f>
        <v>1.6949152542372881E-2</v>
      </c>
      <c r="U165" s="82">
        <f t="shared" ref="U165:U174" si="126">P165-I165</f>
        <v>-1.0000000000000005E-4</v>
      </c>
      <c r="V165" s="84">
        <f t="shared" ref="V165:V174" si="127">Q165-J165</f>
        <v>-7.9999999999999516E-4</v>
      </c>
    </row>
    <row r="166" spans="1:24">
      <c r="A166" s="128">
        <v>133</v>
      </c>
      <c r="B166" s="130" t="s">
        <v>191</v>
      </c>
      <c r="C166" s="121" t="s">
        <v>64</v>
      </c>
      <c r="D166" s="9">
        <v>54090006.100000001</v>
      </c>
      <c r="E166" s="3">
        <f t="shared" si="116"/>
        <v>1.1867890708063284E-3</v>
      </c>
      <c r="F166" s="17">
        <v>103.47</v>
      </c>
      <c r="G166" s="17">
        <v>110.39</v>
      </c>
      <c r="H166" s="60">
        <v>10</v>
      </c>
      <c r="I166" s="5">
        <v>1.6999999999999999E-3</v>
      </c>
      <c r="J166" s="5">
        <v>7.8600000000000003E-2</v>
      </c>
      <c r="K166" s="9">
        <v>54153724.020000003</v>
      </c>
      <c r="L166" s="3">
        <f t="shared" si="117"/>
        <v>1.1755889537040133E-3</v>
      </c>
      <c r="M166" s="17">
        <v>103.59601000000001</v>
      </c>
      <c r="N166" s="17">
        <v>110.69825</v>
      </c>
      <c r="O166" s="60">
        <v>10</v>
      </c>
      <c r="P166" s="5">
        <v>2.2000000000000001E-3</v>
      </c>
      <c r="Q166" s="5">
        <v>8.0799999999999997E-2</v>
      </c>
      <c r="R166" s="82">
        <f t="shared" si="123"/>
        <v>1.1779980183807335E-3</v>
      </c>
      <c r="S166" s="82">
        <f t="shared" si="124"/>
        <v>2.7923724975088414E-3</v>
      </c>
      <c r="T166" s="82">
        <f t="shared" si="125"/>
        <v>0</v>
      </c>
      <c r="U166" s="82">
        <f t="shared" si="126"/>
        <v>5.0000000000000023E-4</v>
      </c>
      <c r="V166" s="84">
        <f t="shared" si="127"/>
        <v>2.1999999999999936E-3</v>
      </c>
    </row>
    <row r="167" spans="1:24">
      <c r="A167" s="128">
        <v>134</v>
      </c>
      <c r="B167" s="120" t="s">
        <v>192</v>
      </c>
      <c r="C167" s="121" t="s">
        <v>27</v>
      </c>
      <c r="D167" s="2">
        <v>8400398278.9399996</v>
      </c>
      <c r="E167" s="3">
        <f t="shared" si="116"/>
        <v>0.1843131769930838</v>
      </c>
      <c r="F167" s="17">
        <v>131.32</v>
      </c>
      <c r="G167" s="17">
        <v>131.32</v>
      </c>
      <c r="H167" s="60">
        <v>599</v>
      </c>
      <c r="I167" s="5">
        <v>2.3E-3</v>
      </c>
      <c r="J167" s="5">
        <v>0.129</v>
      </c>
      <c r="K167" s="2">
        <v>8488785388.5299997</v>
      </c>
      <c r="L167" s="3">
        <f t="shared" si="117"/>
        <v>0.18427767459601382</v>
      </c>
      <c r="M167" s="17">
        <v>131.62</v>
      </c>
      <c r="N167" s="17">
        <v>131.62</v>
      </c>
      <c r="O167" s="60">
        <v>603</v>
      </c>
      <c r="P167" s="5">
        <v>2.3E-3</v>
      </c>
      <c r="Q167" s="5">
        <v>0.12909999999999999</v>
      </c>
      <c r="R167" s="82">
        <f t="shared" si="123"/>
        <v>1.0521776070021437E-2</v>
      </c>
      <c r="S167" s="82">
        <f t="shared" si="124"/>
        <v>2.2844958879074885E-3</v>
      </c>
      <c r="T167" s="82">
        <f t="shared" si="125"/>
        <v>6.6777963272120202E-3</v>
      </c>
      <c r="U167" s="82">
        <f t="shared" si="126"/>
        <v>0</v>
      </c>
      <c r="V167" s="84">
        <f t="shared" si="127"/>
        <v>9.9999999999988987E-5</v>
      </c>
    </row>
    <row r="168" spans="1:24">
      <c r="A168" s="126">
        <v>135</v>
      </c>
      <c r="B168" s="120" t="s">
        <v>193</v>
      </c>
      <c r="C168" s="121" t="s">
        <v>186</v>
      </c>
      <c r="D168" s="2">
        <v>17873152751.82</v>
      </c>
      <c r="E168" s="3">
        <f t="shared" si="116"/>
        <v>0.39215492613361025</v>
      </c>
      <c r="F168" s="7">
        <v>1195.92</v>
      </c>
      <c r="G168" s="7">
        <v>1195.92</v>
      </c>
      <c r="H168" s="60">
        <v>7234</v>
      </c>
      <c r="I168" s="5">
        <v>2.0999999999999999E-3</v>
      </c>
      <c r="J168" s="5">
        <v>9.3200000000000005E-2</v>
      </c>
      <c r="K168" s="2">
        <v>18227385983.650002</v>
      </c>
      <c r="L168" s="3">
        <f t="shared" si="117"/>
        <v>0.39568679726189399</v>
      </c>
      <c r="M168" s="7">
        <v>1198.6600000000001</v>
      </c>
      <c r="N168" s="7">
        <v>1198.6600000000001</v>
      </c>
      <c r="O168" s="60">
        <v>7270</v>
      </c>
      <c r="P168" s="5">
        <v>2.3E-3</v>
      </c>
      <c r="Q168" s="5">
        <v>9.5500000000000002E-2</v>
      </c>
      <c r="R168" s="82">
        <f t="shared" si="123"/>
        <v>1.9819291915016544E-2</v>
      </c>
      <c r="S168" s="82">
        <f t="shared" si="124"/>
        <v>2.291123152050312E-3</v>
      </c>
      <c r="T168" s="82">
        <f t="shared" si="125"/>
        <v>4.9764998617638926E-3</v>
      </c>
      <c r="U168" s="82">
        <f t="shared" si="126"/>
        <v>2.0000000000000009E-4</v>
      </c>
      <c r="V168" s="84">
        <f t="shared" si="127"/>
        <v>2.2999999999999965E-3</v>
      </c>
    </row>
    <row r="169" spans="1:24">
      <c r="A169" s="127">
        <v>136</v>
      </c>
      <c r="B169" s="120" t="s">
        <v>194</v>
      </c>
      <c r="C169" s="121" t="s">
        <v>78</v>
      </c>
      <c r="D169" s="2">
        <v>751167301.93000007</v>
      </c>
      <c r="E169" s="3">
        <f t="shared" si="116"/>
        <v>1.6481365201354663E-2</v>
      </c>
      <c r="F169" s="14">
        <v>103.01</v>
      </c>
      <c r="G169" s="14">
        <v>103.01</v>
      </c>
      <c r="H169" s="60">
        <v>517</v>
      </c>
      <c r="I169" s="5">
        <v>2.2000000000000001E-3</v>
      </c>
      <c r="J169" s="5">
        <v>8.8800000000000004E-2</v>
      </c>
      <c r="K169" s="2">
        <v>753829596.85000002</v>
      </c>
      <c r="L169" s="3">
        <f t="shared" si="117"/>
        <v>1.6364410076483777E-2</v>
      </c>
      <c r="M169" s="14">
        <v>103.25</v>
      </c>
      <c r="N169" s="14">
        <v>103.25</v>
      </c>
      <c r="O169" s="60">
        <v>519</v>
      </c>
      <c r="P169" s="5">
        <v>2.3999999999999998E-3</v>
      </c>
      <c r="Q169" s="5">
        <v>9.1200000000000003E-2</v>
      </c>
      <c r="R169" s="82">
        <f t="shared" si="123"/>
        <v>3.5442103419033697E-3</v>
      </c>
      <c r="S169" s="82">
        <f t="shared" si="124"/>
        <v>2.3298708863216666E-3</v>
      </c>
      <c r="T169" s="82">
        <f t="shared" si="125"/>
        <v>3.8684719535783366E-3</v>
      </c>
      <c r="U169" s="82">
        <f t="shared" si="126"/>
        <v>1.9999999999999966E-4</v>
      </c>
      <c r="V169" s="84">
        <f t="shared" si="127"/>
        <v>2.3999999999999994E-3</v>
      </c>
    </row>
    <row r="170" spans="1:24" ht="15.75" customHeight="1">
      <c r="A170" s="129">
        <v>137</v>
      </c>
      <c r="B170" s="120" t="s">
        <v>195</v>
      </c>
      <c r="C170" s="121" t="s">
        <v>42</v>
      </c>
      <c r="D170" s="2">
        <v>8360713264.6700001</v>
      </c>
      <c r="E170" s="3">
        <f t="shared" si="116"/>
        <v>0.18344244791379039</v>
      </c>
      <c r="F170" s="14">
        <v>127.14</v>
      </c>
      <c r="G170" s="14">
        <v>127.14</v>
      </c>
      <c r="H170" s="60">
        <v>1929</v>
      </c>
      <c r="I170" s="5">
        <v>1.2999999999999999E-3</v>
      </c>
      <c r="J170" s="5">
        <v>5.0599999999999999E-2</v>
      </c>
      <c r="K170" s="2">
        <v>8374049035.9799995</v>
      </c>
      <c r="L170" s="3">
        <f t="shared" si="117"/>
        <v>0.18178693566555254</v>
      </c>
      <c r="M170" s="14">
        <v>127.23</v>
      </c>
      <c r="N170" s="14">
        <v>127.23</v>
      </c>
      <c r="O170" s="60">
        <v>1930</v>
      </c>
      <c r="P170" s="5">
        <v>6.9999999999999999E-4</v>
      </c>
      <c r="Q170" s="5">
        <v>5.1299999999999998E-2</v>
      </c>
      <c r="R170" s="82">
        <f t="shared" si="123"/>
        <v>1.59505186792527E-3</v>
      </c>
      <c r="S170" s="82">
        <f t="shared" si="124"/>
        <v>7.0788107597926232E-4</v>
      </c>
      <c r="T170" s="82">
        <f t="shared" si="125"/>
        <v>5.184033177812338E-4</v>
      </c>
      <c r="U170" s="82">
        <f t="shared" si="126"/>
        <v>-5.9999999999999995E-4</v>
      </c>
      <c r="V170" s="84">
        <f t="shared" si="127"/>
        <v>6.9999999999999923E-4</v>
      </c>
    </row>
    <row r="171" spans="1:24">
      <c r="A171" s="127">
        <v>138</v>
      </c>
      <c r="B171" s="120" t="s">
        <v>196</v>
      </c>
      <c r="C171" s="121" t="s">
        <v>45</v>
      </c>
      <c r="D171" s="2">
        <v>5171036921.9499998</v>
      </c>
      <c r="E171" s="3">
        <f t="shared" si="116"/>
        <v>0.11345774471462404</v>
      </c>
      <c r="F171" s="14">
        <v>1.1586000000000001</v>
      </c>
      <c r="G171" s="14">
        <v>1.1586000000000001</v>
      </c>
      <c r="H171" s="60">
        <v>564</v>
      </c>
      <c r="I171" s="5">
        <v>9.9199999999999997E-2</v>
      </c>
      <c r="J171" s="5">
        <v>0.1105</v>
      </c>
      <c r="K171" s="2">
        <v>5185240454.4700003</v>
      </c>
      <c r="L171" s="3">
        <f t="shared" si="117"/>
        <v>0.11256310643240061</v>
      </c>
      <c r="M171" s="14">
        <v>1.1665000000000001</v>
      </c>
      <c r="N171" s="14">
        <v>1.1665000000000001</v>
      </c>
      <c r="O171" s="60">
        <v>569</v>
      </c>
      <c r="P171" s="5">
        <v>0.11</v>
      </c>
      <c r="Q171" s="5">
        <v>0.1162</v>
      </c>
      <c r="R171" s="82">
        <f t="shared" si="123"/>
        <v>2.7467474578859322E-3</v>
      </c>
      <c r="S171" s="82">
        <f t="shared" si="124"/>
        <v>6.8185741412049175E-3</v>
      </c>
      <c r="T171" s="82">
        <f t="shared" si="125"/>
        <v>8.8652482269503553E-3</v>
      </c>
      <c r="U171" s="82">
        <f t="shared" si="126"/>
        <v>1.0800000000000004E-2</v>
      </c>
      <c r="V171" s="84">
        <f t="shared" si="127"/>
        <v>5.6999999999999967E-3</v>
      </c>
    </row>
    <row r="172" spans="1:24">
      <c r="A172" s="122">
        <v>139</v>
      </c>
      <c r="B172" s="120" t="s">
        <v>197</v>
      </c>
      <c r="C172" s="121" t="s">
        <v>198</v>
      </c>
      <c r="D172" s="2">
        <v>332946403.69</v>
      </c>
      <c r="E172" s="3">
        <f t="shared" ref="E172" si="128">(D172/$D$174)</f>
        <v>7.3051785635417739E-3</v>
      </c>
      <c r="F172" s="18">
        <v>99.247100000000003</v>
      </c>
      <c r="G172" s="18">
        <v>99.280299999999997</v>
      </c>
      <c r="H172" s="61">
        <v>136</v>
      </c>
      <c r="I172" s="5">
        <v>1.18E-4</v>
      </c>
      <c r="J172" s="5">
        <v>-7.5290000000000001E-3</v>
      </c>
      <c r="K172" s="2">
        <v>333046403.69</v>
      </c>
      <c r="L172" s="3">
        <f t="shared" ref="L172" si="129">(K172/$K$174)</f>
        <v>7.2298937946393789E-3</v>
      </c>
      <c r="M172" s="18">
        <v>99.279700000000005</v>
      </c>
      <c r="N172" s="18">
        <v>99.312899999999999</v>
      </c>
      <c r="O172" s="61">
        <v>138</v>
      </c>
      <c r="P172" s="5">
        <v>3.2600000000000001E-4</v>
      </c>
      <c r="Q172" s="5">
        <v>-7.2030000000000002E-3</v>
      </c>
      <c r="R172" s="82">
        <f t="shared" ref="R172" si="130">((K172-D172)/D172)</f>
        <v>3.0034864137805221E-4</v>
      </c>
      <c r="S172" s="82">
        <f t="shared" ref="S172" si="131">((N172-G172)/G172)</f>
        <v>3.2836323016753762E-4</v>
      </c>
      <c r="T172" s="82">
        <f t="shared" ref="T172" si="132">((O172-H172)/H172)</f>
        <v>1.4705882352941176E-2</v>
      </c>
      <c r="U172" s="82">
        <f t="shared" ref="U172" si="133">P172-I172</f>
        <v>2.0800000000000001E-4</v>
      </c>
      <c r="V172" s="84">
        <f t="shared" ref="V172" si="134">Q172-J172</f>
        <v>3.259999999999999E-4</v>
      </c>
    </row>
    <row r="173" spans="1:24">
      <c r="A173" s="122">
        <v>140</v>
      </c>
      <c r="B173" s="120" t="s">
        <v>246</v>
      </c>
      <c r="C173" s="121" t="s">
        <v>198</v>
      </c>
      <c r="D173" s="2">
        <v>41920000</v>
      </c>
      <c r="E173" s="3">
        <f t="shared" si="116"/>
        <v>9.1976691139994686E-4</v>
      </c>
      <c r="F173" s="18">
        <v>100</v>
      </c>
      <c r="G173" s="18">
        <v>100</v>
      </c>
      <c r="H173" s="61">
        <v>45</v>
      </c>
      <c r="I173" s="5">
        <v>0</v>
      </c>
      <c r="J173" s="12">
        <v>0</v>
      </c>
      <c r="K173" s="2">
        <v>41930000</v>
      </c>
      <c r="L173" s="3">
        <f t="shared" si="117"/>
        <v>9.1023185793473102E-4</v>
      </c>
      <c r="M173" s="18">
        <v>100</v>
      </c>
      <c r="N173" s="18">
        <v>100</v>
      </c>
      <c r="O173" s="61">
        <v>46</v>
      </c>
      <c r="P173" s="5">
        <v>0</v>
      </c>
      <c r="Q173" s="12">
        <v>0</v>
      </c>
      <c r="R173" s="82">
        <f t="shared" si="123"/>
        <v>2.3854961832061068E-4</v>
      </c>
      <c r="S173" s="82">
        <f t="shared" si="124"/>
        <v>0</v>
      </c>
      <c r="T173" s="82">
        <f t="shared" si="125"/>
        <v>2.2222222222222223E-2</v>
      </c>
      <c r="U173" s="82">
        <f t="shared" si="126"/>
        <v>0</v>
      </c>
      <c r="V173" s="84">
        <f t="shared" si="127"/>
        <v>0</v>
      </c>
    </row>
    <row r="174" spans="1:24">
      <c r="A174" s="86"/>
      <c r="B174" s="19"/>
      <c r="C174" s="67" t="s">
        <v>46</v>
      </c>
      <c r="D174" s="59">
        <f>SUM(D160:D173)</f>
        <v>45576764591.580002</v>
      </c>
      <c r="E174" s="105">
        <f>(D174/$D$175)</f>
        <v>2.273773797087672E-2</v>
      </c>
      <c r="F174" s="30"/>
      <c r="G174" s="34"/>
      <c r="H174" s="69">
        <f>SUM(H160:H173)</f>
        <v>27373</v>
      </c>
      <c r="I174" s="35"/>
      <c r="J174" s="35"/>
      <c r="K174" s="59">
        <f>SUM(K160:K173)</f>
        <v>46065186177</v>
      </c>
      <c r="L174" s="105">
        <f>(K174/$K$175)</f>
        <v>2.2805902951187302E-2</v>
      </c>
      <c r="M174" s="30"/>
      <c r="N174" s="34"/>
      <c r="O174" s="69">
        <f>SUM(O160:O173)</f>
        <v>27422</v>
      </c>
      <c r="P174" s="35"/>
      <c r="Q174" s="35"/>
      <c r="R174" s="82">
        <f t="shared" si="123"/>
        <v>1.0716460235754224E-2</v>
      </c>
      <c r="S174" s="82" t="e">
        <f t="shared" si="124"/>
        <v>#DIV/0!</v>
      </c>
      <c r="T174" s="82">
        <f t="shared" si="125"/>
        <v>1.7900851203740912E-3</v>
      </c>
      <c r="U174" s="82">
        <f t="shared" si="126"/>
        <v>0</v>
      </c>
      <c r="V174" s="84">
        <f t="shared" si="127"/>
        <v>0</v>
      </c>
    </row>
    <row r="175" spans="1:24">
      <c r="A175" s="87"/>
      <c r="B175" s="38"/>
      <c r="C175" s="68" t="s">
        <v>199</v>
      </c>
      <c r="D175" s="70">
        <f>SUM(D22,D54,D88,D115,D123,D150,D156,D174)</f>
        <v>2004454649356.7783</v>
      </c>
      <c r="E175" s="39"/>
      <c r="F175" s="39"/>
      <c r="G175" s="40"/>
      <c r="H175" s="70">
        <f>SUM(H22,H54,H88,H115,H123,H150,H156,H174)</f>
        <v>762540</v>
      </c>
      <c r="I175" s="41"/>
      <c r="J175" s="41"/>
      <c r="K175" s="70">
        <f>SUM(K22,K54,K88,K115,K123,K150,K156,K174)</f>
        <v>2019879952817.2942</v>
      </c>
      <c r="L175" s="39"/>
      <c r="M175" s="39"/>
      <c r="N175" s="40"/>
      <c r="O175" s="70">
        <f>SUM(O22,O54,O88,O115,O123,O150,O156,O174)</f>
        <v>764199</v>
      </c>
      <c r="P175" s="42"/>
      <c r="Q175" s="70"/>
      <c r="R175" s="25"/>
      <c r="S175" s="25"/>
      <c r="T175" s="25"/>
      <c r="U175" s="25"/>
      <c r="V175" s="25"/>
    </row>
    <row r="176" spans="1:24" ht="6.75" customHeight="1">
      <c r="A176" s="134"/>
      <c r="B176" s="134"/>
      <c r="C176" s="134"/>
      <c r="D176" s="134"/>
      <c r="E176" s="134"/>
      <c r="F176" s="134"/>
      <c r="G176" s="134"/>
      <c r="H176" s="134"/>
      <c r="I176" s="134"/>
      <c r="J176" s="134"/>
      <c r="K176" s="134"/>
      <c r="L176" s="134"/>
      <c r="M176" s="134"/>
      <c r="N176" s="134"/>
      <c r="O176" s="134"/>
      <c r="P176" s="134"/>
      <c r="Q176" s="134"/>
      <c r="R176" s="134"/>
      <c r="S176" s="134"/>
      <c r="T176" s="134"/>
      <c r="U176" s="134"/>
      <c r="V176" s="19"/>
    </row>
    <row r="177" spans="1:22" ht="15.75">
      <c r="A177" s="141" t="s">
        <v>200</v>
      </c>
      <c r="B177" s="141"/>
      <c r="C177" s="141"/>
      <c r="D177" s="141"/>
      <c r="E177" s="141"/>
      <c r="F177" s="141"/>
      <c r="G177" s="141"/>
      <c r="H177" s="141"/>
      <c r="I177" s="141"/>
      <c r="J177" s="141"/>
      <c r="K177" s="141"/>
      <c r="L177" s="141"/>
      <c r="M177" s="141"/>
      <c r="N177" s="141"/>
      <c r="O177" s="141"/>
      <c r="P177" s="141"/>
      <c r="Q177" s="141"/>
      <c r="R177" s="141"/>
      <c r="S177" s="141"/>
      <c r="T177" s="141"/>
      <c r="U177" s="141"/>
      <c r="V177" s="141"/>
    </row>
    <row r="178" spans="1:22">
      <c r="A178" s="128">
        <v>1</v>
      </c>
      <c r="B178" s="120" t="s">
        <v>201</v>
      </c>
      <c r="C178" s="121" t="s">
        <v>202</v>
      </c>
      <c r="D178" s="2">
        <v>92548651821</v>
      </c>
      <c r="E178" s="3">
        <f>(D178/$D$180)</f>
        <v>0.97852119404585125</v>
      </c>
      <c r="F178" s="14">
        <v>108.4</v>
      </c>
      <c r="G178" s="14">
        <v>108.4</v>
      </c>
      <c r="H178" s="64">
        <v>0</v>
      </c>
      <c r="I178" s="20">
        <v>0</v>
      </c>
      <c r="J178" s="20">
        <v>0.13800000000000001</v>
      </c>
      <c r="K178" s="2">
        <v>92548651821</v>
      </c>
      <c r="L178" s="3">
        <f>(K178/$K$180)</f>
        <v>0.97845560602463932</v>
      </c>
      <c r="M178" s="14">
        <v>108.4</v>
      </c>
      <c r="N178" s="14">
        <v>108.4</v>
      </c>
      <c r="O178" s="64">
        <v>0</v>
      </c>
      <c r="P178" s="20">
        <v>0</v>
      </c>
      <c r="Q178" s="20">
        <v>0.13800000000000001</v>
      </c>
      <c r="R178" s="82">
        <f t="shared" ref="R178:R179" si="135">((K178-D178)/D178)</f>
        <v>0</v>
      </c>
      <c r="S178" s="82">
        <f t="shared" ref="S178:S179" si="136">((N178-G178)/G178)</f>
        <v>0</v>
      </c>
      <c r="T178" s="82" t="e">
        <f t="shared" ref="T178:T179" si="137">((O178-H178)/H178)</f>
        <v>#DIV/0!</v>
      </c>
      <c r="U178" s="82">
        <f t="shared" ref="U178:U179" si="138">P178-I178</f>
        <v>0</v>
      </c>
      <c r="V178" s="84">
        <f t="shared" ref="V178:V179" si="139">Q178-J178</f>
        <v>0</v>
      </c>
    </row>
    <row r="179" spans="1:22">
      <c r="A179" s="127">
        <v>2</v>
      </c>
      <c r="B179" s="120" t="s">
        <v>203</v>
      </c>
      <c r="C179" s="121" t="s">
        <v>45</v>
      </c>
      <c r="D179" s="2">
        <v>2031468041.6500001</v>
      </c>
      <c r="E179" s="3">
        <f>(D179/$D$180)</f>
        <v>2.1478805954148864E-2</v>
      </c>
      <c r="F179" s="21">
        <v>1000000</v>
      </c>
      <c r="G179" s="21">
        <v>1000000</v>
      </c>
      <c r="H179" s="64">
        <v>0</v>
      </c>
      <c r="I179" s="20">
        <v>0.16639999999999999</v>
      </c>
      <c r="J179" s="20">
        <v>0.16639999999999999</v>
      </c>
      <c r="K179" s="2">
        <v>2037807954.1300001</v>
      </c>
      <c r="L179" s="3">
        <f>(K179/$K$180)</f>
        <v>2.1544393975360617E-2</v>
      </c>
      <c r="M179" s="21">
        <v>1000000</v>
      </c>
      <c r="N179" s="21">
        <v>1000000</v>
      </c>
      <c r="O179" s="64">
        <v>0</v>
      </c>
      <c r="P179" s="20">
        <v>0.16650000000000001</v>
      </c>
      <c r="Q179" s="20">
        <v>0.16650000000000001</v>
      </c>
      <c r="R179" s="82">
        <f t="shared" si="135"/>
        <v>3.1208526789575346E-3</v>
      </c>
      <c r="S179" s="82">
        <f t="shared" si="136"/>
        <v>0</v>
      </c>
      <c r="T179" s="82" t="e">
        <f t="shared" si="137"/>
        <v>#DIV/0!</v>
      </c>
      <c r="U179" s="82">
        <f t="shared" si="138"/>
        <v>1.0000000000001674E-4</v>
      </c>
      <c r="V179" s="84">
        <f t="shared" si="139"/>
        <v>1.0000000000001674E-4</v>
      </c>
    </row>
    <row r="180" spans="1:22">
      <c r="A180" s="38"/>
      <c r="B180" s="38"/>
      <c r="C180" s="68" t="s">
        <v>204</v>
      </c>
      <c r="D180" s="74">
        <f>SUM(D178:D179)</f>
        <v>94580119862.649994</v>
      </c>
      <c r="E180" s="24"/>
      <c r="F180" s="22"/>
      <c r="G180" s="22"/>
      <c r="H180" s="74">
        <f>SUM(H178:H179)</f>
        <v>0</v>
      </c>
      <c r="I180" s="23"/>
      <c r="J180" s="23"/>
      <c r="K180" s="74">
        <f>SUM(K178:K179)</f>
        <v>94586459775.130005</v>
      </c>
      <c r="L180" s="24"/>
      <c r="M180" s="22"/>
      <c r="N180" s="22"/>
      <c r="O180" s="23"/>
      <c r="P180" s="23"/>
      <c r="Q180" s="74"/>
      <c r="R180" s="25">
        <f>((K180-D180)/D180)</f>
        <v>6.703218910293049E-5</v>
      </c>
      <c r="S180" s="26"/>
      <c r="T180" s="26"/>
      <c r="U180" s="25">
        <f t="shared" ref="U180:V180" si="140">O180-H180</f>
        <v>0</v>
      </c>
      <c r="V180" s="88">
        <f t="shared" si="140"/>
        <v>0</v>
      </c>
    </row>
    <row r="181" spans="1:22" ht="8.25" customHeight="1">
      <c r="A181" s="146"/>
      <c r="B181" s="146"/>
      <c r="C181" s="146"/>
      <c r="D181" s="146"/>
      <c r="E181" s="146"/>
      <c r="F181" s="146"/>
      <c r="G181" s="146"/>
      <c r="H181" s="146"/>
      <c r="I181" s="146"/>
      <c r="J181" s="146"/>
      <c r="K181" s="146"/>
      <c r="L181" s="146"/>
      <c r="M181" s="146"/>
      <c r="N181" s="146"/>
      <c r="O181" s="146"/>
      <c r="P181" s="146"/>
      <c r="Q181" s="146"/>
      <c r="R181" s="146"/>
      <c r="S181" s="146"/>
      <c r="T181" s="146"/>
      <c r="U181" s="146"/>
      <c r="V181" s="146"/>
    </row>
    <row r="182" spans="1:22" ht="15.75">
      <c r="A182" s="141" t="s">
        <v>205</v>
      </c>
      <c r="B182" s="141"/>
      <c r="C182" s="141"/>
      <c r="D182" s="141"/>
      <c r="E182" s="141"/>
      <c r="F182" s="141"/>
      <c r="G182" s="141"/>
      <c r="H182" s="141"/>
      <c r="I182" s="141"/>
      <c r="J182" s="141"/>
      <c r="K182" s="141"/>
      <c r="L182" s="141"/>
      <c r="M182" s="141"/>
      <c r="N182" s="141"/>
      <c r="O182" s="141"/>
      <c r="P182" s="141"/>
      <c r="Q182" s="141"/>
      <c r="R182" s="141"/>
      <c r="S182" s="141"/>
      <c r="T182" s="141"/>
      <c r="U182" s="141"/>
      <c r="V182" s="141"/>
    </row>
    <row r="183" spans="1:22">
      <c r="A183" s="125">
        <v>1</v>
      </c>
      <c r="B183" s="120" t="s">
        <v>206</v>
      </c>
      <c r="C183" s="121" t="s">
        <v>74</v>
      </c>
      <c r="D183" s="27">
        <v>707069837.95256531</v>
      </c>
      <c r="E183" s="10">
        <f t="shared" ref="E183:E194" si="141">(D183/$D$195)</f>
        <v>7.3268738952120216E-2</v>
      </c>
      <c r="F183" s="21">
        <v>162.78803682573164</v>
      </c>
      <c r="G183" s="21">
        <v>165.76423347991252</v>
      </c>
      <c r="H183" s="63">
        <v>103</v>
      </c>
      <c r="I183" s="28">
        <v>7.561183646399261E-2</v>
      </c>
      <c r="J183" s="28">
        <v>0.26470588714394072</v>
      </c>
      <c r="K183" s="27">
        <v>709554821.44713259</v>
      </c>
      <c r="L183" s="10">
        <f t="shared" ref="L183:L194" si="142">(K183/$K$195)</f>
        <v>7.2875614523185375E-2</v>
      </c>
      <c r="M183" s="21">
        <v>163.36015228436344</v>
      </c>
      <c r="N183" s="21">
        <v>166.33645162426615</v>
      </c>
      <c r="O183" s="63">
        <v>103</v>
      </c>
      <c r="P183" s="28">
        <v>3.4524639925999997E-5</v>
      </c>
      <c r="Q183" s="28">
        <v>0.25588714394099998</v>
      </c>
      <c r="R183" s="82">
        <f t="shared" ref="R183" si="143">((K183-D183)/D183)</f>
        <v>3.5144809765368375E-3</v>
      </c>
      <c r="S183" s="82">
        <f t="shared" ref="S183" si="144">((N183-G183)/G183)</f>
        <v>3.4520000626249037E-3</v>
      </c>
      <c r="T183" s="82">
        <f t="shared" ref="T183" si="145">((O183-H183)/H183)</f>
        <v>0</v>
      </c>
      <c r="U183" s="82">
        <f t="shared" ref="U183" si="146">P183-I183</f>
        <v>-7.5577311824066615E-2</v>
      </c>
      <c r="V183" s="84">
        <f t="shared" ref="V183" si="147">Q183-J183</f>
        <v>-8.8187432029407375E-3</v>
      </c>
    </row>
    <row r="184" spans="1:22">
      <c r="A184" s="126">
        <v>2</v>
      </c>
      <c r="B184" s="120" t="s">
        <v>207</v>
      </c>
      <c r="C184" s="121" t="s">
        <v>186</v>
      </c>
      <c r="D184" s="27">
        <v>704961445.05999994</v>
      </c>
      <c r="E184" s="10">
        <f t="shared" si="141"/>
        <v>7.3050260832757632E-2</v>
      </c>
      <c r="F184" s="21">
        <v>21.01</v>
      </c>
      <c r="G184" s="21">
        <v>21.01</v>
      </c>
      <c r="H184" s="63">
        <v>138</v>
      </c>
      <c r="I184" s="28">
        <v>4.7000000000000002E-3</v>
      </c>
      <c r="J184" s="28">
        <v>0.35970000000000002</v>
      </c>
      <c r="K184" s="27">
        <v>734764824.28999996</v>
      </c>
      <c r="L184" s="10">
        <f t="shared" si="142"/>
        <v>7.546483581204684E-2</v>
      </c>
      <c r="M184" s="21">
        <v>20.9</v>
      </c>
      <c r="N184" s="21">
        <v>23.1</v>
      </c>
      <c r="O184" s="63">
        <v>138</v>
      </c>
      <c r="P184" s="28">
        <v>4.2299999999999997E-2</v>
      </c>
      <c r="Q184" s="28">
        <v>0.41710000000000003</v>
      </c>
      <c r="R184" s="82">
        <f t="shared" ref="R184:R195" si="148">((K184-D184)/D184)</f>
        <v>4.22766087973271E-2</v>
      </c>
      <c r="S184" s="82">
        <f t="shared" ref="S184:S195" si="149">((N184-G184)/G184)</f>
        <v>9.9476439790575896E-2</v>
      </c>
      <c r="T184" s="82">
        <f t="shared" ref="T184:T195" si="150">((O184-H184)/H184)</f>
        <v>0</v>
      </c>
      <c r="U184" s="82">
        <f t="shared" ref="U184:U195" si="151">P184-I184</f>
        <v>3.7599999999999995E-2</v>
      </c>
      <c r="V184" s="84">
        <f t="shared" ref="V184:V195" si="152">Q184-J184</f>
        <v>5.7400000000000007E-2</v>
      </c>
    </row>
    <row r="185" spans="1:22">
      <c r="A185" s="129">
        <v>3</v>
      </c>
      <c r="B185" s="120" t="s">
        <v>208</v>
      </c>
      <c r="C185" s="121" t="s">
        <v>36</v>
      </c>
      <c r="D185" s="27">
        <v>287330751.57999998</v>
      </c>
      <c r="E185" s="10">
        <f t="shared" si="141"/>
        <v>2.9774091186511403E-2</v>
      </c>
      <c r="F185" s="21">
        <v>21.438593999999998</v>
      </c>
      <c r="G185" s="21">
        <v>21.765259</v>
      </c>
      <c r="H185" s="63">
        <v>65</v>
      </c>
      <c r="I185" s="28">
        <v>1.352816309760918E-3</v>
      </c>
      <c r="J185" s="28">
        <v>0.51421703644628547</v>
      </c>
      <c r="K185" s="27">
        <v>287330751.57999998</v>
      </c>
      <c r="L185" s="10">
        <f t="shared" si="142"/>
        <v>2.9510623365359468E-2</v>
      </c>
      <c r="M185" s="21">
        <v>21.438593999999998</v>
      </c>
      <c r="N185" s="21">
        <v>21.765259</v>
      </c>
      <c r="O185" s="63">
        <v>65</v>
      </c>
      <c r="P185" s="28">
        <v>1.352816309760918E-3</v>
      </c>
      <c r="Q185" s="28">
        <v>0.51421703644628547</v>
      </c>
      <c r="R185" s="82">
        <f t="shared" si="148"/>
        <v>0</v>
      </c>
      <c r="S185" s="82">
        <f t="shared" si="149"/>
        <v>0</v>
      </c>
      <c r="T185" s="82">
        <f t="shared" si="150"/>
        <v>0</v>
      </c>
      <c r="U185" s="82">
        <f t="shared" si="151"/>
        <v>0</v>
      </c>
      <c r="V185" s="84">
        <f t="shared" si="152"/>
        <v>0</v>
      </c>
    </row>
    <row r="186" spans="1:22">
      <c r="A186" s="129">
        <v>4</v>
      </c>
      <c r="B186" s="120" t="s">
        <v>209</v>
      </c>
      <c r="C186" s="121" t="s">
        <v>36</v>
      </c>
      <c r="D186" s="27">
        <v>426078165.58999997</v>
      </c>
      <c r="E186" s="10">
        <f t="shared" si="141"/>
        <v>4.4151522540134533E-2</v>
      </c>
      <c r="F186" s="21">
        <v>31.973208</v>
      </c>
      <c r="G186" s="21">
        <v>32.362617</v>
      </c>
      <c r="H186" s="63">
        <v>61</v>
      </c>
      <c r="I186" s="28">
        <v>1.9054604749886295E-3</v>
      </c>
      <c r="J186" s="28">
        <v>0.83348664725828026</v>
      </c>
      <c r="K186" s="27">
        <v>426078165.58999997</v>
      </c>
      <c r="L186" s="10">
        <f t="shared" si="142"/>
        <v>4.3760830331552203E-2</v>
      </c>
      <c r="M186" s="21">
        <v>31.973208</v>
      </c>
      <c r="N186" s="21">
        <v>32.362617</v>
      </c>
      <c r="O186" s="63">
        <v>61</v>
      </c>
      <c r="P186" s="28">
        <v>1.9054604749886295E-3</v>
      </c>
      <c r="Q186" s="28">
        <v>0.83348664725828026</v>
      </c>
      <c r="R186" s="82">
        <f t="shared" si="148"/>
        <v>0</v>
      </c>
      <c r="S186" s="82">
        <f t="shared" si="149"/>
        <v>0</v>
      </c>
      <c r="T186" s="82">
        <f t="shared" si="150"/>
        <v>0</v>
      </c>
      <c r="U186" s="82">
        <f t="shared" si="151"/>
        <v>0</v>
      </c>
      <c r="V186" s="84">
        <f t="shared" si="152"/>
        <v>0</v>
      </c>
    </row>
    <row r="187" spans="1:22">
      <c r="A187" s="133">
        <v>5</v>
      </c>
      <c r="B187" s="120" t="s">
        <v>210</v>
      </c>
      <c r="C187" s="121" t="s">
        <v>211</v>
      </c>
      <c r="D187" s="27">
        <v>645447433.70569634</v>
      </c>
      <c r="E187" s="10">
        <f t="shared" si="141"/>
        <v>6.6883236971948409E-2</v>
      </c>
      <c r="F187" s="21">
        <v>13200</v>
      </c>
      <c r="G187" s="21">
        <v>15200</v>
      </c>
      <c r="H187" s="63">
        <v>223</v>
      </c>
      <c r="I187" s="28">
        <v>-2.135416266867194E-2</v>
      </c>
      <c r="J187" s="28">
        <v>0.86439725135340573</v>
      </c>
      <c r="K187" s="27">
        <v>682670567.01999998</v>
      </c>
      <c r="L187" s="10">
        <f t="shared" si="142"/>
        <v>7.011443736934804E-2</v>
      </c>
      <c r="M187" s="21">
        <v>15500</v>
      </c>
      <c r="N187" s="21">
        <v>17750</v>
      </c>
      <c r="O187" s="63">
        <v>223</v>
      </c>
      <c r="P187" s="28">
        <v>-0.01</v>
      </c>
      <c r="Q187" s="28">
        <v>0.97</v>
      </c>
      <c r="R187" s="82">
        <f t="shared" si="148"/>
        <v>5.7670278585809996E-2</v>
      </c>
      <c r="S187" s="82">
        <f t="shared" si="149"/>
        <v>0.16776315789473684</v>
      </c>
      <c r="T187" s="82">
        <f t="shared" si="150"/>
        <v>0</v>
      </c>
      <c r="U187" s="82">
        <f t="shared" si="151"/>
        <v>1.135416266867194E-2</v>
      </c>
      <c r="V187" s="84">
        <f t="shared" si="152"/>
        <v>0.10560274864659425</v>
      </c>
    </row>
    <row r="188" spans="1:22">
      <c r="A188" s="129">
        <v>6</v>
      </c>
      <c r="B188" s="120" t="s">
        <v>212</v>
      </c>
      <c r="C188" s="121" t="s">
        <v>213</v>
      </c>
      <c r="D188" s="27">
        <v>918672736.88999999</v>
      </c>
      <c r="E188" s="10">
        <f t="shared" si="141"/>
        <v>9.5195678458764643E-2</v>
      </c>
      <c r="F188" s="21">
        <v>436</v>
      </c>
      <c r="G188" s="21">
        <v>436</v>
      </c>
      <c r="H188" s="63">
        <v>46</v>
      </c>
      <c r="I188" s="28">
        <v>6.1000000000000004E-3</v>
      </c>
      <c r="J188" s="28">
        <v>0.60640000000000005</v>
      </c>
      <c r="K188" s="27">
        <v>924886008.67999995</v>
      </c>
      <c r="L188" s="10">
        <f t="shared" si="142"/>
        <v>9.4991442816195579E-2</v>
      </c>
      <c r="M188" s="21">
        <v>436</v>
      </c>
      <c r="N188" s="21">
        <v>436</v>
      </c>
      <c r="O188" s="63">
        <v>46</v>
      </c>
      <c r="P188" s="28">
        <v>6.7999999999999996E-3</v>
      </c>
      <c r="Q188" s="28">
        <v>0.61699999999999999</v>
      </c>
      <c r="R188" s="82">
        <f t="shared" si="148"/>
        <v>6.7633135723977915E-3</v>
      </c>
      <c r="S188" s="82">
        <f t="shared" si="149"/>
        <v>0</v>
      </c>
      <c r="T188" s="82">
        <f t="shared" si="150"/>
        <v>0</v>
      </c>
      <c r="U188" s="82">
        <f t="shared" si="151"/>
        <v>6.9999999999999923E-4</v>
      </c>
      <c r="V188" s="84">
        <f t="shared" si="152"/>
        <v>1.0599999999999943E-2</v>
      </c>
    </row>
    <row r="189" spans="1:22">
      <c r="A189" s="129">
        <v>7</v>
      </c>
      <c r="B189" s="120" t="s">
        <v>214</v>
      </c>
      <c r="C189" s="121" t="s">
        <v>213</v>
      </c>
      <c r="D189" s="27">
        <v>614687005.07000005</v>
      </c>
      <c r="E189" s="10">
        <f t="shared" si="141"/>
        <v>6.3695747285936147E-2</v>
      </c>
      <c r="F189" s="21">
        <v>528</v>
      </c>
      <c r="G189" s="21">
        <v>528</v>
      </c>
      <c r="H189" s="63">
        <v>377</v>
      </c>
      <c r="I189" s="28">
        <v>8.5000000000000006E-3</v>
      </c>
      <c r="J189" s="28">
        <v>0.4385</v>
      </c>
      <c r="K189" s="27">
        <v>616833111.58000004</v>
      </c>
      <c r="L189" s="10">
        <f t="shared" si="142"/>
        <v>6.335252852339382E-2</v>
      </c>
      <c r="M189" s="21">
        <v>660</v>
      </c>
      <c r="N189" s="21">
        <v>660</v>
      </c>
      <c r="O189" s="63">
        <v>377</v>
      </c>
      <c r="P189" s="28">
        <v>3.3999999999999998E-3</v>
      </c>
      <c r="Q189" s="28">
        <v>0.44319999999999998</v>
      </c>
      <c r="R189" s="82">
        <f t="shared" si="148"/>
        <v>3.491380966733783E-3</v>
      </c>
      <c r="S189" s="82">
        <f t="shared" si="149"/>
        <v>0.25</v>
      </c>
      <c r="T189" s="82">
        <f t="shared" si="150"/>
        <v>0</v>
      </c>
      <c r="U189" s="82">
        <f t="shared" si="151"/>
        <v>-5.1000000000000004E-3</v>
      </c>
      <c r="V189" s="84">
        <f t="shared" si="152"/>
        <v>4.699999999999982E-3</v>
      </c>
    </row>
    <row r="190" spans="1:22">
      <c r="A190" s="127">
        <v>8</v>
      </c>
      <c r="B190" s="120" t="s">
        <v>215</v>
      </c>
      <c r="C190" s="121" t="s">
        <v>216</v>
      </c>
      <c r="D190" s="27">
        <v>259985810.91</v>
      </c>
      <c r="E190" s="10">
        <f t="shared" si="141"/>
        <v>2.6940524808665354E-2</v>
      </c>
      <c r="F190" s="21">
        <v>11.45</v>
      </c>
      <c r="G190" s="21">
        <v>11.55</v>
      </c>
      <c r="H190" s="63">
        <v>50</v>
      </c>
      <c r="I190" s="28">
        <v>0</v>
      </c>
      <c r="J190" s="28">
        <v>0.95920000000000005</v>
      </c>
      <c r="K190" s="27">
        <v>260619096.38</v>
      </c>
      <c r="L190" s="10">
        <f t="shared" si="142"/>
        <v>2.6767173206481958E-2</v>
      </c>
      <c r="M190" s="21">
        <v>11.48</v>
      </c>
      <c r="N190" s="21">
        <v>11.58</v>
      </c>
      <c r="O190" s="63">
        <v>50</v>
      </c>
      <c r="P190" s="28">
        <v>0</v>
      </c>
      <c r="Q190" s="28">
        <v>0.95920000000000005</v>
      </c>
      <c r="R190" s="82">
        <f t="shared" si="148"/>
        <v>2.435846278623355E-3</v>
      </c>
      <c r="S190" s="82">
        <f t="shared" si="149"/>
        <v>2.5974025974025419E-3</v>
      </c>
      <c r="T190" s="82">
        <f t="shared" si="150"/>
        <v>0</v>
      </c>
      <c r="U190" s="82">
        <f t="shared" si="151"/>
        <v>0</v>
      </c>
      <c r="V190" s="84">
        <f t="shared" si="152"/>
        <v>0</v>
      </c>
    </row>
    <row r="191" spans="1:22">
      <c r="A191" s="127">
        <v>9</v>
      </c>
      <c r="B191" s="120" t="s">
        <v>217</v>
      </c>
      <c r="C191" s="121" t="s">
        <v>216</v>
      </c>
      <c r="D191" s="29">
        <v>589551281.62</v>
      </c>
      <c r="E191" s="10">
        <f t="shared" si="141"/>
        <v>6.1091106752599912E-2</v>
      </c>
      <c r="F191" s="21">
        <v>7.23</v>
      </c>
      <c r="G191" s="21">
        <v>7.33</v>
      </c>
      <c r="H191" s="63">
        <v>77</v>
      </c>
      <c r="I191" s="28">
        <v>9.9000000000000005E-2</v>
      </c>
      <c r="J191" s="28">
        <v>0.8629</v>
      </c>
      <c r="K191" s="29">
        <v>589547201.27999997</v>
      </c>
      <c r="L191" s="10">
        <f t="shared" si="142"/>
        <v>6.0550098857872652E-2</v>
      </c>
      <c r="M191" s="21">
        <v>7.23</v>
      </c>
      <c r="N191" s="21">
        <v>7.33</v>
      </c>
      <c r="O191" s="63">
        <v>77</v>
      </c>
      <c r="P191" s="28">
        <v>-7.9899999999999999E-2</v>
      </c>
      <c r="Q191" s="28">
        <v>0.71389999999999998</v>
      </c>
      <c r="R191" s="82">
        <f t="shared" si="148"/>
        <v>-6.9210942749903042E-6</v>
      </c>
      <c r="S191" s="82">
        <f t="shared" si="149"/>
        <v>0</v>
      </c>
      <c r="T191" s="82">
        <f t="shared" si="150"/>
        <v>0</v>
      </c>
      <c r="U191" s="82">
        <f t="shared" si="151"/>
        <v>-0.1789</v>
      </c>
      <c r="V191" s="84">
        <f t="shared" si="152"/>
        <v>-0.14900000000000002</v>
      </c>
    </row>
    <row r="192" spans="1:22" ht="17.25" customHeight="1">
      <c r="A192" s="127">
        <v>10</v>
      </c>
      <c r="B192" s="120" t="s">
        <v>218</v>
      </c>
      <c r="C192" s="121" t="s">
        <v>216</v>
      </c>
      <c r="D192" s="27">
        <v>458235617.63</v>
      </c>
      <c r="E192" s="10">
        <f t="shared" si="141"/>
        <v>4.7483776063643124E-2</v>
      </c>
      <c r="F192" s="21">
        <v>129.16999999999999</v>
      </c>
      <c r="G192" s="21">
        <v>131.16999999999999</v>
      </c>
      <c r="H192" s="63">
        <v>50</v>
      </c>
      <c r="I192" s="28">
        <v>0</v>
      </c>
      <c r="J192" s="28">
        <v>2.4500000000000001E-2</v>
      </c>
      <c r="K192" s="27">
        <v>457595463.13</v>
      </c>
      <c r="L192" s="10">
        <f t="shared" si="142"/>
        <v>4.6997849314318302E-2</v>
      </c>
      <c r="M192" s="21">
        <v>128.99</v>
      </c>
      <c r="N192" s="21">
        <v>130.99</v>
      </c>
      <c r="O192" s="63">
        <v>50</v>
      </c>
      <c r="P192" s="28">
        <v>0</v>
      </c>
      <c r="Q192" s="28">
        <v>2.4500000000000001E-2</v>
      </c>
      <c r="R192" s="82">
        <f t="shared" si="148"/>
        <v>-1.3969985644304269E-3</v>
      </c>
      <c r="S192" s="82">
        <f t="shared" si="149"/>
        <v>-1.3722649996186507E-3</v>
      </c>
      <c r="T192" s="82">
        <f t="shared" si="150"/>
        <v>0</v>
      </c>
      <c r="U192" s="82">
        <f t="shared" si="151"/>
        <v>0</v>
      </c>
      <c r="V192" s="84">
        <f t="shared" si="152"/>
        <v>0</v>
      </c>
    </row>
    <row r="193" spans="1:22">
      <c r="A193" s="127">
        <v>11</v>
      </c>
      <c r="B193" s="120" t="s">
        <v>219</v>
      </c>
      <c r="C193" s="121" t="s">
        <v>216</v>
      </c>
      <c r="D193" s="27">
        <v>3739120303.0900002</v>
      </c>
      <c r="E193" s="10">
        <f t="shared" si="141"/>
        <v>0.38745908069133733</v>
      </c>
      <c r="F193" s="21">
        <v>26.28</v>
      </c>
      <c r="G193" s="21">
        <v>26.48</v>
      </c>
      <c r="H193" s="63">
        <v>204</v>
      </c>
      <c r="I193" s="28">
        <v>0</v>
      </c>
      <c r="J193" s="28">
        <v>0.25269999999999998</v>
      </c>
      <c r="K193" s="27">
        <v>3751239239.4899998</v>
      </c>
      <c r="L193" s="10">
        <f t="shared" si="142"/>
        <v>0.38527518457809362</v>
      </c>
      <c r="M193" s="21">
        <v>26.34</v>
      </c>
      <c r="N193" s="21">
        <v>26.54</v>
      </c>
      <c r="O193" s="63">
        <v>204</v>
      </c>
      <c r="P193" s="28">
        <v>0</v>
      </c>
      <c r="Q193" s="28">
        <v>0.25269999999999998</v>
      </c>
      <c r="R193" s="82">
        <f t="shared" si="148"/>
        <v>3.2411196799377005E-3</v>
      </c>
      <c r="S193" s="82">
        <f t="shared" si="149"/>
        <v>2.265861027190284E-3</v>
      </c>
      <c r="T193" s="82">
        <f t="shared" si="150"/>
        <v>0</v>
      </c>
      <c r="U193" s="82">
        <f t="shared" si="151"/>
        <v>0</v>
      </c>
      <c r="V193" s="84">
        <f t="shared" si="152"/>
        <v>0</v>
      </c>
    </row>
    <row r="194" spans="1:22">
      <c r="A194" s="127">
        <v>12</v>
      </c>
      <c r="B194" s="120" t="s">
        <v>220</v>
      </c>
      <c r="C194" s="121" t="s">
        <v>216</v>
      </c>
      <c r="D194" s="29">
        <v>299221389.54000002</v>
      </c>
      <c r="E194" s="10">
        <f t="shared" si="141"/>
        <v>3.1006235455581271E-2</v>
      </c>
      <c r="F194" s="21">
        <v>28.38</v>
      </c>
      <c r="G194" s="21">
        <v>28.58</v>
      </c>
      <c r="H194" s="63">
        <v>45</v>
      </c>
      <c r="I194" s="28">
        <v>0</v>
      </c>
      <c r="J194" s="28">
        <v>0.17510000000000001</v>
      </c>
      <c r="K194" s="29">
        <v>295399969.16000003</v>
      </c>
      <c r="L194" s="10">
        <f t="shared" si="142"/>
        <v>3.0339381302152104E-2</v>
      </c>
      <c r="M194" s="21">
        <v>28.04</v>
      </c>
      <c r="N194" s="21">
        <v>28.24</v>
      </c>
      <c r="O194" s="63">
        <v>45</v>
      </c>
      <c r="P194" s="28">
        <v>0</v>
      </c>
      <c r="Q194" s="28">
        <v>0.17510000000000001</v>
      </c>
      <c r="R194" s="82">
        <f t="shared" si="148"/>
        <v>-1.2771213935857839E-2</v>
      </c>
      <c r="S194" s="82">
        <f t="shared" si="149"/>
        <v>-1.1896431070678792E-2</v>
      </c>
      <c r="T194" s="82">
        <f t="shared" si="150"/>
        <v>0</v>
      </c>
      <c r="U194" s="82">
        <f t="shared" si="151"/>
        <v>0</v>
      </c>
      <c r="V194" s="84">
        <f t="shared" si="152"/>
        <v>0</v>
      </c>
    </row>
    <row r="195" spans="1:22">
      <c r="A195" s="43"/>
      <c r="B195" s="43"/>
      <c r="C195" s="75" t="s">
        <v>221</v>
      </c>
      <c r="D195" s="74">
        <f>SUM(D183:D194)</f>
        <v>9650361778.6382618</v>
      </c>
      <c r="E195" s="24"/>
      <c r="F195" s="24"/>
      <c r="G195" s="22"/>
      <c r="H195" s="74">
        <f>SUM(H183:H194)</f>
        <v>1439</v>
      </c>
      <c r="I195" s="23"/>
      <c r="J195" s="23"/>
      <c r="K195" s="74">
        <f>SUM(K183:K194)</f>
        <v>9736519219.6271324</v>
      </c>
      <c r="L195" s="24"/>
      <c r="M195" s="24"/>
      <c r="N195" s="22"/>
      <c r="O195" s="74">
        <f>SUM(O183:O194)</f>
        <v>1439</v>
      </c>
      <c r="P195" s="23"/>
      <c r="Q195" s="23"/>
      <c r="R195" s="82">
        <f t="shared" si="148"/>
        <v>8.9278975198200366E-3</v>
      </c>
      <c r="S195" s="82" t="e">
        <f t="shared" si="149"/>
        <v>#DIV/0!</v>
      </c>
      <c r="T195" s="82">
        <f t="shared" si="150"/>
        <v>0</v>
      </c>
      <c r="U195" s="82">
        <f t="shared" si="151"/>
        <v>0</v>
      </c>
      <c r="V195" s="84">
        <f t="shared" si="152"/>
        <v>0</v>
      </c>
    </row>
    <row r="196" spans="1:22">
      <c r="A196" s="89"/>
      <c r="B196" s="89"/>
      <c r="C196" s="90" t="s">
        <v>222</v>
      </c>
      <c r="D196" s="91">
        <f>SUM(D175,D180,D195)</f>
        <v>2108685130998.0664</v>
      </c>
      <c r="E196" s="92"/>
      <c r="F196" s="92"/>
      <c r="G196" s="93"/>
      <c r="H196" s="91">
        <f>SUM(H175,H180,H195)</f>
        <v>763979</v>
      </c>
      <c r="I196" s="94"/>
      <c r="J196" s="94"/>
      <c r="K196" s="91">
        <f>SUM(K175,K180,K195)</f>
        <v>2124202931812.0515</v>
      </c>
      <c r="L196" s="92"/>
      <c r="M196" s="92"/>
      <c r="N196" s="93"/>
      <c r="O196" s="91">
        <f>SUM(O175,O180,O195)</f>
        <v>765638</v>
      </c>
      <c r="P196" s="95"/>
      <c r="Q196" s="91"/>
      <c r="R196" s="96"/>
      <c r="S196" s="97"/>
      <c r="T196" s="97"/>
      <c r="U196" s="98"/>
      <c r="V196" s="98"/>
    </row>
  </sheetData>
  <protectedRanges>
    <protectedRange password="CADF" sqref="K10 D10" name="Fund Name_1_1_1_3_1_1_2"/>
    <protectedRange password="CADF" sqref="K17 D17" name="Yield_2_1_2_5_2"/>
    <protectedRange password="CADF" sqref="O10:Q10 H10:J10" name="Yield_1_1_2_1_3_2"/>
    <protectedRange password="CADF" sqref="M10:N10 F10:G10" name="Fund Name_1_1_1_1_1_1_2"/>
    <protectedRange password="CADF" sqref="K47 D47" name="Yield_2_1_2_3_1_2"/>
    <protectedRange password="CADF" sqref="K52 D52" name="Yield_2_1_2_4_1_2"/>
    <protectedRange password="CADF" sqref="O52:Q52 H52:J52" name="Yield_1_1_1_1_1_2"/>
    <protectedRange password="CADF" sqref="O47:Q47 H47:J47" name="Yield_1_1_2_1_1_1_1_1_2"/>
    <protectedRange password="CADF" sqref="K78 D78" name="Yield_2_1_2_1_1_2"/>
    <protectedRange password="CADF" sqref="O78:Q78 H78:J78" name="Yield_1_1_2_1_2_1_2"/>
    <protectedRange password="CADF" sqref="M78:N78 F78:G78" name="Fund Name_2_2_1_1_2"/>
    <protectedRange password="CADF" sqref="N76:N77 G76:G77" name="BidOffer Prices_2_1_1_1_1_1_1_1_1_1_2"/>
    <protectedRange password="CADF" sqref="K97:K98 D97:D98" name="Yield_2_1_2_6_3_2"/>
    <protectedRange password="CADF" sqref="K140 K148:K149 D140 D148:D149" name="Fund Name_1_1_1_2_2"/>
    <protectedRange password="CADF" sqref="O140:Q140 O148:Q149 H140:J140 H148:J149" name="Yield_1_1_2_2_2"/>
    <protectedRange password="CADF" sqref="M140:N140 M148:N149 F140:G140 F148:G149" name="Fund Name_1_1_1_1_2_2"/>
  </protectedRanges>
  <mergeCells count="31">
    <mergeCell ref="A181:V181"/>
    <mergeCell ref="A182:V182"/>
    <mergeCell ref="A159:V159"/>
    <mergeCell ref="A162:V162"/>
    <mergeCell ref="A163:V163"/>
    <mergeCell ref="A176:U176"/>
    <mergeCell ref="A177:V177"/>
    <mergeCell ref="A158:V158"/>
    <mergeCell ref="A90:V90"/>
    <mergeCell ref="A91:V91"/>
    <mergeCell ref="A104:V104"/>
    <mergeCell ref="A105:V105"/>
    <mergeCell ref="A116:V116"/>
    <mergeCell ref="A117:V117"/>
    <mergeCell ref="A124:V124"/>
    <mergeCell ref="A125:V125"/>
    <mergeCell ref="A151:V151"/>
    <mergeCell ref="A152:V152"/>
    <mergeCell ref="A157:V157"/>
    <mergeCell ref="A89:V89"/>
    <mergeCell ref="A1:V1"/>
    <mergeCell ref="U2:V2"/>
    <mergeCell ref="A4:V4"/>
    <mergeCell ref="A5:V5"/>
    <mergeCell ref="A23:V23"/>
    <mergeCell ref="A24:V24"/>
    <mergeCell ref="A55:V55"/>
    <mergeCell ref="A56:V56"/>
    <mergeCell ref="R2:T2"/>
    <mergeCell ref="K2:Q2"/>
    <mergeCell ref="D2:J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N1" sqref="N1"/>
    </sheetView>
  </sheetViews>
  <sheetFormatPr defaultRowHeight="15"/>
  <cols>
    <col min="1" max="1" width="34" customWidth="1"/>
    <col min="2" max="2" width="17.5703125" customWidth="1"/>
    <col min="3" max="3" width="17.42578125" customWidth="1"/>
  </cols>
  <sheetData>
    <row r="1" spans="1:3">
      <c r="A1" s="104"/>
      <c r="B1" s="104"/>
      <c r="C1" s="104"/>
    </row>
    <row r="2" spans="1:3">
      <c r="A2" s="104"/>
      <c r="B2" s="104"/>
      <c r="C2" s="104"/>
    </row>
    <row r="3" spans="1:3">
      <c r="A3" s="104"/>
      <c r="B3" s="104"/>
      <c r="C3" s="104"/>
    </row>
    <row r="4" spans="1:3" ht="33" customHeight="1">
      <c r="A4" s="112" t="s">
        <v>223</v>
      </c>
      <c r="B4" s="113" t="s">
        <v>249</v>
      </c>
      <c r="C4" s="113" t="s">
        <v>257</v>
      </c>
    </row>
    <row r="5" spans="1:3" ht="19.5" customHeight="1">
      <c r="A5" s="114" t="s">
        <v>15</v>
      </c>
      <c r="B5" s="47">
        <f>22794496005.5838/1000000000</f>
        <v>22.794496005583802</v>
      </c>
      <c r="C5" s="47">
        <f>22858868495.3665/1000000000</f>
        <v>22.858868495366501</v>
      </c>
    </row>
    <row r="6" spans="1:3" ht="16.5">
      <c r="A6" s="115" t="s">
        <v>47</v>
      </c>
      <c r="B6" s="48">
        <f>861362592384.796/1000000000</f>
        <v>861.36259238479602</v>
      </c>
      <c r="C6" s="48">
        <f>865822924113.046/1000000000</f>
        <v>865.82292411304604</v>
      </c>
    </row>
    <row r="7" spans="1:3" ht="16.5">
      <c r="A7" s="115" t="s">
        <v>224</v>
      </c>
      <c r="B7" s="47">
        <f>299518508797.995/1000000000</f>
        <v>299.51850879799497</v>
      </c>
      <c r="C7" s="47">
        <f>298317775753.209/1000000000</f>
        <v>298.31777575320899</v>
      </c>
    </row>
    <row r="8" spans="1:3" ht="16.5">
      <c r="A8" s="115" t="s">
        <v>129</v>
      </c>
      <c r="B8" s="48">
        <f>638339381199.312/1000000000</f>
        <v>638.33938119931202</v>
      </c>
      <c r="C8" s="48">
        <f>647350483168.597/1000000000</f>
        <v>647.35048316859707</v>
      </c>
    </row>
    <row r="9" spans="1:3" ht="16.5">
      <c r="A9" s="115" t="s">
        <v>225</v>
      </c>
      <c r="B9" s="47">
        <f>93197010128.3/1000000000</f>
        <v>93.197010128300008</v>
      </c>
      <c r="C9" s="47">
        <f>95531336334.99/1000000000</f>
        <v>95.531336334990002</v>
      </c>
    </row>
    <row r="10" spans="1:3" ht="16.5">
      <c r="A10" s="115" t="s">
        <v>155</v>
      </c>
      <c r="B10" s="49">
        <f>39710985001.7512/1000000000</f>
        <v>39.710985001751197</v>
      </c>
      <c r="C10" s="49">
        <f>39960778727.1955/1000000000</f>
        <v>39.960778727195503</v>
      </c>
    </row>
    <row r="11" spans="1:3" ht="16.5">
      <c r="A11" s="115" t="s">
        <v>179</v>
      </c>
      <c r="B11" s="47">
        <f>3954911247.46/1000000000</f>
        <v>3.9549112474600001</v>
      </c>
      <c r="C11" s="47">
        <f>3972600047.89/1000000000</f>
        <v>3.9726000478899999</v>
      </c>
    </row>
    <row r="12" spans="1:3" ht="16.5">
      <c r="A12" s="115" t="s">
        <v>226</v>
      </c>
      <c r="B12" s="47">
        <f>45576764591.58/1000000000</f>
        <v>45.576764591580002</v>
      </c>
      <c r="C12" s="47">
        <f>46065186177/1000000000</f>
        <v>46.065186177000001</v>
      </c>
    </row>
    <row r="13" spans="1:3">
      <c r="A13" s="104"/>
      <c r="B13" s="104"/>
      <c r="C13" s="104"/>
    </row>
    <row r="16" spans="1:3" ht="16.5">
      <c r="B16" s="45"/>
      <c r="C16" s="47"/>
    </row>
    <row r="17" spans="1:3" ht="16.5">
      <c r="B17" s="47"/>
      <c r="C17" s="48"/>
    </row>
    <row r="18" spans="1:3" ht="16.5">
      <c r="A18" s="101"/>
      <c r="B18" s="48"/>
      <c r="C18" s="47"/>
    </row>
    <row r="19" spans="1:3" ht="16.5">
      <c r="A19" s="102"/>
      <c r="B19" s="47"/>
      <c r="C19" s="48"/>
    </row>
    <row r="20" spans="1:3" ht="16.5">
      <c r="A20" s="102"/>
      <c r="B20" s="48"/>
      <c r="C20" s="47"/>
    </row>
    <row r="21" spans="1:3" ht="16.5">
      <c r="A21" s="102"/>
      <c r="B21" s="47"/>
      <c r="C21" s="49"/>
    </row>
    <row r="22" spans="1:3" ht="16.5">
      <c r="A22" s="102"/>
      <c r="B22" s="49"/>
      <c r="C22" s="47"/>
    </row>
    <row r="23" spans="1:3" ht="16.5">
      <c r="A23" s="102"/>
      <c r="B23" s="123"/>
      <c r="C23" s="47"/>
    </row>
    <row r="24" spans="1:3" ht="16.5">
      <c r="A24" s="102"/>
      <c r="B24" s="124"/>
      <c r="C24" s="124"/>
    </row>
    <row r="25" spans="1:3" ht="16.5">
      <c r="A25" s="102"/>
      <c r="B25" s="111"/>
      <c r="C25" s="111"/>
    </row>
    <row r="26" spans="1:3" ht="16.5">
      <c r="A26" s="102"/>
      <c r="B26" s="111"/>
      <c r="C26" s="111"/>
    </row>
    <row r="27" spans="1:3">
      <c r="B27" s="106"/>
      <c r="C27" s="106"/>
    </row>
    <row r="28" spans="1:3">
      <c r="B28" s="106"/>
      <c r="C28" s="106"/>
    </row>
  </sheetData>
  <sheetProtection algorithmName="SHA-512" hashValue="4lr8suFDX4GfVvd8l51SN/mfF8HiHnNcDaHu+h0vRJthDKQzcN5suhNANtOY/hdDPK1HtClBbxKpGi3hfAX39A==" saltValue="DYWexuOy3wX/kS547I1FJw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zoomScale="85" zoomScaleNormal="85" workbookViewId="0">
      <selection activeCell="R1" sqref="R1"/>
    </sheetView>
  </sheetViews>
  <sheetFormatPr defaultRowHeight="15"/>
  <cols>
    <col min="1" max="1" width="26.7109375" customWidth="1"/>
    <col min="2" max="2" width="17.42578125" customWidth="1"/>
  </cols>
  <sheetData>
    <row r="1" spans="1:2" ht="16.5">
      <c r="A1" s="112" t="s">
        <v>223</v>
      </c>
      <c r="B1" s="116">
        <v>45247</v>
      </c>
    </row>
    <row r="2" spans="1:2" ht="16.5">
      <c r="A2" s="115" t="s">
        <v>179</v>
      </c>
      <c r="B2" s="47">
        <v>3972600047.8899999</v>
      </c>
    </row>
    <row r="3" spans="1:2" ht="16.5">
      <c r="A3" s="115" t="s">
        <v>15</v>
      </c>
      <c r="B3" s="47">
        <v>22858868495.366501</v>
      </c>
    </row>
    <row r="4" spans="1:2" ht="16.5">
      <c r="A4" s="115" t="s">
        <v>155</v>
      </c>
      <c r="B4" s="49">
        <v>39960778727.195503</v>
      </c>
    </row>
    <row r="5" spans="1:2" ht="16.5">
      <c r="A5" s="115" t="s">
        <v>226</v>
      </c>
      <c r="B5" s="47">
        <v>46065186177</v>
      </c>
    </row>
    <row r="6" spans="1:2" ht="16.5">
      <c r="A6" s="115" t="s">
        <v>225</v>
      </c>
      <c r="B6" s="47">
        <v>95531336334.98999</v>
      </c>
    </row>
    <row r="7" spans="1:2" ht="16.5">
      <c r="A7" s="115" t="s">
        <v>224</v>
      </c>
      <c r="B7" s="47">
        <v>298317775753.20929</v>
      </c>
    </row>
    <row r="8" spans="1:2" ht="16.5">
      <c r="A8" s="115" t="s">
        <v>129</v>
      </c>
      <c r="B8" s="48">
        <v>647350483168.5968</v>
      </c>
    </row>
    <row r="9" spans="1:2" ht="16.5">
      <c r="A9" s="115" t="s">
        <v>47</v>
      </c>
      <c r="B9" s="48">
        <v>865822924113.04614</v>
      </c>
    </row>
    <row r="14" spans="1:2" ht="16.5">
      <c r="A14" s="103"/>
      <c r="B14" s="47"/>
    </row>
    <row r="15" spans="1:2" ht="16.5">
      <c r="A15" s="103"/>
      <c r="B15" s="47"/>
    </row>
    <row r="16" spans="1:2" ht="16.5">
      <c r="A16" s="103"/>
      <c r="B16" s="49"/>
    </row>
    <row r="17" spans="1:2" ht="16.5">
      <c r="A17" s="103"/>
      <c r="B17" s="47"/>
    </row>
    <row r="18" spans="1:2" ht="16.5">
      <c r="A18" s="103"/>
      <c r="B18" s="47"/>
    </row>
    <row r="19" spans="1:2" ht="16.5">
      <c r="A19" s="103"/>
      <c r="B19" s="47"/>
    </row>
    <row r="20" spans="1:2" ht="16.5">
      <c r="A20" s="103"/>
      <c r="B20" s="48"/>
    </row>
    <row r="21" spans="1:2" ht="16.5">
      <c r="A21" s="103"/>
      <c r="B21" s="48"/>
    </row>
    <row r="22" spans="1:2" ht="16.5">
      <c r="A22" s="99"/>
      <c r="B22" s="48"/>
    </row>
  </sheetData>
  <sheetProtection algorithmName="SHA-512" hashValue="twH23/+7MXy3smNeKKp4NJXP8dGJAHQypilmzG9VeVyawafNwf++XDI+uWi4xqDRZZiv1gUAJy/cYUhZwVHjjw==" saltValue="mTEpv9L/SIUjT9jlPsxAeA==" spinCount="100000" sheet="1" objects="1" scenarios="1"/>
  <sortState ref="B14:B21">
    <sortCondition ref="B14"/>
  </sortState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zoomScale="110" zoomScaleNormal="110" workbookViewId="0">
      <selection activeCell="K1" sqref="K1"/>
    </sheetView>
  </sheetViews>
  <sheetFormatPr defaultRowHeight="15"/>
  <cols>
    <col min="1" max="1" width="10.5703125" customWidth="1"/>
    <col min="2" max="2" width="12.7109375" customWidth="1"/>
    <col min="3" max="3" width="13.28515625" bestFit="1" customWidth="1"/>
    <col min="4" max="4" width="12.7109375" customWidth="1"/>
    <col min="5" max="5" width="13.42578125" customWidth="1"/>
    <col min="6" max="6" width="13.85546875" customWidth="1"/>
    <col min="7" max="7" width="14.85546875" customWidth="1"/>
    <col min="8" max="9" width="13.140625" customWidth="1"/>
  </cols>
  <sheetData>
    <row r="1" spans="1:11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1">
      <c r="A2" s="117" t="s">
        <v>234</v>
      </c>
      <c r="B2" s="118">
        <v>45198</v>
      </c>
      <c r="C2" s="118">
        <v>45205</v>
      </c>
      <c r="D2" s="118">
        <v>45212</v>
      </c>
      <c r="E2" s="118">
        <v>45219</v>
      </c>
      <c r="F2" s="118">
        <v>45226</v>
      </c>
      <c r="G2" s="118">
        <v>45233</v>
      </c>
      <c r="H2" s="118">
        <v>45240</v>
      </c>
      <c r="I2" s="118">
        <v>45247</v>
      </c>
      <c r="J2" s="106"/>
      <c r="K2" s="106"/>
    </row>
    <row r="3" spans="1:11">
      <c r="A3" s="117" t="s">
        <v>235</v>
      </c>
      <c r="B3" s="119">
        <v>1938057005087.2852</v>
      </c>
      <c r="C3" s="119">
        <v>1935067759050.2058</v>
      </c>
      <c r="D3" s="119">
        <v>1961229345082.9329</v>
      </c>
      <c r="E3" s="119">
        <v>2002190167303.2449</v>
      </c>
      <c r="F3" s="119">
        <v>1992052361749.9485</v>
      </c>
      <c r="G3" s="119">
        <v>1995029350611.7961</v>
      </c>
      <c r="H3" s="119">
        <v>2004454649356.7783</v>
      </c>
      <c r="I3" s="119">
        <v>2019879952817.2942</v>
      </c>
      <c r="J3" s="106"/>
      <c r="K3" s="106"/>
    </row>
    <row r="4" spans="1:11">
      <c r="A4" s="99"/>
      <c r="B4" s="99"/>
      <c r="C4" s="99"/>
      <c r="D4" s="99"/>
      <c r="E4" s="99"/>
      <c r="F4" s="99"/>
      <c r="G4" s="99"/>
      <c r="H4" s="99"/>
      <c r="I4" s="99"/>
    </row>
    <row r="5" spans="1:11">
      <c r="A5" s="99"/>
      <c r="B5" s="99"/>
      <c r="C5" s="99"/>
      <c r="D5" s="99"/>
      <c r="E5" s="99"/>
      <c r="F5" s="99"/>
      <c r="G5" s="99"/>
      <c r="H5" s="99"/>
      <c r="I5" s="99"/>
    </row>
    <row r="6" spans="1:11">
      <c r="A6" s="99"/>
      <c r="B6" s="99"/>
      <c r="C6" s="99"/>
      <c r="D6" s="99"/>
      <c r="E6" s="99"/>
      <c r="F6" s="99"/>
      <c r="G6" s="99"/>
      <c r="H6" s="99"/>
      <c r="I6" s="99"/>
    </row>
    <row r="7" spans="1:11">
      <c r="A7" s="99"/>
      <c r="B7" s="99"/>
      <c r="C7" s="99"/>
      <c r="D7" s="99"/>
      <c r="E7" s="99"/>
      <c r="F7" s="99"/>
      <c r="G7" s="99"/>
      <c r="H7" s="99"/>
      <c r="I7" s="99"/>
    </row>
    <row r="8" spans="1:11">
      <c r="A8" s="99"/>
      <c r="B8" s="99"/>
      <c r="C8" s="99"/>
      <c r="D8" s="99"/>
      <c r="E8" s="99"/>
      <c r="F8" s="99"/>
      <c r="G8" s="99"/>
      <c r="H8" s="99"/>
      <c r="I8" s="99"/>
    </row>
    <row r="9" spans="1:11">
      <c r="A9" s="99"/>
      <c r="B9" s="99"/>
      <c r="C9" s="99"/>
      <c r="D9" s="99"/>
      <c r="E9" s="99"/>
      <c r="F9" s="99"/>
      <c r="G9" s="99"/>
      <c r="H9" s="99"/>
      <c r="I9" s="99"/>
    </row>
    <row r="10" spans="1:11">
      <c r="A10" s="99"/>
      <c r="B10" s="99"/>
      <c r="C10" s="99"/>
      <c r="D10" s="99"/>
      <c r="E10" s="99"/>
      <c r="F10" s="99"/>
      <c r="G10" s="99"/>
      <c r="H10" s="99"/>
      <c r="I10" s="99"/>
    </row>
    <row r="11" spans="1:11">
      <c r="A11" s="99"/>
      <c r="B11" s="99"/>
      <c r="C11" s="99"/>
      <c r="D11" s="99"/>
      <c r="E11" s="99"/>
      <c r="F11" s="99"/>
      <c r="G11" s="99"/>
      <c r="H11" s="99"/>
      <c r="I11" s="99"/>
    </row>
    <row r="12" spans="1:11">
      <c r="A12" s="99"/>
      <c r="B12" s="99"/>
      <c r="C12" s="99"/>
      <c r="D12" s="99"/>
      <c r="E12" s="99"/>
      <c r="F12" s="99"/>
      <c r="G12" s="99"/>
      <c r="H12" s="99"/>
      <c r="I12" s="99"/>
    </row>
    <row r="13" spans="1:11">
      <c r="A13" s="99"/>
      <c r="B13" s="99"/>
      <c r="C13" s="99"/>
      <c r="D13" s="99"/>
      <c r="E13" s="99"/>
      <c r="F13" s="99"/>
      <c r="G13" s="99"/>
      <c r="H13" s="99"/>
      <c r="I13" s="99"/>
    </row>
    <row r="14" spans="1:11">
      <c r="A14" s="99"/>
      <c r="B14" s="99"/>
      <c r="C14" s="99"/>
      <c r="D14" s="99"/>
      <c r="E14" s="99"/>
      <c r="F14" s="99"/>
      <c r="G14" s="99"/>
      <c r="H14" s="99"/>
      <c r="I14" s="99"/>
    </row>
    <row r="15" spans="1:11">
      <c r="A15" s="99"/>
      <c r="B15" s="99"/>
      <c r="C15" s="99"/>
      <c r="D15" s="99"/>
      <c r="E15" s="99"/>
      <c r="F15" s="99"/>
      <c r="G15" s="99"/>
      <c r="H15" s="99"/>
      <c r="I15" s="99"/>
    </row>
    <row r="16" spans="1:11">
      <c r="A16" s="99"/>
      <c r="B16" s="99"/>
      <c r="C16" s="99"/>
      <c r="D16" s="99"/>
      <c r="E16" s="99"/>
      <c r="F16" s="99"/>
      <c r="G16" s="99"/>
      <c r="H16" s="99"/>
      <c r="I16" s="99"/>
    </row>
    <row r="17" spans="1:9">
      <c r="A17" s="99"/>
      <c r="B17" s="99"/>
      <c r="C17" s="99"/>
      <c r="D17" s="99"/>
      <c r="E17" s="99"/>
      <c r="F17" s="99"/>
      <c r="G17" s="99"/>
      <c r="H17" s="99"/>
      <c r="I17" s="99"/>
    </row>
    <row r="18" spans="1:9">
      <c r="A18" s="99"/>
      <c r="B18" s="99"/>
      <c r="C18" s="99"/>
      <c r="D18" s="99"/>
      <c r="E18" s="99"/>
      <c r="F18" s="99"/>
      <c r="G18" s="99"/>
      <c r="H18" s="99"/>
      <c r="I18" s="99"/>
    </row>
    <row r="19" spans="1:9">
      <c r="A19" s="99"/>
      <c r="B19" s="99"/>
      <c r="C19" s="99"/>
      <c r="D19" s="99"/>
      <c r="E19" s="99"/>
      <c r="F19" s="99"/>
      <c r="G19" s="99"/>
      <c r="H19" s="99"/>
      <c r="I19" s="99"/>
    </row>
    <row r="20" spans="1:9">
      <c r="A20" s="99"/>
      <c r="B20" s="99"/>
      <c r="C20" s="99"/>
      <c r="D20" s="99"/>
      <c r="E20" s="99"/>
      <c r="F20" s="99"/>
      <c r="G20" s="99"/>
      <c r="H20" s="99"/>
      <c r="I20" s="99"/>
    </row>
    <row r="21" spans="1:9">
      <c r="A21" s="99"/>
      <c r="B21" s="99"/>
      <c r="C21" s="99"/>
      <c r="D21" s="99"/>
      <c r="E21" s="99"/>
      <c r="F21" s="99"/>
      <c r="G21" s="99"/>
      <c r="H21" s="99"/>
      <c r="I21" s="99"/>
    </row>
    <row r="22" spans="1:9">
      <c r="A22" s="99"/>
      <c r="B22" s="99"/>
      <c r="C22" s="99"/>
      <c r="D22" s="99"/>
      <c r="E22" s="99"/>
      <c r="F22" s="99"/>
      <c r="G22" s="99"/>
      <c r="H22" s="99"/>
      <c r="I22" s="99"/>
    </row>
    <row r="23" spans="1:9">
      <c r="A23" s="99"/>
      <c r="B23" s="99"/>
      <c r="C23" s="99"/>
      <c r="D23" s="99"/>
      <c r="E23" s="99"/>
      <c r="F23" s="99"/>
      <c r="G23" s="99"/>
      <c r="H23" s="99"/>
      <c r="I23" s="99"/>
    </row>
    <row r="24" spans="1:9">
      <c r="A24" s="99"/>
      <c r="B24" s="99"/>
      <c r="C24" s="99"/>
      <c r="D24" s="99"/>
      <c r="E24" s="99"/>
      <c r="F24" s="99"/>
      <c r="G24" s="99"/>
      <c r="H24" s="99"/>
      <c r="I24" s="99"/>
    </row>
    <row r="25" spans="1:9">
      <c r="A25" s="99"/>
      <c r="B25" s="99"/>
      <c r="C25" s="99"/>
      <c r="D25" s="99"/>
      <c r="E25" s="99"/>
      <c r="F25" s="99"/>
      <c r="G25" s="99"/>
      <c r="H25" s="99"/>
      <c r="I25" s="99"/>
    </row>
    <row r="26" spans="1:9">
      <c r="A26" s="99"/>
      <c r="B26" s="99"/>
      <c r="C26" s="99"/>
      <c r="D26" s="99"/>
      <c r="E26" s="99"/>
      <c r="F26" s="99"/>
      <c r="G26" s="99"/>
      <c r="H26" s="99"/>
      <c r="I26" s="99"/>
    </row>
    <row r="27" spans="1:9">
      <c r="A27" s="99"/>
      <c r="B27" s="99"/>
      <c r="C27" s="99"/>
      <c r="D27" s="99"/>
      <c r="E27" s="99"/>
      <c r="F27" s="99"/>
      <c r="G27" s="99"/>
      <c r="H27" s="99"/>
      <c r="I27" s="99"/>
    </row>
    <row r="28" spans="1:9">
      <c r="A28" s="99"/>
      <c r="B28" s="99"/>
      <c r="C28" s="99"/>
      <c r="D28" s="99"/>
      <c r="E28" s="99"/>
      <c r="F28" s="99"/>
      <c r="G28" s="99"/>
      <c r="H28" s="99"/>
      <c r="I28" s="99"/>
    </row>
    <row r="29" spans="1:9">
      <c r="A29" s="99"/>
      <c r="B29" s="99"/>
      <c r="C29" s="99"/>
      <c r="D29" s="99"/>
      <c r="E29" s="99"/>
      <c r="F29" s="99"/>
      <c r="G29" s="99"/>
      <c r="H29" s="99"/>
      <c r="I29" s="99"/>
    </row>
  </sheetData>
  <sheetProtection algorithmName="SHA-512" hashValue="jmylm46ZLlLoLySLDUPiMJqqV53YHkcUJ/yOfuiF2MKNrOnSpYrx/GqqmLuWaHevwTw+LS29ErUOwfTCjCWdQQ==" saltValue="+235MwBhlcdJ+4lSj92iRA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opLeftCell="C1" workbookViewId="0">
      <selection activeCell="J1" sqref="J1"/>
    </sheetView>
  </sheetViews>
  <sheetFormatPr defaultRowHeight="15"/>
  <cols>
    <col min="1" max="1" width="36.28515625" customWidth="1"/>
    <col min="2" max="2" width="23.5703125" customWidth="1"/>
    <col min="3" max="3" width="22.5703125" customWidth="1"/>
    <col min="4" max="4" width="20.85546875" customWidth="1"/>
    <col min="5" max="5" width="22.5703125" customWidth="1"/>
    <col min="6" max="6" width="24.7109375" customWidth="1"/>
    <col min="7" max="7" width="22.42578125" customWidth="1"/>
    <col min="8" max="8" width="24.28515625" customWidth="1"/>
    <col min="9" max="9" width="22.5703125" customWidth="1"/>
    <col min="10" max="10" width="21.7109375" customWidth="1"/>
    <col min="11" max="12" width="20.5703125" bestFit="1" customWidth="1"/>
  </cols>
  <sheetData>
    <row r="1" spans="1:10" ht="16.5">
      <c r="A1" s="44" t="s">
        <v>223</v>
      </c>
      <c r="B1" s="45">
        <v>45191</v>
      </c>
      <c r="C1" s="45">
        <v>45198</v>
      </c>
      <c r="D1" s="45">
        <v>45205</v>
      </c>
      <c r="E1" s="45">
        <v>45212</v>
      </c>
      <c r="F1" s="45">
        <v>45219</v>
      </c>
      <c r="G1" s="45">
        <v>45226</v>
      </c>
      <c r="H1" s="45">
        <v>45233</v>
      </c>
      <c r="I1" s="45">
        <v>45240</v>
      </c>
      <c r="J1" s="45">
        <v>45247</v>
      </c>
    </row>
    <row r="2" spans="1:10" ht="16.5">
      <c r="A2" s="46" t="s">
        <v>15</v>
      </c>
      <c r="B2" s="47">
        <v>22617340342.240005</v>
      </c>
      <c r="C2" s="47">
        <v>22347298706.340004</v>
      </c>
      <c r="D2" s="47">
        <v>22419529839.446701</v>
      </c>
      <c r="E2" s="47">
        <v>22452818441.667297</v>
      </c>
      <c r="F2" s="47">
        <v>22321023691.510902</v>
      </c>
      <c r="G2" s="47">
        <v>22297088298.263195</v>
      </c>
      <c r="H2" s="47">
        <v>22627915820.731602</v>
      </c>
      <c r="I2" s="47">
        <v>22794496005.583801</v>
      </c>
      <c r="J2" s="47">
        <v>22858868495.366501</v>
      </c>
    </row>
    <row r="3" spans="1:10" ht="16.5">
      <c r="A3" s="46" t="s">
        <v>47</v>
      </c>
      <c r="B3" s="48">
        <v>849677574373.34802</v>
      </c>
      <c r="C3" s="48">
        <v>852624898169.64954</v>
      </c>
      <c r="D3" s="48">
        <v>857851239009.95007</v>
      </c>
      <c r="E3" s="48">
        <v>866430357744.91357</v>
      </c>
      <c r="F3" s="48">
        <v>868733209665.15002</v>
      </c>
      <c r="G3" s="48">
        <v>866720174597.19238</v>
      </c>
      <c r="H3" s="48">
        <v>868763948236.72998</v>
      </c>
      <c r="I3" s="48">
        <v>861362592384.79565</v>
      </c>
      <c r="J3" s="48">
        <v>865822924113.04614</v>
      </c>
    </row>
    <row r="4" spans="1:10" ht="16.5">
      <c r="A4" s="46" t="s">
        <v>224</v>
      </c>
      <c r="B4" s="47">
        <v>299618437754.16949</v>
      </c>
      <c r="C4" s="47">
        <v>300146733726.06244</v>
      </c>
      <c r="D4" s="47">
        <v>298612163023.86542</v>
      </c>
      <c r="E4" s="47">
        <v>296194339533.25995</v>
      </c>
      <c r="F4" s="47">
        <v>297314764640.83484</v>
      </c>
      <c r="G4" s="47">
        <v>296829521368.71655</v>
      </c>
      <c r="H4" s="47">
        <v>296477977964.1463</v>
      </c>
      <c r="I4" s="47">
        <v>299518508797.995</v>
      </c>
      <c r="J4" s="47">
        <v>298317775753.20929</v>
      </c>
    </row>
    <row r="5" spans="1:10" ht="16.5">
      <c r="A5" s="46" t="s">
        <v>129</v>
      </c>
      <c r="B5" s="48">
        <v>573412197469.83374</v>
      </c>
      <c r="C5" s="48">
        <v>580580020013.89868</v>
      </c>
      <c r="D5" s="48">
        <v>574272210688.57068</v>
      </c>
      <c r="E5" s="48">
        <v>594856395707.72656</v>
      </c>
      <c r="F5" s="48">
        <v>631778541802.7771</v>
      </c>
      <c r="G5" s="48">
        <v>623939339182.42139</v>
      </c>
      <c r="H5" s="48">
        <v>624424131579.08496</v>
      </c>
      <c r="I5" s="48">
        <v>638339381199.3125</v>
      </c>
      <c r="J5" s="48">
        <v>647350483168.5968</v>
      </c>
    </row>
    <row r="6" spans="1:10" ht="16.5">
      <c r="A6" s="46" t="s">
        <v>225</v>
      </c>
      <c r="B6" s="47">
        <v>92930445555.669998</v>
      </c>
      <c r="C6" s="47">
        <v>92953013524.979996</v>
      </c>
      <c r="D6" s="47">
        <v>93025791056.550003</v>
      </c>
      <c r="E6" s="47">
        <v>93063670940.059998</v>
      </c>
      <c r="F6" s="47">
        <v>93071505879.830002</v>
      </c>
      <c r="G6" s="47">
        <v>93122068013.900009</v>
      </c>
      <c r="H6" s="47">
        <v>93195143675.199997</v>
      </c>
      <c r="I6" s="47">
        <v>93197010128.300003</v>
      </c>
      <c r="J6" s="47">
        <v>95531336334.98999</v>
      </c>
    </row>
    <row r="7" spans="1:10" ht="16.5">
      <c r="A7" s="46" t="s">
        <v>155</v>
      </c>
      <c r="B7" s="49">
        <v>40017994182.737228</v>
      </c>
      <c r="C7" s="49">
        <v>39835802330.054489</v>
      </c>
      <c r="D7" s="49">
        <v>39656232639.742752</v>
      </c>
      <c r="E7" s="49">
        <v>39055524237.135551</v>
      </c>
      <c r="F7" s="49">
        <v>39125729977.492111</v>
      </c>
      <c r="G7" s="49">
        <v>39115203974.124908</v>
      </c>
      <c r="H7" s="49">
        <v>39279784642.423355</v>
      </c>
      <c r="I7" s="49">
        <v>39710985001.751167</v>
      </c>
      <c r="J7" s="49">
        <v>39960778727.195503</v>
      </c>
    </row>
    <row r="8" spans="1:10" ht="16.5">
      <c r="A8" s="46" t="s">
        <v>179</v>
      </c>
      <c r="B8" s="47">
        <v>3868880759.98</v>
      </c>
      <c r="C8" s="47">
        <v>3871825099.96</v>
      </c>
      <c r="D8" s="47">
        <v>3871834604.0900002</v>
      </c>
      <c r="E8" s="47">
        <v>3847653774.98</v>
      </c>
      <c r="F8" s="47">
        <v>3851756766.6799998</v>
      </c>
      <c r="G8" s="47">
        <v>3850205746.29</v>
      </c>
      <c r="H8" s="47">
        <v>3928183119.75</v>
      </c>
      <c r="I8" s="47">
        <v>3954911247.46</v>
      </c>
      <c r="J8" s="47">
        <v>3972600047.8899999</v>
      </c>
    </row>
    <row r="9" spans="1:10" ht="16.5">
      <c r="A9" s="46" t="s">
        <v>226</v>
      </c>
      <c r="B9" s="47">
        <v>45442767297.869995</v>
      </c>
      <c r="C9" s="47">
        <v>45697413516.340004</v>
      </c>
      <c r="D9" s="47">
        <v>45358758187.989998</v>
      </c>
      <c r="E9" s="47">
        <v>45328584703.190002</v>
      </c>
      <c r="F9" s="47">
        <v>45993634878.969994</v>
      </c>
      <c r="G9" s="47">
        <v>46178760569.040001</v>
      </c>
      <c r="H9" s="47">
        <v>46332265573.729996</v>
      </c>
      <c r="I9" s="47">
        <v>45576764591.580002</v>
      </c>
      <c r="J9" s="47">
        <v>46065186177</v>
      </c>
    </row>
    <row r="10" spans="1:10" ht="15.75">
      <c r="A10" s="50" t="s">
        <v>227</v>
      </c>
      <c r="B10" s="51">
        <f t="shared" ref="B10:G10" si="0">SUM(B2:B9)</f>
        <v>1927585637735.8486</v>
      </c>
      <c r="C10" s="51">
        <f t="shared" si="0"/>
        <v>1938057005087.2852</v>
      </c>
      <c r="D10" s="51">
        <f t="shared" si="0"/>
        <v>1935067759050.2058</v>
      </c>
      <c r="E10" s="51">
        <f t="shared" si="0"/>
        <v>1961229345082.9329</v>
      </c>
      <c r="F10" s="51">
        <f t="shared" si="0"/>
        <v>2002190167303.2449</v>
      </c>
      <c r="G10" s="51">
        <f t="shared" si="0"/>
        <v>1992052361749.9485</v>
      </c>
      <c r="H10" s="51">
        <f>SUM(H2:H9)</f>
        <v>1995029350611.7961</v>
      </c>
      <c r="I10" s="51">
        <f>SUM(I2:I9)</f>
        <v>2004454649356.7783</v>
      </c>
      <c r="J10" s="51">
        <f>SUM(J2:J9)</f>
        <v>2019879952817.2942</v>
      </c>
    </row>
    <row r="11" spans="1:10" ht="16.5">
      <c r="A11" s="52"/>
      <c r="B11" s="53"/>
      <c r="C11" s="53"/>
      <c r="D11" s="53"/>
      <c r="E11" s="53"/>
      <c r="F11" s="53"/>
      <c r="G11" s="53"/>
      <c r="H11" s="53"/>
      <c r="I11" s="52"/>
      <c r="J11" s="52"/>
    </row>
    <row r="12" spans="1:10" ht="15.75">
      <c r="A12" s="54" t="s">
        <v>228</v>
      </c>
      <c r="B12" s="55" t="s">
        <v>229</v>
      </c>
      <c r="C12" s="56">
        <f>(B10+C10)/2</f>
        <v>1932821321411.5669</v>
      </c>
      <c r="D12" s="57">
        <f t="shared" ref="D12:J12" si="1">(C10+D10)/2</f>
        <v>1936562382068.7456</v>
      </c>
      <c r="E12" s="57">
        <f t="shared" si="1"/>
        <v>1948148552066.5693</v>
      </c>
      <c r="F12" s="57">
        <f t="shared" si="1"/>
        <v>1981709756193.0889</v>
      </c>
      <c r="G12" s="57">
        <f>(F10+G10)/2</f>
        <v>1997121264526.5967</v>
      </c>
      <c r="H12" s="57">
        <f t="shared" si="1"/>
        <v>1993540856180.8723</v>
      </c>
      <c r="I12" s="57">
        <f t="shared" si="1"/>
        <v>1999741999984.2871</v>
      </c>
      <c r="J12" s="57">
        <f t="shared" si="1"/>
        <v>2012167301087.0361</v>
      </c>
    </row>
    <row r="15" spans="1:10" ht="16.5">
      <c r="A15" s="44" t="s">
        <v>223</v>
      </c>
      <c r="B15" s="45">
        <v>45240</v>
      </c>
      <c r="C15" s="45">
        <v>45247</v>
      </c>
    </row>
    <row r="16" spans="1:10" ht="16.5">
      <c r="A16" s="46" t="s">
        <v>15</v>
      </c>
      <c r="B16" s="47">
        <v>22794496005.583801</v>
      </c>
      <c r="C16" s="47">
        <v>22858868495.366501</v>
      </c>
    </row>
    <row r="17" spans="1:12" ht="16.5">
      <c r="A17" s="46" t="s">
        <v>47</v>
      </c>
      <c r="B17" s="48">
        <v>861362592384.79565</v>
      </c>
      <c r="C17" s="48">
        <v>865822924113.04614</v>
      </c>
    </row>
    <row r="18" spans="1:12" ht="16.5">
      <c r="A18" s="46" t="s">
        <v>224</v>
      </c>
      <c r="B18" s="47">
        <v>299518508797.995</v>
      </c>
      <c r="C18" s="47">
        <v>298317775753.20929</v>
      </c>
    </row>
    <row r="19" spans="1:12" ht="16.5">
      <c r="A19" s="46" t="s">
        <v>129</v>
      </c>
      <c r="B19" s="48">
        <v>638339381199.3125</v>
      </c>
      <c r="C19" s="48">
        <v>647350483168.5968</v>
      </c>
    </row>
    <row r="20" spans="1:12" ht="16.5">
      <c r="A20" s="46" t="s">
        <v>225</v>
      </c>
      <c r="B20" s="47">
        <v>93197010128.300003</v>
      </c>
      <c r="C20" s="47">
        <v>95531336334.98999</v>
      </c>
      <c r="E20" s="119"/>
      <c r="F20" s="119"/>
      <c r="G20" s="119"/>
      <c r="H20" s="119"/>
      <c r="I20" s="119"/>
      <c r="J20" s="119"/>
      <c r="K20" s="119"/>
      <c r="L20" s="119">
        <v>2019879952817.2942</v>
      </c>
    </row>
    <row r="21" spans="1:12" ht="16.5">
      <c r="A21" s="46" t="s">
        <v>155</v>
      </c>
      <c r="B21" s="49">
        <v>39710985001.751167</v>
      </c>
      <c r="C21" s="49">
        <v>39960778727.195503</v>
      </c>
    </row>
    <row r="22" spans="1:12" ht="16.5">
      <c r="A22" s="46" t="s">
        <v>179</v>
      </c>
      <c r="B22" s="47">
        <v>3954911247.46</v>
      </c>
      <c r="C22" s="47">
        <v>3972600047.8899999</v>
      </c>
    </row>
    <row r="23" spans="1:12" ht="16.5">
      <c r="A23" s="46" t="s">
        <v>226</v>
      </c>
      <c r="B23" s="47">
        <v>45576764591.580002</v>
      </c>
      <c r="C23" s="47">
        <v>46065186177</v>
      </c>
    </row>
    <row r="28" spans="1:12">
      <c r="C28" s="71"/>
      <c r="D28" s="71"/>
      <c r="E28" s="71"/>
      <c r="F28" s="71"/>
      <c r="G28" s="71"/>
      <c r="H28" s="71"/>
      <c r="I28" s="71"/>
      <c r="J28" s="71"/>
    </row>
  </sheetData>
  <sheetProtection algorithmName="SHA-512" hashValue="lQeikM3T2BpEP8ozia7+Zs/EgZVgI/kJqRMVrflqJErKPO3Y3dRdp4tHhFUT0uor6/OR0jxPxyoeTiABA3rAKg==" saltValue="ciq3IYzVOZwEeJSBwKK1P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Weekly Valuation</vt:lpstr>
      <vt:lpstr>NAV Comparison</vt:lpstr>
      <vt:lpstr>Market Share</vt:lpstr>
      <vt:lpstr>NAV Movement</vt:lpstr>
      <vt:lpstr>NAV Trend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Mr RV</cp:lastModifiedBy>
  <dcterms:created xsi:type="dcterms:W3CDTF">2023-10-09T09:40:10Z</dcterms:created>
  <dcterms:modified xsi:type="dcterms:W3CDTF">2023-11-23T14:50:08Z</dcterms:modified>
</cp:coreProperties>
</file>