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11" i="2"/>
  <c r="C10" i="2"/>
  <c r="C9" i="2"/>
  <c r="C8" i="2"/>
  <c r="C7" i="2"/>
  <c r="C6" i="2"/>
  <c r="C5" i="2"/>
  <c r="B12" i="2"/>
  <c r="B11" i="2"/>
  <c r="B10" i="2"/>
  <c r="B9" i="2"/>
  <c r="B8" i="2"/>
  <c r="B7" i="2"/>
  <c r="B6" i="2"/>
  <c r="B5" i="2"/>
  <c r="N115" i="1" l="1"/>
  <c r="M115" i="1"/>
  <c r="N94" i="1" l="1"/>
  <c r="M94" i="1"/>
  <c r="K94" i="1"/>
  <c r="N108" i="1" l="1"/>
  <c r="M108" i="1"/>
  <c r="K108" i="1"/>
  <c r="N96" i="1"/>
  <c r="M96" i="1"/>
  <c r="K96" i="1"/>
  <c r="N103" i="1" l="1"/>
  <c r="M103" i="1"/>
  <c r="K103" i="1"/>
  <c r="N112" i="1" l="1"/>
  <c r="M112" i="1"/>
  <c r="N111" i="1" l="1"/>
  <c r="M111" i="1"/>
  <c r="G115" i="1"/>
  <c r="F115" i="1"/>
  <c r="G112" i="1"/>
  <c r="F112" i="1"/>
  <c r="G111" i="1"/>
  <c r="F111" i="1"/>
  <c r="G108" i="1"/>
  <c r="F108" i="1"/>
  <c r="D108" i="1"/>
  <c r="G103" i="1"/>
  <c r="F103" i="1"/>
  <c r="G102" i="1"/>
  <c r="F102" i="1"/>
  <c r="G101" i="1"/>
  <c r="F101" i="1"/>
  <c r="G100" i="1"/>
  <c r="F100" i="1"/>
  <c r="G96" i="1"/>
  <c r="F96" i="1"/>
  <c r="G95" i="1"/>
  <c r="F95" i="1"/>
  <c r="G94" i="1"/>
  <c r="F94" i="1"/>
  <c r="D103" i="1"/>
  <c r="D102" i="1"/>
  <c r="D101" i="1"/>
  <c r="D100" i="1"/>
  <c r="D96" i="1"/>
  <c r="D95" i="1"/>
  <c r="D94" i="1"/>
  <c r="I10" i="4" l="1"/>
  <c r="H10" i="4"/>
  <c r="G10" i="4"/>
  <c r="F10" i="4"/>
  <c r="E10" i="4"/>
  <c r="D10" i="4"/>
  <c r="C10" i="4"/>
  <c r="B10" i="4"/>
  <c r="N95" i="1" l="1"/>
  <c r="M95" i="1"/>
  <c r="K95" i="1"/>
  <c r="N101" i="1" l="1"/>
  <c r="M101" i="1"/>
  <c r="K101" i="1"/>
  <c r="V169" i="1" l="1"/>
  <c r="U169" i="1"/>
  <c r="T169" i="1"/>
  <c r="S169" i="1"/>
  <c r="R169" i="1"/>
  <c r="N102" i="1" l="1"/>
  <c r="M102" i="1"/>
  <c r="K102" i="1"/>
  <c r="N100" i="1" l="1"/>
  <c r="M100" i="1"/>
  <c r="K100" i="1"/>
  <c r="T32" i="1" l="1"/>
  <c r="S21" i="1" l="1"/>
  <c r="T21" i="1"/>
  <c r="V95" i="1" l="1"/>
  <c r="R95" i="1"/>
  <c r="S95" i="1"/>
  <c r="T95" i="1"/>
  <c r="U95" i="1"/>
  <c r="R12" i="1" l="1"/>
  <c r="R48" i="1" l="1"/>
  <c r="V48" i="1"/>
  <c r="U48" i="1"/>
  <c r="T48" i="1"/>
  <c r="S48" i="1"/>
  <c r="V96" i="1" l="1"/>
  <c r="U96" i="1"/>
  <c r="T96" i="1"/>
  <c r="S96" i="1"/>
  <c r="R96" i="1"/>
  <c r="V120" i="1" l="1"/>
  <c r="U120" i="1"/>
  <c r="T120" i="1"/>
  <c r="S120" i="1"/>
  <c r="R120" i="1"/>
  <c r="R70" i="1" l="1"/>
  <c r="V174" i="1" l="1"/>
  <c r="U174" i="1"/>
  <c r="T174" i="1"/>
  <c r="S174" i="1"/>
  <c r="R174" i="1"/>
  <c r="S162" i="1" l="1"/>
  <c r="D157" i="1" l="1"/>
  <c r="D116" i="1"/>
  <c r="E96" i="1" s="1"/>
  <c r="R86" i="1" l="1"/>
  <c r="S86" i="1"/>
  <c r="T86" i="1"/>
  <c r="U86" i="1"/>
  <c r="V86" i="1"/>
  <c r="D197" i="1"/>
  <c r="D176" i="1"/>
  <c r="E174" i="1" s="1"/>
  <c r="D124" i="1"/>
  <c r="E120" i="1" s="1"/>
  <c r="D55" i="1"/>
  <c r="R155" i="1" l="1"/>
  <c r="R78" i="1" l="1"/>
  <c r="S78" i="1"/>
  <c r="T78" i="1"/>
  <c r="V78" i="1"/>
  <c r="U78" i="1"/>
  <c r="D22" i="1" l="1"/>
  <c r="R109" i="1" l="1"/>
  <c r="R19" i="1" l="1"/>
  <c r="R186" i="1" l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R192" i="1"/>
  <c r="S192" i="1"/>
  <c r="T192" i="1"/>
  <c r="U192" i="1"/>
  <c r="V192" i="1"/>
  <c r="R193" i="1"/>
  <c r="S193" i="1"/>
  <c r="T193" i="1"/>
  <c r="U193" i="1"/>
  <c r="V193" i="1"/>
  <c r="R194" i="1"/>
  <c r="S194" i="1"/>
  <c r="T194" i="1"/>
  <c r="U194" i="1"/>
  <c r="V194" i="1"/>
  <c r="R195" i="1"/>
  <c r="S195" i="1"/>
  <c r="T195" i="1"/>
  <c r="U195" i="1"/>
  <c r="V195" i="1"/>
  <c r="R196" i="1"/>
  <c r="S196" i="1"/>
  <c r="T196" i="1"/>
  <c r="U196" i="1"/>
  <c r="V196" i="1"/>
  <c r="S197" i="1"/>
  <c r="U197" i="1"/>
  <c r="V197" i="1"/>
  <c r="V185" i="1"/>
  <c r="U185" i="1"/>
  <c r="T185" i="1"/>
  <c r="S185" i="1"/>
  <c r="R185" i="1"/>
  <c r="V181" i="1"/>
  <c r="U181" i="1"/>
  <c r="T181" i="1"/>
  <c r="S181" i="1"/>
  <c r="R181" i="1"/>
  <c r="V180" i="1"/>
  <c r="U180" i="1"/>
  <c r="T180" i="1"/>
  <c r="S180" i="1"/>
  <c r="R180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70" i="1"/>
  <c r="S170" i="1"/>
  <c r="T170" i="1"/>
  <c r="U170" i="1"/>
  <c r="V170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5" i="1"/>
  <c r="S175" i="1"/>
  <c r="T175" i="1"/>
  <c r="U175" i="1"/>
  <c r="V175" i="1"/>
  <c r="S176" i="1"/>
  <c r="U176" i="1"/>
  <c r="V176" i="1"/>
  <c r="V165" i="1"/>
  <c r="U165" i="1"/>
  <c r="T165" i="1"/>
  <c r="S165" i="1"/>
  <c r="R165" i="1"/>
  <c r="V162" i="1"/>
  <c r="U162" i="1"/>
  <c r="T162" i="1"/>
  <c r="R162" i="1"/>
  <c r="V161" i="1"/>
  <c r="U161" i="1"/>
  <c r="T161" i="1"/>
  <c r="S161" i="1"/>
  <c r="R161" i="1"/>
  <c r="S155" i="1"/>
  <c r="T155" i="1"/>
  <c r="U155" i="1"/>
  <c r="V155" i="1"/>
  <c r="R156" i="1"/>
  <c r="S156" i="1"/>
  <c r="T156" i="1"/>
  <c r="U156" i="1"/>
  <c r="V156" i="1"/>
  <c r="S157" i="1"/>
  <c r="U157" i="1"/>
  <c r="V157" i="1"/>
  <c r="V154" i="1"/>
  <c r="U154" i="1"/>
  <c r="T154" i="1"/>
  <c r="S154" i="1"/>
  <c r="R154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R148" i="1"/>
  <c r="S148" i="1"/>
  <c r="T148" i="1"/>
  <c r="U148" i="1"/>
  <c r="V148" i="1"/>
  <c r="R149" i="1"/>
  <c r="S149" i="1"/>
  <c r="T149" i="1"/>
  <c r="U149" i="1"/>
  <c r="V149" i="1"/>
  <c r="R150" i="1"/>
  <c r="S150" i="1"/>
  <c r="T150" i="1"/>
  <c r="U150" i="1"/>
  <c r="V150" i="1"/>
  <c r="S151" i="1"/>
  <c r="U151" i="1"/>
  <c r="V151" i="1"/>
  <c r="V127" i="1"/>
  <c r="U127" i="1"/>
  <c r="T127" i="1"/>
  <c r="S127" i="1"/>
  <c r="R127" i="1"/>
  <c r="R121" i="1"/>
  <c r="S121" i="1"/>
  <c r="T121" i="1"/>
  <c r="U121" i="1"/>
  <c r="V121" i="1"/>
  <c r="R122" i="1"/>
  <c r="S122" i="1"/>
  <c r="T122" i="1"/>
  <c r="U122" i="1"/>
  <c r="V122" i="1"/>
  <c r="R123" i="1"/>
  <c r="S123" i="1"/>
  <c r="T123" i="1"/>
  <c r="U123" i="1"/>
  <c r="V123" i="1"/>
  <c r="S124" i="1"/>
  <c r="U124" i="1"/>
  <c r="V124" i="1"/>
  <c r="V119" i="1"/>
  <c r="U119" i="1"/>
  <c r="T119" i="1"/>
  <c r="S119" i="1"/>
  <c r="R119" i="1"/>
  <c r="R108" i="1"/>
  <c r="S108" i="1"/>
  <c r="T108" i="1"/>
  <c r="U108" i="1"/>
  <c r="V108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S116" i="1"/>
  <c r="U116" i="1"/>
  <c r="V116" i="1"/>
  <c r="V107" i="1"/>
  <c r="U107" i="1"/>
  <c r="T107" i="1"/>
  <c r="S107" i="1"/>
  <c r="R107" i="1"/>
  <c r="R94" i="1"/>
  <c r="S94" i="1"/>
  <c r="T94" i="1"/>
  <c r="U94" i="1"/>
  <c r="V94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R103" i="1"/>
  <c r="S103" i="1"/>
  <c r="T103" i="1"/>
  <c r="U103" i="1"/>
  <c r="V103" i="1"/>
  <c r="R104" i="1"/>
  <c r="S104" i="1"/>
  <c r="T104" i="1"/>
  <c r="U104" i="1"/>
  <c r="V104" i="1"/>
  <c r="V93" i="1"/>
  <c r="U93" i="1"/>
  <c r="T93" i="1"/>
  <c r="S93" i="1"/>
  <c r="R93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R63" i="1"/>
  <c r="S63" i="1"/>
  <c r="T63" i="1"/>
  <c r="U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7" i="1"/>
  <c r="S87" i="1"/>
  <c r="T87" i="1"/>
  <c r="U87" i="1"/>
  <c r="V87" i="1"/>
  <c r="R88" i="1"/>
  <c r="S88" i="1"/>
  <c r="T88" i="1"/>
  <c r="U88" i="1"/>
  <c r="V88" i="1"/>
  <c r="S89" i="1"/>
  <c r="U89" i="1"/>
  <c r="V89" i="1"/>
  <c r="V58" i="1"/>
  <c r="U58" i="1"/>
  <c r="T58" i="1"/>
  <c r="S58" i="1"/>
  <c r="R58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T54" i="1"/>
  <c r="U54" i="1"/>
  <c r="V54" i="1"/>
  <c r="S55" i="1"/>
  <c r="U55" i="1"/>
  <c r="V55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U21" i="1"/>
  <c r="V21" i="1"/>
  <c r="S22" i="1"/>
  <c r="U22" i="1"/>
  <c r="V22" i="1"/>
  <c r="V6" i="1"/>
  <c r="U6" i="1"/>
  <c r="T6" i="1"/>
  <c r="V63" i="1" l="1"/>
  <c r="V130" i="1"/>
  <c r="O176" i="1" l="1"/>
  <c r="O197" i="1"/>
  <c r="K197" i="1"/>
  <c r="H197" i="1"/>
  <c r="K182" i="1"/>
  <c r="H182" i="1"/>
  <c r="D182" i="1"/>
  <c r="H176" i="1"/>
  <c r="K176" i="1"/>
  <c r="H157" i="1"/>
  <c r="O157" i="1"/>
  <c r="K157" i="1"/>
  <c r="O151" i="1"/>
  <c r="K151" i="1"/>
  <c r="L169" i="1" s="1"/>
  <c r="H151" i="1"/>
  <c r="D151" i="1"/>
  <c r="E169" i="1" s="1"/>
  <c r="O124" i="1"/>
  <c r="K124" i="1"/>
  <c r="L120" i="1" s="1"/>
  <c r="H124" i="1"/>
  <c r="T124" i="1" s="1"/>
  <c r="H116" i="1"/>
  <c r="O116" i="1"/>
  <c r="K116" i="1"/>
  <c r="L96" i="1" s="1"/>
  <c r="O89" i="1"/>
  <c r="K89" i="1"/>
  <c r="H89" i="1"/>
  <c r="D89" i="1"/>
  <c r="O55" i="1"/>
  <c r="K55" i="1"/>
  <c r="H55" i="1"/>
  <c r="O22" i="1"/>
  <c r="H22" i="1"/>
  <c r="L195" i="1" l="1"/>
  <c r="L196" i="1"/>
  <c r="E48" i="1"/>
  <c r="L47" i="1"/>
  <c r="L49" i="1"/>
  <c r="L48" i="1"/>
  <c r="L50" i="1"/>
  <c r="L93" i="1"/>
  <c r="L107" i="1"/>
  <c r="L142" i="1"/>
  <c r="L147" i="1"/>
  <c r="L172" i="1"/>
  <c r="L174" i="1"/>
  <c r="L81" i="1"/>
  <c r="L61" i="1"/>
  <c r="L146" i="1"/>
  <c r="L95" i="1"/>
  <c r="L25" i="1"/>
  <c r="L38" i="1"/>
  <c r="T176" i="1"/>
  <c r="L85" i="1"/>
  <c r="L86" i="1"/>
  <c r="E78" i="1"/>
  <c r="E86" i="1"/>
  <c r="T197" i="1"/>
  <c r="L78" i="1"/>
  <c r="T55" i="1"/>
  <c r="T157" i="1"/>
  <c r="R157" i="1"/>
  <c r="T89" i="1"/>
  <c r="T151" i="1"/>
  <c r="T22" i="1"/>
  <c r="R124" i="1"/>
  <c r="R197" i="1"/>
  <c r="T116" i="1"/>
  <c r="O177" i="1"/>
  <c r="O198" i="1" s="1"/>
  <c r="R151" i="1"/>
  <c r="L141" i="1"/>
  <c r="R116" i="1"/>
  <c r="R89" i="1"/>
  <c r="L60" i="1"/>
  <c r="L62" i="1"/>
  <c r="L64" i="1"/>
  <c r="L66" i="1"/>
  <c r="L68" i="1"/>
  <c r="L70" i="1"/>
  <c r="L72" i="1"/>
  <c r="L74" i="1"/>
  <c r="L76" i="1"/>
  <c r="L79" i="1"/>
  <c r="L83" i="1"/>
  <c r="L88" i="1"/>
  <c r="L59" i="1"/>
  <c r="L63" i="1"/>
  <c r="L65" i="1"/>
  <c r="L67" i="1"/>
  <c r="L69" i="1"/>
  <c r="L71" i="1"/>
  <c r="L73" i="1"/>
  <c r="L75" i="1"/>
  <c r="L77" i="1"/>
  <c r="L80" i="1"/>
  <c r="L82" i="1"/>
  <c r="L84" i="1"/>
  <c r="L87" i="1"/>
  <c r="E27" i="1"/>
  <c r="E29" i="1"/>
  <c r="E31" i="1"/>
  <c r="E33" i="1"/>
  <c r="E35" i="1"/>
  <c r="E37" i="1"/>
  <c r="E39" i="1"/>
  <c r="E41" i="1"/>
  <c r="E43" i="1"/>
  <c r="E45" i="1"/>
  <c r="E47" i="1"/>
  <c r="E50" i="1"/>
  <c r="E52" i="1"/>
  <c r="E54" i="1"/>
  <c r="E26" i="1"/>
  <c r="E28" i="1"/>
  <c r="E30" i="1"/>
  <c r="E32" i="1"/>
  <c r="E34" i="1"/>
  <c r="E36" i="1"/>
  <c r="E38" i="1"/>
  <c r="E40" i="1"/>
  <c r="E42" i="1"/>
  <c r="E44" i="1"/>
  <c r="E46" i="1"/>
  <c r="E49" i="1"/>
  <c r="E51" i="1"/>
  <c r="E53" i="1"/>
  <c r="E25" i="1"/>
  <c r="E167" i="1"/>
  <c r="E170" i="1"/>
  <c r="E172" i="1"/>
  <c r="E175" i="1"/>
  <c r="E166" i="1"/>
  <c r="E168" i="1"/>
  <c r="E171" i="1"/>
  <c r="E173" i="1"/>
  <c r="R176" i="1"/>
  <c r="H177" i="1"/>
  <c r="H198" i="1" s="1"/>
  <c r="J10" i="4"/>
  <c r="J12" i="4" s="1"/>
  <c r="I12" i="4"/>
  <c r="H12" i="4"/>
  <c r="G12" i="4"/>
  <c r="F12" i="4"/>
  <c r="E12" i="4"/>
  <c r="C12" i="4"/>
  <c r="E193" i="1"/>
  <c r="L194" i="1"/>
  <c r="L193" i="1"/>
  <c r="L191" i="1"/>
  <c r="L190" i="1"/>
  <c r="L189" i="1"/>
  <c r="L187" i="1"/>
  <c r="L186" i="1"/>
  <c r="L185" i="1"/>
  <c r="V182" i="1"/>
  <c r="U182" i="1"/>
  <c r="L180" i="1"/>
  <c r="E180" i="1"/>
  <c r="L173" i="1"/>
  <c r="L166" i="1"/>
  <c r="L162" i="1"/>
  <c r="L154" i="1"/>
  <c r="E156" i="1"/>
  <c r="E150" i="1"/>
  <c r="E147" i="1"/>
  <c r="L140" i="1"/>
  <c r="L138" i="1"/>
  <c r="L135" i="1"/>
  <c r="L132" i="1"/>
  <c r="L130" i="1"/>
  <c r="L127" i="1"/>
  <c r="L122" i="1"/>
  <c r="E123" i="1"/>
  <c r="L123" i="1"/>
  <c r="E85" i="1"/>
  <c r="E87" i="1"/>
  <c r="E84" i="1"/>
  <c r="E82" i="1"/>
  <c r="E80" i="1"/>
  <c r="E77" i="1"/>
  <c r="E75" i="1"/>
  <c r="E73" i="1"/>
  <c r="E71" i="1"/>
  <c r="E69" i="1"/>
  <c r="E67" i="1"/>
  <c r="E65" i="1"/>
  <c r="E63" i="1"/>
  <c r="E61" i="1"/>
  <c r="E59" i="1"/>
  <c r="L51" i="1"/>
  <c r="R55" i="1"/>
  <c r="L52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9" i="1"/>
  <c r="L128" i="1"/>
  <c r="L131" i="1"/>
  <c r="L134" i="1"/>
  <c r="L136" i="1"/>
  <c r="L139" i="1"/>
  <c r="L143" i="1"/>
  <c r="E18" i="1"/>
  <c r="L58" i="1"/>
  <c r="E62" i="1"/>
  <c r="E119" i="1"/>
  <c r="E127" i="1"/>
  <c r="E128" i="1"/>
  <c r="E129" i="1"/>
  <c r="E134" i="1"/>
  <c r="E135" i="1"/>
  <c r="E136" i="1"/>
  <c r="E137" i="1"/>
  <c r="E142" i="1"/>
  <c r="E145" i="1"/>
  <c r="E149" i="1"/>
  <c r="L168" i="1"/>
  <c r="L171" i="1"/>
  <c r="E11" i="1"/>
  <c r="E13" i="1"/>
  <c r="E16" i="1"/>
  <c r="E20" i="1"/>
  <c r="L29" i="1"/>
  <c r="L37" i="1"/>
  <c r="L43" i="1"/>
  <c r="K177" i="1"/>
  <c r="L121" i="1"/>
  <c r="E130" i="1"/>
  <c r="E131" i="1"/>
  <c r="E132" i="1"/>
  <c r="E133" i="1"/>
  <c r="E138" i="1"/>
  <c r="E139" i="1"/>
  <c r="E140" i="1"/>
  <c r="E141" i="1"/>
  <c r="E143" i="1"/>
  <c r="E144" i="1"/>
  <c r="E146" i="1"/>
  <c r="E148" i="1"/>
  <c r="L161" i="1"/>
  <c r="L167" i="1"/>
  <c r="L100" i="1"/>
  <c r="L109" i="1"/>
  <c r="L99" i="1"/>
  <c r="L33" i="1"/>
  <c r="L44" i="1"/>
  <c r="L53" i="1"/>
  <c r="E122" i="1"/>
  <c r="L145" i="1"/>
  <c r="L149" i="1"/>
  <c r="L156" i="1"/>
  <c r="E188" i="1"/>
  <c r="E192" i="1"/>
  <c r="E196" i="1"/>
  <c r="D12" i="4"/>
  <c r="E94" i="1"/>
  <c r="L36" i="1"/>
  <c r="L39" i="1"/>
  <c r="L30" i="1"/>
  <c r="L41" i="1"/>
  <c r="L129" i="1"/>
  <c r="L133" i="1"/>
  <c r="L137" i="1"/>
  <c r="E155" i="1"/>
  <c r="E165" i="1"/>
  <c r="E181" i="1"/>
  <c r="L188" i="1"/>
  <c r="L192" i="1"/>
  <c r="L28" i="1"/>
  <c r="E7" i="1"/>
  <c r="E17" i="1"/>
  <c r="E21" i="1"/>
  <c r="L27" i="1"/>
  <c r="L35" i="1"/>
  <c r="L46" i="1"/>
  <c r="E58" i="1"/>
  <c r="E66" i="1"/>
  <c r="E70" i="1"/>
  <c r="E74" i="1"/>
  <c r="E79" i="1"/>
  <c r="E83" i="1"/>
  <c r="E88" i="1"/>
  <c r="E121" i="1"/>
  <c r="L144" i="1"/>
  <c r="L148" i="1"/>
  <c r="L155" i="1"/>
  <c r="L165" i="1"/>
  <c r="L170" i="1"/>
  <c r="L175" i="1"/>
  <c r="L181" i="1"/>
  <c r="R182" i="1"/>
  <c r="E187" i="1"/>
  <c r="E191" i="1"/>
  <c r="E195" i="1"/>
  <c r="E154" i="1"/>
  <c r="E162" i="1"/>
  <c r="E186" i="1"/>
  <c r="E190" i="1"/>
  <c r="E194" i="1"/>
  <c r="L45" i="1"/>
  <c r="L54" i="1"/>
  <c r="L26" i="1"/>
  <c r="L34" i="1"/>
  <c r="E161" i="1"/>
  <c r="E12" i="1"/>
  <c r="E15" i="1"/>
  <c r="L31" i="1"/>
  <c r="L42" i="1"/>
  <c r="E60" i="1"/>
  <c r="E64" i="1"/>
  <c r="E68" i="1"/>
  <c r="E72" i="1"/>
  <c r="E76" i="1"/>
  <c r="E81" i="1"/>
  <c r="L150" i="1"/>
  <c r="E185" i="1"/>
  <c r="E189" i="1"/>
  <c r="L110" i="1" l="1"/>
  <c r="L94" i="1"/>
  <c r="L97" i="1"/>
  <c r="L103" i="1"/>
  <c r="L112" i="1"/>
  <c r="E108" i="1"/>
  <c r="L98" i="1"/>
  <c r="K198" i="1"/>
  <c r="L22" i="1"/>
  <c r="L151" i="1"/>
  <c r="L55" i="1"/>
  <c r="L124" i="1"/>
  <c r="L89" i="1"/>
  <c r="L116" i="1"/>
  <c r="L176" i="1"/>
  <c r="L157" i="1"/>
  <c r="L102" i="1"/>
  <c r="L101" i="1"/>
  <c r="L115" i="1"/>
  <c r="L111" i="1"/>
  <c r="L113" i="1"/>
  <c r="L104" i="1"/>
  <c r="L114" i="1"/>
  <c r="L108" i="1"/>
  <c r="E114" i="1"/>
  <c r="E111" i="1"/>
  <c r="E104" i="1"/>
  <c r="E101" i="1"/>
  <c r="E98" i="1"/>
  <c r="E103" i="1"/>
  <c r="E99" i="1"/>
  <c r="E109" i="1"/>
  <c r="E100" i="1"/>
  <c r="D177" i="1"/>
  <c r="E115" i="1"/>
  <c r="E93" i="1"/>
  <c r="E102" i="1"/>
  <c r="E97" i="1"/>
  <c r="E113" i="1"/>
  <c r="E112" i="1"/>
  <c r="E110" i="1"/>
  <c r="E107" i="1"/>
  <c r="E116" i="1" l="1"/>
  <c r="R177" i="1"/>
  <c r="E55" i="1"/>
  <c r="E151" i="1"/>
  <c r="D198" i="1"/>
  <c r="E89" i="1"/>
  <c r="E22" i="1"/>
  <c r="E176" i="1"/>
  <c r="E124" i="1"/>
  <c r="E157" i="1"/>
</calcChain>
</file>

<file path=xl/sharedStrings.xml><?xml version="1.0" encoding="utf-8"?>
<sst xmlns="http://schemas.openxmlformats.org/spreadsheetml/2006/main" count="411" uniqueCount="257">
  <si>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</si>
  <si>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</si>
  <si>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</si>
  <si>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</si>
  <si>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</si>
  <si>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</si>
  <si>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</si>
  <si>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</si>
  <si>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</si>
  <si>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</si>
  <si>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</si>
  <si>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</si>
  <si>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</si>
  <si>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</si>
  <si>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</si>
  <si>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</si>
  <si>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</si>
  <si>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</si>
  <si>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</si>
  <si>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</si>
  <si>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</si>
  <si>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</si>
  <si>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</si>
  <si>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</si>
  <si>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</si>
  <si>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</si>
  <si>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</si>
  <si>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</si>
  <si>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</si>
  <si>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</si>
  <si>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</si>
  <si>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</si>
  <si>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</si>
  <si>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</si>
  <si>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</si>
  <si>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</si>
  <si>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</si>
  <si>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</si>
  <si>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</si>
  <si>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</si>
  <si>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</si>
  <si>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</si>
  <si>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</si>
  <si>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</si>
  <si>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</si>
  <si>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</si>
  <si>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</si>
  <si>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</si>
  <si>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</si>
  <si>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</si>
  <si>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</si>
  <si>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</si>
  <si>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</si>
  <si>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</si>
  <si>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</si>
  <si>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</si>
  <si>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</si>
  <si>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</si>
  <si>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</si>
  <si>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</si>
  <si>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</si>
  <si>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</si>
  <si>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</si>
  <si>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</si>
  <si>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</si>
  <si>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</si>
  <si>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</si>
  <si>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</si>
  <si>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</si>
  <si>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</si>
  <si>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</si>
  <si>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</si>
  <si>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</si>
  <si>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</si>
  <si>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</si>
  <si>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</si>
  <si>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</si>
  <si>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</si>
  <si>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</si>
  <si>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</si>
  <si>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</si>
  <si>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</si>
  <si>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</si>
  <si>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</si>
  <si>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</si>
  <si>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</si>
  <si>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</si>
  <si>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</si>
  <si>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</si>
  <si>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</si>
  <si>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</si>
  <si>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</si>
  <si>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</si>
  <si>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</si>
  <si>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</si>
  <si>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</si>
  <si>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</si>
  <si>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</si>
  <si>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</si>
  <si>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</si>
  <si>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</si>
  <si>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</si>
  <si>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</si>
  <si>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</si>
  <si>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</si>
  <si>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</si>
  <si>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</si>
  <si>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</si>
  <si>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</si>
  <si>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</si>
  <si>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</si>
  <si>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</si>
  <si>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</si>
  <si>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</si>
  <si>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</si>
  <si>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</si>
  <si>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</si>
  <si>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</si>
  <si>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</si>
  <si>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</si>
  <si>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</si>
  <si>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</si>
  <si>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</si>
  <si>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</si>
  <si>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</si>
  <si>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</si>
  <si>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</si>
  <si>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</si>
  <si>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</si>
  <si>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</si>
  <si>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</si>
  <si>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</si>
  <si>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</si>
  <si>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</si>
  <si>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</si>
  <si>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</si>
  <si>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</si>
  <si>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</si>
  <si>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</si>
  <si>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</si>
  <si>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</si>
  <si>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</si>
  <si>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</si>
  <si>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</si>
  <si>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</si>
  <si>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</si>
  <si>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</si>
  <si>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</si>
  <si>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</si>
  <si>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</si>
  <si>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</si>
  <si>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</si>
  <si>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</si>
  <si>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</si>
  <si>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</si>
  <si>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</si>
  <si>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</si>
  <si>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</si>
  <si>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</si>
  <si>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</si>
  <si>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</si>
  <si>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</si>
  <si>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</si>
  <si>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</si>
  <si>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</si>
  <si>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</si>
  <si>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</si>
  <si>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</si>
  <si>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</si>
  <si>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</si>
  <si>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</si>
  <si>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</si>
  <si>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</si>
  <si>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</si>
  <si>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</si>
  <si>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</si>
  <si>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</si>
  <si>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</si>
  <si>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</si>
  <si>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</si>
  <si>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</si>
  <si>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</si>
  <si>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</si>
  <si>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</si>
  <si>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</si>
  <si>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</si>
  <si>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</si>
  <si>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</si>
  <si>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</si>
  <si>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</si>
  <si>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</si>
  <si>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</si>
  <si>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</si>
  <si>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</si>
  <si>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</si>
  <si>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</si>
  <si>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</si>
  <si>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</si>
  <si>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</si>
  <si>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</si>
  <si>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</si>
  <si>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</si>
  <si>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</si>
  <si>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</si>
  <si>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</si>
  <si>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</si>
  <si>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</si>
  <si>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</si>
  <si>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</si>
  <si>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</si>
  <si>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</si>
  <si>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</si>
  <si>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</si>
  <si>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</si>
  <si>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</si>
  <si>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</si>
  <si>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</si>
  <si>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</si>
  <si>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</si>
  <si>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</si>
  <si>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</si>
  <si>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</si>
  <si>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</si>
  <si>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</si>
  <si>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</si>
  <si>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</si>
  <si>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</si>
  <si>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</si>
  <si>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</si>
  <si>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</si>
  <si>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</si>
  <si>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</si>
  <si>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</si>
  <si>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</si>
  <si>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</si>
  <si>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</si>
  <si>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</si>
  <si>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</si>
  <si>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</si>
  <si>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</si>
  <si>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</si>
  <si>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</si>
  <si>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</si>
  <si>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</si>
  <si>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</si>
  <si>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</si>
  <si>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</si>
  <si>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</si>
  <si>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</si>
  <si>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</si>
  <si>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NAV, Unit Price and Yield as at Week Ended December 8, 2023</t>
  </si>
  <si>
    <t>FSDH Halal Fund</t>
  </si>
  <si>
    <t>Week Ended December 8, 2023</t>
  </si>
  <si>
    <t>WEEKLY VALUATION REPORT OF COLLECTIVE INVESTMENT SCHEMES AS AT WEEK ENDED FRIDAY, DECEMBER 15, 2023</t>
  </si>
  <si>
    <t>NAV, Unit Price and Yield as at Week Ended December 15, 2023</t>
  </si>
  <si>
    <t>Week Ended December 15, 2023</t>
  </si>
  <si>
    <t>The chart above shows that the Money Market Fund has the highest share of the Aggregate Net Asset Value (NAV) at 41.06% , followed by Dollar Fund category (Eurobonds and Fixed Income) with 35.03%, Bond/Fixed Income Fund at 13.72%, Real Estate Investment Trust at 4.65%.  Next is Shari'ah Compliant Fund at 2.20%, Balanced Fund at 1.99%, Equity Fund at 1.13%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</si>
</sst>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0.000%"/>
    <numFmt numFmtId="167" formatCode="_-* #,##0.000_-;\-* #,##0.0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6"/>
      <name val="Arial Narrow"/>
      <family val="2"/>
    </font>
    <font>
      <sz val="6"/>
      <color theme="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0" fillId="0" borderId="0" xfId="0" applyBorder="1"/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18" fillId="0" borderId="0" xfId="0" applyFont="1"/>
    <xf numFmtId="10" fontId="20" fillId="2" borderId="5" xfId="2" applyNumberFormat="1" applyFont="1" applyFill="1" applyBorder="1" applyAlignment="1">
      <alignment horizontal="center" vertical="top" wrapText="1"/>
    </xf>
    <xf numFmtId="0" fontId="22" fillId="0" borderId="0" xfId="0" applyFont="1"/>
    <xf numFmtId="10" fontId="21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0" fontId="13" fillId="0" borderId="5" xfId="0" applyFont="1" applyBorder="1" applyAlignment="1">
      <alignment horizontal="right"/>
    </xf>
    <xf numFmtId="16" fontId="19" fillId="3" borderId="5" xfId="0" applyNumberFormat="1" applyFont="1" applyFill="1" applyBorder="1" applyAlignment="1">
      <alignment wrapText="1"/>
    </xf>
    <xf numFmtId="0" fontId="19" fillId="0" borderId="5" xfId="0" applyFont="1" applyBorder="1" applyAlignment="1">
      <alignment horizontal="right" wrapText="1"/>
    </xf>
    <xf numFmtId="0" fontId="19" fillId="0" borderId="5" xfId="0" applyFont="1" applyBorder="1" applyAlignment="1">
      <alignment horizontal="right"/>
    </xf>
    <xf numFmtId="16" fontId="19" fillId="3" borderId="5" xfId="0" applyNumberFormat="1" applyFont="1" applyFill="1" applyBorder="1"/>
    <xf numFmtId="0" fontId="23" fillId="0" borderId="0" xfId="0" applyFont="1" applyBorder="1"/>
    <xf numFmtId="16" fontId="24" fillId="3" borderId="0" xfId="0" applyNumberFormat="1" applyFont="1" applyFill="1" applyBorder="1"/>
    <xf numFmtId="43" fontId="25" fillId="0" borderId="0" xfId="1" applyFont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" fontId="11" fillId="3" borderId="0" xfId="0" applyNumberFormat="1" applyFont="1" applyFill="1" applyBorder="1"/>
    <xf numFmtId="0" fontId="11" fillId="3" borderId="0" xfId="0" applyFont="1" applyFill="1" applyAlignment="1">
      <alignment wrapText="1"/>
    </xf>
    <xf numFmtId="166" fontId="4" fillId="5" borderId="5" xfId="2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16" fontId="10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167" fontId="14" fillId="0" borderId="0" xfId="1" applyNumberFormat="1" applyFont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7" fillId="13" borderId="0" xfId="0" applyFont="1" applyFill="1" applyAlignment="1">
      <alignment horizontal="center" wrapText="1"/>
    </xf>
  </cellXfs>
  <cellStyles count="8">
    <cellStyle name="Comma" xfId="1" builtinId="3"/>
    <cellStyle name="Comma 10 13" xfId="3"/>
    <cellStyle name="Comma 2" xfId="7"/>
    <cellStyle name="Comma 3 2" xfId="4"/>
    <cellStyle name="Normal" xfId="0" builtinId="0"/>
    <cellStyle name="Normal 27 2" xfId="6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747137750022627E-2"/>
          <c:y val="0.12704992830139486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December 8,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23.062133182507498</c:v>
                </c:pt>
                <c:pt idx="1">
                  <c:v>866.516570168817</c:v>
                </c:pt>
                <c:pt idx="2">
                  <c:v>288.45890184725999</c:v>
                </c:pt>
                <c:pt idx="3">
                  <c:v>882.09377563484895</c:v>
                </c:pt>
                <c:pt idx="4">
                  <c:v>96.484505230946894</c:v>
                </c:pt>
                <c:pt idx="5" formatCode="_(* #,##0.00_);_(* \(#,##0.00\);_(* &quot;-&quot;??_);_(@_)">
                  <c:v>41.347090375940297</c:v>
                </c:pt>
                <c:pt idx="6">
                  <c:v>4.2919896019800001</c:v>
                </c:pt>
                <c:pt idx="7">
                  <c:v>45.524715951214702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December 15,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23.529063102022597</c:v>
                </c:pt>
                <c:pt idx="1">
                  <c:v>854.20429716197702</c:v>
                </c:pt>
                <c:pt idx="2">
                  <c:v>285.50728656507704</c:v>
                </c:pt>
                <c:pt idx="3">
                  <c:v>728.77258515599397</c:v>
                </c:pt>
                <c:pt idx="4">
                  <c:v>96.640447824753608</c:v>
                </c:pt>
                <c:pt idx="5" formatCode="_(* #,##0.00_);_(* \(#,##0.00\);_(* &quot;-&quot;??_);_(@_)">
                  <c:v>41.464152077995003</c:v>
                </c:pt>
                <c:pt idx="6">
                  <c:v>4.3368953085699999</c:v>
                </c:pt>
                <c:pt idx="7">
                  <c:v>45.749644294654196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15TH DECEMBER, 2023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15-Dec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4336895308.5699997</c:v>
                </c:pt>
                <c:pt idx="1">
                  <c:v>23529063102.022598</c:v>
                </c:pt>
                <c:pt idx="2" formatCode="_(* #,##0.00_);_(* \(#,##0.00\);_(* &quot;-&quot;??_);_(@_)">
                  <c:v>41464152077.994957</c:v>
                </c:pt>
                <c:pt idx="3">
                  <c:v>45749644294.654205</c:v>
                </c:pt>
                <c:pt idx="4">
                  <c:v>96640447824.753601</c:v>
                </c:pt>
                <c:pt idx="5">
                  <c:v>285507286565.07678</c:v>
                </c:pt>
                <c:pt idx="6">
                  <c:v>728772585155.99414</c:v>
                </c:pt>
                <c:pt idx="7">
                  <c:v>854204297161.97668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'NAV Movement'!$D$2:$J$2</c:f>
              <c:numCache>
                <c:formatCode>d\-mmm</c:formatCode>
                <c:ptCount val="7"/>
                <c:pt idx="0">
                  <c:v>45240</c:v>
                </c:pt>
                <c:pt idx="1">
                  <c:v>45247</c:v>
                </c:pt>
                <c:pt idx="2">
                  <c:v>45254</c:v>
                </c:pt>
                <c:pt idx="3">
                  <c:v>45261</c:v>
                </c:pt>
                <c:pt idx="4">
                  <c:v>45268</c:v>
                </c:pt>
                <c:pt idx="5">
                  <c:v>45275</c:v>
                </c:pt>
              </c:numCache>
            </c:numRef>
          </c:cat>
          <c:val>
            <c:numRef>
              <c:f>'NAV Movement'!$D$3:$J$3</c:f>
              <c:numCache>
                <c:formatCode>_(* #,##0.00_);_(* \(#,##0.00\);_(* "-"??_);_(@_)</c:formatCode>
                <c:ptCount val="7"/>
                <c:pt idx="0">
                  <c:v>2004454649356.7783</c:v>
                </c:pt>
                <c:pt idx="1">
                  <c:v>2019879952817.2942</c:v>
                </c:pt>
                <c:pt idx="2">
                  <c:v>2023797867882.8513</c:v>
                </c:pt>
                <c:pt idx="3">
                  <c:v>2120381651104.615</c:v>
                </c:pt>
                <c:pt idx="4">
                  <c:v>2247779681993.5161</c:v>
                </c:pt>
                <c:pt idx="5">
                  <c:v>2080204371491.0432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7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60</xdr:row>
      <xdr:rowOff>0</xdr:rowOff>
    </xdr:from>
    <xdr:to>
      <xdr:col>25</xdr:col>
      <xdr:colOff>457200</xdr:colOff>
      <xdr:row>67</xdr:row>
      <xdr:rowOff>180975</xdr:rowOff>
    </xdr:to>
    <xdr:sp macro="" textlink="">
      <xdr:nvSpPr>
        <xdr:cNvPr id="4098" name="x_x_Picture 1" descr="https://mail.sec.gov.ng/owa/service.svc/s/GetFileAttachment?id=AAMkADg4OTgyNjI3LTU5OGYtNGUwZi1hMTI3LWU3YzY0YTgyMTU3YQBGAAAAAADch7LkHRi3RYhL5BnPfIJkBwCLa3n5dR7iTL7VIcUnSelvAAAAAAEMAACLa3n5dR7iTL7VIcUnSelvAARFEYfJAAABEgAQAIetwDBpWJ9Fusy9Z%2BKAqFU%3D&amp;X-OWA-CANARY=Wt0cL56WKUq8F0vMkB0ZqhCKZPcL5tsI-yY1YYchj_79LAEPcnr7ExIgcNSl02in10cdr2REktI.&amp;isImagePreview=True"/>
        <xdr:cNvSpPr>
          <a:spLocks noChangeAspect="1" noChangeArrowheads="1"/>
        </xdr:cNvSpPr>
      </xdr:nvSpPr>
      <xdr:spPr bwMode="auto">
        <a:xfrm>
          <a:off x="11858625" y="11210925"/>
          <a:ext cx="92868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100853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606136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>
      <c r="A1" s="145" t="s">
        <v>253</v>
      </c>
      <c r="B1" s="146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8"/>
    </row>
    <row r="2" spans="1:25" ht="15" customHeight="1">
      <c r="A2" s="1"/>
      <c r="B2" s="1"/>
      <c r="C2" s="1"/>
      <c r="D2" s="151" t="s">
        <v>250</v>
      </c>
      <c r="E2" s="152"/>
      <c r="F2" s="152"/>
      <c r="G2" s="152"/>
      <c r="H2" s="152"/>
      <c r="I2" s="152"/>
      <c r="J2" s="153"/>
      <c r="K2" s="151" t="s">
        <v>254</v>
      </c>
      <c r="L2" s="152"/>
      <c r="M2" s="152"/>
      <c r="N2" s="152"/>
      <c r="O2" s="152"/>
      <c r="P2" s="152"/>
      <c r="Q2" s="153"/>
      <c r="R2" s="151" t="s">
        <v>0</v>
      </c>
      <c r="S2" s="152"/>
      <c r="T2" s="153"/>
      <c r="U2" s="149" t="s">
        <v>1</v>
      </c>
      <c r="V2" s="149"/>
    </row>
    <row r="3" spans="1:25" ht="25.5">
      <c r="A3" s="82" t="s">
        <v>2</v>
      </c>
      <c r="B3" s="76" t="s">
        <v>3</v>
      </c>
      <c r="C3" s="76" t="s">
        <v>4</v>
      </c>
      <c r="D3" s="77" t="s">
        <v>5</v>
      </c>
      <c r="E3" s="78" t="s">
        <v>6</v>
      </c>
      <c r="F3" s="78" t="s">
        <v>7</v>
      </c>
      <c r="G3" s="78" t="s">
        <v>8</v>
      </c>
      <c r="H3" s="78" t="s">
        <v>230</v>
      </c>
      <c r="I3" s="78" t="s">
        <v>9</v>
      </c>
      <c r="J3" s="78" t="s">
        <v>10</v>
      </c>
      <c r="K3" s="79" t="s">
        <v>5</v>
      </c>
      <c r="L3" s="78" t="s">
        <v>6</v>
      </c>
      <c r="M3" s="78" t="s">
        <v>7</v>
      </c>
      <c r="N3" s="78" t="s">
        <v>8</v>
      </c>
      <c r="O3" s="78" t="s">
        <v>230</v>
      </c>
      <c r="P3" s="78" t="s">
        <v>9</v>
      </c>
      <c r="Q3" s="78" t="s">
        <v>10</v>
      </c>
      <c r="R3" s="77" t="s">
        <v>11</v>
      </c>
      <c r="S3" s="78" t="s">
        <v>12</v>
      </c>
      <c r="T3" s="78" t="s">
        <v>236</v>
      </c>
      <c r="U3" s="78" t="s">
        <v>13</v>
      </c>
      <c r="V3" s="78" t="s">
        <v>14</v>
      </c>
    </row>
    <row r="4" spans="1:25" ht="7.5" customHeight="1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</row>
    <row r="5" spans="1:25" ht="15" customHeight="1">
      <c r="A5" s="142" t="s">
        <v>15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5">
      <c r="A6" s="140">
        <v>1</v>
      </c>
      <c r="B6" s="119" t="s">
        <v>16</v>
      </c>
      <c r="C6" s="120" t="s">
        <v>17</v>
      </c>
      <c r="D6" s="2">
        <v>766008689.29999995</v>
      </c>
      <c r="E6" s="3">
        <f t="shared" ref="E6:E21" si="0">(D6/$D$22)</f>
        <v>3.3214997209408771E-2</v>
      </c>
      <c r="F6" s="8">
        <v>298.84890000000001</v>
      </c>
      <c r="G6" s="8">
        <v>304.70890000000003</v>
      </c>
      <c r="H6" s="60">
        <v>1726</v>
      </c>
      <c r="I6" s="5">
        <v>1.7100000000000001E-2</v>
      </c>
      <c r="J6" s="5">
        <v>0.58530000000000004</v>
      </c>
      <c r="K6" s="2">
        <v>766008689.29999995</v>
      </c>
      <c r="L6" s="3">
        <f>(K6/$K$22)</f>
        <v>3.2555851713201134E-2</v>
      </c>
      <c r="M6" s="8">
        <v>298.84890000000001</v>
      </c>
      <c r="N6" s="8">
        <v>304.70890000000003</v>
      </c>
      <c r="O6" s="60">
        <v>1726</v>
      </c>
      <c r="P6" s="5">
        <v>1.7100000000000001E-2</v>
      </c>
      <c r="Q6" s="5">
        <v>0.58530000000000004</v>
      </c>
      <c r="R6" s="80">
        <f>((K6-D6)/D6)</f>
        <v>0</v>
      </c>
      <c r="S6" s="80">
        <f t="shared" ref="S6" si="1">((N6-G6)/G6)</f>
        <v>0</v>
      </c>
      <c r="T6" s="80">
        <f>((O6-H6)/H6)</f>
        <v>0</v>
      </c>
      <c r="U6" s="81">
        <f>P6-I6</f>
        <v>0</v>
      </c>
      <c r="V6" s="83">
        <f>Q6-J6</f>
        <v>0</v>
      </c>
    </row>
    <row r="7" spans="1:25">
      <c r="A7" s="140">
        <v>2</v>
      </c>
      <c r="B7" s="119" t="s">
        <v>18</v>
      </c>
      <c r="C7" s="120" t="s">
        <v>19</v>
      </c>
      <c r="D7" s="4">
        <v>379401128.35000002</v>
      </c>
      <c r="E7" s="3">
        <f t="shared" si="0"/>
        <v>1.6451259098519719E-2</v>
      </c>
      <c r="F7" s="4">
        <v>183.06360000000001</v>
      </c>
      <c r="G7" s="4">
        <v>185.45509999999999</v>
      </c>
      <c r="H7" s="60">
        <v>372</v>
      </c>
      <c r="I7" s="5">
        <v>-8.9309999999999997E-3</v>
      </c>
      <c r="J7" s="5">
        <v>0.26300000000000001</v>
      </c>
      <c r="K7" s="4">
        <v>512204629.08999997</v>
      </c>
      <c r="L7" s="3">
        <f t="shared" ref="L7:L21" si="2">(K7/$K$22)</f>
        <v>2.1769019313224162E-2</v>
      </c>
      <c r="M7" s="4">
        <v>187.37430000000001</v>
      </c>
      <c r="N7" s="4">
        <v>189.82730000000001</v>
      </c>
      <c r="O7" s="60">
        <v>373</v>
      </c>
      <c r="P7" s="5">
        <v>6.2269999999999999E-3</v>
      </c>
      <c r="Q7" s="5">
        <v>0.29270000000000002</v>
      </c>
      <c r="R7" s="80">
        <f t="shared" ref="R7:R22" si="3">((K7-D7)/D7)</f>
        <v>0.35003454343311241</v>
      </c>
      <c r="S7" s="80">
        <f t="shared" ref="S7:S22" si="4">((N7-G7)/G7)</f>
        <v>2.3575517739873538E-2</v>
      </c>
      <c r="T7" s="80">
        <f t="shared" ref="T7:T22" si="5">((O7-H7)/H7)</f>
        <v>2.6881720430107529E-3</v>
      </c>
      <c r="U7" s="81">
        <f t="shared" ref="U7:U22" si="6">P7-I7</f>
        <v>1.5158E-2</v>
      </c>
      <c r="V7" s="83">
        <f t="shared" ref="V7:V22" si="7">Q7-J7</f>
        <v>2.9700000000000004E-2</v>
      </c>
    </row>
    <row r="8" spans="1:25">
      <c r="A8" s="140">
        <v>3</v>
      </c>
      <c r="B8" s="119" t="s">
        <v>20</v>
      </c>
      <c r="C8" s="120" t="s">
        <v>21</v>
      </c>
      <c r="D8" s="4">
        <v>3191937482.73</v>
      </c>
      <c r="E8" s="3">
        <f t="shared" si="0"/>
        <v>0.13840599468704251</v>
      </c>
      <c r="F8" s="4">
        <v>29.4299</v>
      </c>
      <c r="G8" s="4">
        <v>30.3172</v>
      </c>
      <c r="H8" s="62">
        <v>6341</v>
      </c>
      <c r="I8" s="6">
        <v>-0.13350000000000001</v>
      </c>
      <c r="J8" s="6">
        <v>0.34989999999999999</v>
      </c>
      <c r="K8" s="4">
        <v>3224441205.0999999</v>
      </c>
      <c r="L8" s="3">
        <f t="shared" si="2"/>
        <v>0.13704078190953645</v>
      </c>
      <c r="M8" s="4">
        <v>29.728100000000001</v>
      </c>
      <c r="N8" s="4">
        <v>30.624400000000001</v>
      </c>
      <c r="O8" s="62">
        <v>6338</v>
      </c>
      <c r="P8" s="6">
        <v>0.52839999999999998</v>
      </c>
      <c r="Q8" s="6">
        <v>0.3569</v>
      </c>
      <c r="R8" s="80">
        <f t="shared" si="3"/>
        <v>1.0183069858310667E-2</v>
      </c>
      <c r="S8" s="80">
        <f t="shared" si="4"/>
        <v>1.0132861873787874E-2</v>
      </c>
      <c r="T8" s="80">
        <f t="shared" si="5"/>
        <v>-4.7311149660936763E-4</v>
      </c>
      <c r="U8" s="81">
        <f t="shared" si="6"/>
        <v>0.66189999999999993</v>
      </c>
      <c r="V8" s="83">
        <f t="shared" si="7"/>
        <v>7.0000000000000062E-3</v>
      </c>
      <c r="X8" s="106"/>
      <c r="Y8" s="106"/>
    </row>
    <row r="9" spans="1:25">
      <c r="A9" s="140">
        <v>4</v>
      </c>
      <c r="B9" s="119" t="s">
        <v>22</v>
      </c>
      <c r="C9" s="120" t="s">
        <v>23</v>
      </c>
      <c r="D9" s="4">
        <v>468591579.64999998</v>
      </c>
      <c r="E9" s="3">
        <f t="shared" si="0"/>
        <v>2.031865725263542E-2</v>
      </c>
      <c r="F9" s="4">
        <v>194.66</v>
      </c>
      <c r="G9" s="4">
        <v>194.66</v>
      </c>
      <c r="H9" s="60">
        <v>1702</v>
      </c>
      <c r="I9" s="5">
        <v>6.1999999999999998E-3</v>
      </c>
      <c r="J9" s="5">
        <v>0.42549999999999999</v>
      </c>
      <c r="K9" s="4">
        <v>482821007.50999999</v>
      </c>
      <c r="L9" s="3">
        <f t="shared" si="2"/>
        <v>2.0520196890818652E-2</v>
      </c>
      <c r="M9" s="4">
        <v>196.75</v>
      </c>
      <c r="N9" s="4">
        <v>196.75</v>
      </c>
      <c r="O9" s="60">
        <v>1706</v>
      </c>
      <c r="P9" s="5">
        <v>1.0699999999999999E-2</v>
      </c>
      <c r="Q9" s="5">
        <v>0.44080000000000003</v>
      </c>
      <c r="R9" s="80">
        <f t="shared" si="3"/>
        <v>3.0366375491911839E-2</v>
      </c>
      <c r="S9" s="80">
        <f t="shared" si="4"/>
        <v>1.0736669064009059E-2</v>
      </c>
      <c r="T9" s="80">
        <f t="shared" si="5"/>
        <v>2.3501762632197414E-3</v>
      </c>
      <c r="U9" s="81">
        <f t="shared" si="6"/>
        <v>4.4999999999999997E-3</v>
      </c>
      <c r="V9" s="83">
        <f t="shared" si="7"/>
        <v>1.5300000000000036E-2</v>
      </c>
    </row>
    <row r="10" spans="1:25">
      <c r="A10" s="140">
        <v>5</v>
      </c>
      <c r="B10" s="119" t="s">
        <v>24</v>
      </c>
      <c r="C10" s="120" t="s">
        <v>25</v>
      </c>
      <c r="D10" s="7">
        <v>124651694.40000001</v>
      </c>
      <c r="E10" s="3">
        <f t="shared" si="0"/>
        <v>5.4050374877961261E-3</v>
      </c>
      <c r="F10" s="4">
        <v>133.833</v>
      </c>
      <c r="G10" s="4">
        <v>134.6302</v>
      </c>
      <c r="H10" s="62">
        <v>61</v>
      </c>
      <c r="I10" s="123">
        <v>2.4329999999999998E-3</v>
      </c>
      <c r="J10" s="6">
        <v>0.27379999999999999</v>
      </c>
      <c r="K10" s="7">
        <v>124651694.40000001</v>
      </c>
      <c r="L10" s="3">
        <f t="shared" si="2"/>
        <v>5.2977755153066309E-3</v>
      </c>
      <c r="M10" s="4">
        <v>133.833</v>
      </c>
      <c r="N10" s="4">
        <v>134.6302</v>
      </c>
      <c r="O10" s="62">
        <v>61</v>
      </c>
      <c r="P10" s="123">
        <v>2.4329999999999998E-3</v>
      </c>
      <c r="Q10" s="6">
        <v>0.27379999999999999</v>
      </c>
      <c r="R10" s="80">
        <f t="shared" si="3"/>
        <v>0</v>
      </c>
      <c r="S10" s="80">
        <f t="shared" si="4"/>
        <v>0</v>
      </c>
      <c r="T10" s="80">
        <f t="shared" si="5"/>
        <v>0</v>
      </c>
      <c r="U10" s="81">
        <f t="shared" si="6"/>
        <v>0</v>
      </c>
      <c r="V10" s="83">
        <f t="shared" si="7"/>
        <v>0</v>
      </c>
    </row>
    <row r="11" spans="1:25">
      <c r="A11" s="140">
        <v>6</v>
      </c>
      <c r="B11" s="119" t="s">
        <v>26</v>
      </c>
      <c r="C11" s="120" t="s">
        <v>27</v>
      </c>
      <c r="D11" s="4">
        <v>794960001.76999998</v>
      </c>
      <c r="E11" s="3">
        <f t="shared" si="0"/>
        <v>3.4470358638504991E-2</v>
      </c>
      <c r="F11" s="4">
        <v>237.39</v>
      </c>
      <c r="G11" s="4">
        <v>240.55</v>
      </c>
      <c r="H11" s="62">
        <v>1581</v>
      </c>
      <c r="I11" s="6">
        <v>1.24E-2</v>
      </c>
      <c r="J11" s="6">
        <v>0.56940000000000002</v>
      </c>
      <c r="K11" s="4">
        <v>814235355.88999999</v>
      </c>
      <c r="L11" s="3">
        <f t="shared" si="2"/>
        <v>3.4605515415529101E-2</v>
      </c>
      <c r="M11" s="4">
        <v>241.47</v>
      </c>
      <c r="N11" s="4">
        <v>244.67</v>
      </c>
      <c r="O11" s="62">
        <v>1582</v>
      </c>
      <c r="P11" s="6">
        <v>1.72E-2</v>
      </c>
      <c r="Q11" s="6">
        <v>0.59399999999999997</v>
      </c>
      <c r="R11" s="80">
        <f t="shared" si="3"/>
        <v>2.4246948371091509E-2</v>
      </c>
      <c r="S11" s="80">
        <f t="shared" si="4"/>
        <v>1.712741633755966E-2</v>
      </c>
      <c r="T11" s="80">
        <f t="shared" si="5"/>
        <v>6.3251106894370653E-4</v>
      </c>
      <c r="U11" s="81">
        <f t="shared" si="6"/>
        <v>4.8000000000000004E-3</v>
      </c>
      <c r="V11" s="83">
        <f t="shared" si="7"/>
        <v>2.4599999999999955E-2</v>
      </c>
    </row>
    <row r="12" spans="1:25">
      <c r="A12" s="140">
        <v>7</v>
      </c>
      <c r="B12" s="119" t="s">
        <v>28</v>
      </c>
      <c r="C12" s="120" t="s">
        <v>29</v>
      </c>
      <c r="D12" s="2">
        <v>310683727.5</v>
      </c>
      <c r="E12" s="3">
        <f t="shared" si="0"/>
        <v>1.3471595408860611E-2</v>
      </c>
      <c r="F12" s="4">
        <v>156.28</v>
      </c>
      <c r="G12" s="4">
        <v>161.16999999999999</v>
      </c>
      <c r="H12" s="60">
        <v>2379</v>
      </c>
      <c r="I12" s="5">
        <v>2.23E-2</v>
      </c>
      <c r="J12" s="5">
        <v>0.24318000000000001</v>
      </c>
      <c r="K12" s="2">
        <v>323894151.26999998</v>
      </c>
      <c r="L12" s="3">
        <f t="shared" si="2"/>
        <v>1.3765705411455907E-2</v>
      </c>
      <c r="M12" s="4">
        <v>162.91999999999999</v>
      </c>
      <c r="N12" s="4">
        <v>168.09</v>
      </c>
      <c r="O12" s="60">
        <v>2379</v>
      </c>
      <c r="P12" s="5">
        <v>4.2500000000000003E-2</v>
      </c>
      <c r="Q12" s="5">
        <v>0.29598999999999998</v>
      </c>
      <c r="R12" s="80">
        <f t="shared" si="3"/>
        <v>4.2520488202910406E-2</v>
      </c>
      <c r="S12" s="80">
        <f t="shared" si="4"/>
        <v>4.2936030278587931E-2</v>
      </c>
      <c r="T12" s="80">
        <f t="shared" si="5"/>
        <v>0</v>
      </c>
      <c r="U12" s="81">
        <f t="shared" si="6"/>
        <v>2.0200000000000003E-2</v>
      </c>
      <c r="V12" s="83">
        <f t="shared" si="7"/>
        <v>5.2809999999999968E-2</v>
      </c>
    </row>
    <row r="13" spans="1:25">
      <c r="A13" s="140">
        <v>8</v>
      </c>
      <c r="B13" s="119" t="s">
        <v>30</v>
      </c>
      <c r="C13" s="120" t="s">
        <v>31</v>
      </c>
      <c r="D13" s="7">
        <v>45964668.280000001</v>
      </c>
      <c r="E13" s="3">
        <f t="shared" si="0"/>
        <v>1.9930796477605961E-3</v>
      </c>
      <c r="F13" s="4">
        <v>178.57</v>
      </c>
      <c r="G13" s="4">
        <v>184.17</v>
      </c>
      <c r="H13" s="60">
        <v>4</v>
      </c>
      <c r="I13" s="5">
        <v>1E-4</v>
      </c>
      <c r="J13" s="5">
        <v>0.85</v>
      </c>
      <c r="K13" s="7">
        <v>45964668.280000001</v>
      </c>
      <c r="L13" s="3">
        <f t="shared" si="2"/>
        <v>1.9535273495887222E-3</v>
      </c>
      <c r="M13" s="4">
        <v>178.57</v>
      </c>
      <c r="N13" s="4">
        <v>184.17</v>
      </c>
      <c r="O13" s="60">
        <v>4</v>
      </c>
      <c r="P13" s="5">
        <v>1E-4</v>
      </c>
      <c r="Q13" s="5">
        <v>0.85</v>
      </c>
      <c r="R13" s="80">
        <f t="shared" si="3"/>
        <v>0</v>
      </c>
      <c r="S13" s="80">
        <f t="shared" si="4"/>
        <v>0</v>
      </c>
      <c r="T13" s="80">
        <f t="shared" si="5"/>
        <v>0</v>
      </c>
      <c r="U13" s="81">
        <f t="shared" si="6"/>
        <v>0</v>
      </c>
      <c r="V13" s="83">
        <f t="shared" si="7"/>
        <v>0</v>
      </c>
    </row>
    <row r="14" spans="1:25" ht="14.25" customHeight="1">
      <c r="A14" s="140">
        <v>9</v>
      </c>
      <c r="B14" s="119" t="s">
        <v>239</v>
      </c>
      <c r="C14" s="120" t="s">
        <v>32</v>
      </c>
      <c r="D14" s="2">
        <v>534211667.60750002</v>
      </c>
      <c r="E14" s="3">
        <f t="shared" si="0"/>
        <v>2.3164017976129658E-2</v>
      </c>
      <c r="F14" s="4">
        <v>1.6496999999999999</v>
      </c>
      <c r="G14" s="4">
        <v>1.7017</v>
      </c>
      <c r="H14" s="60">
        <v>363</v>
      </c>
      <c r="I14" s="5">
        <v>1.0041021245331461E-2</v>
      </c>
      <c r="J14" s="5">
        <v>0.32943831090337672</v>
      </c>
      <c r="K14" s="2">
        <v>543015964.96259999</v>
      </c>
      <c r="L14" s="3">
        <f t="shared" si="2"/>
        <v>2.3078520492212946E-2</v>
      </c>
      <c r="M14" s="4">
        <v>1.6672</v>
      </c>
      <c r="N14" s="4">
        <v>1.7195</v>
      </c>
      <c r="O14" s="60">
        <v>372</v>
      </c>
      <c r="P14" s="5">
        <v>1.060798933139373E-2</v>
      </c>
      <c r="Q14" s="5">
        <v>0.34354097832218566</v>
      </c>
      <c r="R14" s="80">
        <f t="shared" si="3"/>
        <v>1.6480915504018409E-2</v>
      </c>
      <c r="S14" s="80">
        <f t="shared" si="4"/>
        <v>1.0460128107186953E-2</v>
      </c>
      <c r="T14" s="80">
        <f t="shared" si="5"/>
        <v>2.4793388429752067E-2</v>
      </c>
      <c r="U14" s="81">
        <f t="shared" si="6"/>
        <v>5.6696808606226945E-4</v>
      </c>
      <c r="V14" s="83">
        <f t="shared" si="7"/>
        <v>1.4102667418808945E-2</v>
      </c>
    </row>
    <row r="15" spans="1:25">
      <c r="A15" s="140">
        <v>10</v>
      </c>
      <c r="B15" s="119" t="s">
        <v>33</v>
      </c>
      <c r="C15" s="120" t="s">
        <v>34</v>
      </c>
      <c r="D15" s="2">
        <v>1320655119.1700001</v>
      </c>
      <c r="E15" s="3">
        <f t="shared" si="0"/>
        <v>5.7265089431176718E-2</v>
      </c>
      <c r="F15" s="4">
        <v>2.66</v>
      </c>
      <c r="G15" s="4">
        <v>2.71</v>
      </c>
      <c r="H15" s="60">
        <v>3671</v>
      </c>
      <c r="I15" s="5">
        <v>0.24929999999999999</v>
      </c>
      <c r="J15" s="5">
        <v>0.34320000000000001</v>
      </c>
      <c r="K15" s="2">
        <v>1320655119.1700001</v>
      </c>
      <c r="L15" s="3">
        <f t="shared" si="2"/>
        <v>5.6128674288627937E-2</v>
      </c>
      <c r="M15" s="4">
        <v>2.66</v>
      </c>
      <c r="N15" s="4">
        <v>2.71</v>
      </c>
      <c r="O15" s="60">
        <v>3671</v>
      </c>
      <c r="P15" s="5">
        <v>0.24929999999999999</v>
      </c>
      <c r="Q15" s="5">
        <v>0.34320000000000001</v>
      </c>
      <c r="R15" s="80">
        <f t="shared" si="3"/>
        <v>0</v>
      </c>
      <c r="S15" s="80">
        <f t="shared" si="4"/>
        <v>0</v>
      </c>
      <c r="T15" s="80">
        <f t="shared" si="5"/>
        <v>0</v>
      </c>
      <c r="U15" s="81">
        <f t="shared" si="6"/>
        <v>0</v>
      </c>
      <c r="V15" s="83">
        <f t="shared" si="7"/>
        <v>0</v>
      </c>
    </row>
    <row r="16" spans="1:25">
      <c r="A16" s="140">
        <v>11</v>
      </c>
      <c r="B16" s="119" t="s">
        <v>35</v>
      </c>
      <c r="C16" s="120" t="s">
        <v>36</v>
      </c>
      <c r="D16" s="4">
        <v>483518256.60000002</v>
      </c>
      <c r="E16" s="3">
        <f t="shared" si="0"/>
        <v>2.0965894732007963E-2</v>
      </c>
      <c r="F16" s="4">
        <v>17.603465</v>
      </c>
      <c r="G16" s="4">
        <v>17.751268</v>
      </c>
      <c r="H16" s="60">
        <v>270</v>
      </c>
      <c r="I16" s="5">
        <v>1.4839743955599394E-2</v>
      </c>
      <c r="J16" s="5">
        <v>0.5043070964194456</v>
      </c>
      <c r="K16" s="4">
        <v>483518256.60000002</v>
      </c>
      <c r="L16" s="3">
        <f t="shared" si="2"/>
        <v>2.0549830416258096E-2</v>
      </c>
      <c r="M16" s="4">
        <v>17.603465</v>
      </c>
      <c r="N16" s="4">
        <v>17.751268</v>
      </c>
      <c r="O16" s="60">
        <v>270</v>
      </c>
      <c r="P16" s="5">
        <v>1.4839743955599394E-2</v>
      </c>
      <c r="Q16" s="5">
        <v>0.5043070964194456</v>
      </c>
      <c r="R16" s="80">
        <f t="shared" si="3"/>
        <v>0</v>
      </c>
      <c r="S16" s="80">
        <f t="shared" si="4"/>
        <v>0</v>
      </c>
      <c r="T16" s="80">
        <f t="shared" si="5"/>
        <v>0</v>
      </c>
      <c r="U16" s="81">
        <f t="shared" si="6"/>
        <v>0</v>
      </c>
      <c r="V16" s="83">
        <f t="shared" si="7"/>
        <v>0</v>
      </c>
    </row>
    <row r="17" spans="1:22">
      <c r="A17" s="140">
        <v>12</v>
      </c>
      <c r="B17" s="119" t="s">
        <v>37</v>
      </c>
      <c r="C17" s="120" t="s">
        <v>38</v>
      </c>
      <c r="D17" s="4">
        <v>291960398.62</v>
      </c>
      <c r="E17" s="3">
        <f t="shared" si="0"/>
        <v>1.2659730837104451E-2</v>
      </c>
      <c r="F17" s="4">
        <v>2.1035780000000002</v>
      </c>
      <c r="G17" s="4">
        <v>2.1289250000000002</v>
      </c>
      <c r="H17" s="60">
        <v>16</v>
      </c>
      <c r="I17" s="5">
        <v>1.2999999999999999E-3</v>
      </c>
      <c r="J17" s="5">
        <v>0.47989999999999999</v>
      </c>
      <c r="K17" s="4">
        <v>300184212.44999999</v>
      </c>
      <c r="L17" s="3">
        <f t="shared" si="2"/>
        <v>1.2758018079529723E-2</v>
      </c>
      <c r="M17" s="4">
        <v>2.1627580000000002</v>
      </c>
      <c r="N17" s="4">
        <v>2.188863</v>
      </c>
      <c r="O17" s="60">
        <v>16</v>
      </c>
      <c r="P17" s="5">
        <v>1.4E-3</v>
      </c>
      <c r="Q17" s="5">
        <v>0.52149999999999996</v>
      </c>
      <c r="R17" s="80">
        <f t="shared" si="3"/>
        <v>2.8167566111264489E-2</v>
      </c>
      <c r="S17" s="80">
        <f t="shared" si="4"/>
        <v>2.815411533990151E-2</v>
      </c>
      <c r="T17" s="80">
        <f t="shared" si="5"/>
        <v>0</v>
      </c>
      <c r="U17" s="81">
        <f t="shared" si="6"/>
        <v>1.0000000000000005E-4</v>
      </c>
      <c r="V17" s="83">
        <f t="shared" si="7"/>
        <v>4.159999999999997E-2</v>
      </c>
    </row>
    <row r="18" spans="1:22">
      <c r="A18" s="140">
        <v>13</v>
      </c>
      <c r="B18" s="119" t="s">
        <v>39</v>
      </c>
      <c r="C18" s="120" t="s">
        <v>40</v>
      </c>
      <c r="D18" s="2">
        <v>1067361649.4299999</v>
      </c>
      <c r="E18" s="3">
        <f t="shared" si="0"/>
        <v>4.6282000064052524E-2</v>
      </c>
      <c r="F18" s="4">
        <v>25.36</v>
      </c>
      <c r="G18" s="4">
        <v>25.88</v>
      </c>
      <c r="H18" s="60">
        <v>8863</v>
      </c>
      <c r="I18" s="5">
        <v>1.3599999999999999E-2</v>
      </c>
      <c r="J18" s="5">
        <v>0.46450000000000002</v>
      </c>
      <c r="K18" s="2">
        <v>1096133992.8599999</v>
      </c>
      <c r="L18" s="3">
        <f t="shared" si="2"/>
        <v>4.658638502124525E-2</v>
      </c>
      <c r="M18" s="4">
        <v>26.34</v>
      </c>
      <c r="N18" s="4">
        <v>26.88</v>
      </c>
      <c r="O18" s="60">
        <v>8863</v>
      </c>
      <c r="P18" s="5">
        <v>2.23E-2</v>
      </c>
      <c r="Q18" s="5">
        <v>0.49259999999999998</v>
      </c>
      <c r="R18" s="80">
        <f t="shared" si="3"/>
        <v>2.6956508551122443E-2</v>
      </c>
      <c r="S18" s="80">
        <f t="shared" si="4"/>
        <v>3.8639876352395672E-2</v>
      </c>
      <c r="T18" s="80">
        <f t="shared" si="5"/>
        <v>0</v>
      </c>
      <c r="U18" s="81">
        <f t="shared" si="6"/>
        <v>8.7000000000000011E-3</v>
      </c>
      <c r="V18" s="83">
        <f t="shared" si="7"/>
        <v>2.8099999999999958E-2</v>
      </c>
    </row>
    <row r="19" spans="1:22" ht="12.75" customHeight="1">
      <c r="A19" s="140">
        <v>14</v>
      </c>
      <c r="B19" s="119" t="s">
        <v>41</v>
      </c>
      <c r="C19" s="120" t="s">
        <v>42</v>
      </c>
      <c r="D19" s="2">
        <v>527217832.16000003</v>
      </c>
      <c r="E19" s="3">
        <f t="shared" si="0"/>
        <v>2.2860757415098611E-2</v>
      </c>
      <c r="F19" s="4">
        <v>5145.2</v>
      </c>
      <c r="G19" s="4">
        <v>5209.41</v>
      </c>
      <c r="H19" s="60">
        <v>1135</v>
      </c>
      <c r="I19" s="5">
        <v>9.7999999999999997E-3</v>
      </c>
      <c r="J19" s="5">
        <v>0.59099999999999997</v>
      </c>
      <c r="K19" s="2">
        <v>536636761.56</v>
      </c>
      <c r="L19" s="3">
        <f t="shared" si="2"/>
        <v>2.2807400330099408E-2</v>
      </c>
      <c r="M19" s="4">
        <v>5236.8900000000003</v>
      </c>
      <c r="N19" s="4">
        <v>5302.64</v>
      </c>
      <c r="O19" s="60">
        <v>1135</v>
      </c>
      <c r="P19" s="5">
        <v>1.7899999999999999E-2</v>
      </c>
      <c r="Q19" s="5">
        <v>0.61950000000000005</v>
      </c>
      <c r="R19" s="80">
        <f t="shared" si="3"/>
        <v>1.7865346779737754E-2</v>
      </c>
      <c r="S19" s="80">
        <f t="shared" si="4"/>
        <v>1.7896460443697169E-2</v>
      </c>
      <c r="T19" s="80">
        <f t="shared" si="5"/>
        <v>0</v>
      </c>
      <c r="U19" s="81">
        <f t="shared" si="6"/>
        <v>8.0999999999999996E-3</v>
      </c>
      <c r="V19" s="83">
        <f t="shared" si="7"/>
        <v>2.8500000000000081E-2</v>
      </c>
    </row>
    <row r="20" spans="1:22">
      <c r="A20" s="140">
        <v>15</v>
      </c>
      <c r="B20" s="119" t="s">
        <v>43</v>
      </c>
      <c r="C20" s="120" t="s">
        <v>42</v>
      </c>
      <c r="D20" s="4">
        <v>10168276150.129999</v>
      </c>
      <c r="E20" s="3">
        <f t="shared" si="0"/>
        <v>0.4409078756791926</v>
      </c>
      <c r="F20" s="4">
        <v>17398.009999999998</v>
      </c>
      <c r="G20" s="4">
        <v>17612.27</v>
      </c>
      <c r="H20" s="60">
        <v>29454</v>
      </c>
      <c r="I20" s="5">
        <v>3.8E-3</v>
      </c>
      <c r="J20" s="5">
        <v>0.42359999999999998</v>
      </c>
      <c r="K20" s="4">
        <v>10315313287.91</v>
      </c>
      <c r="L20" s="3">
        <f t="shared" si="2"/>
        <v>0.43840731112762743</v>
      </c>
      <c r="M20" s="4">
        <v>17623.240000000002</v>
      </c>
      <c r="N20" s="4">
        <v>17840.96</v>
      </c>
      <c r="O20" s="60">
        <v>29469</v>
      </c>
      <c r="P20" s="5">
        <v>1.2999999999999999E-2</v>
      </c>
      <c r="Q20" s="5">
        <v>0.442</v>
      </c>
      <c r="R20" s="80">
        <f t="shared" si="3"/>
        <v>1.4460380069253022E-2</v>
      </c>
      <c r="S20" s="80">
        <f t="shared" si="4"/>
        <v>1.2984697600025363E-2</v>
      </c>
      <c r="T20" s="80">
        <f t="shared" si="5"/>
        <v>5.0926869016092895E-4</v>
      </c>
      <c r="U20" s="81">
        <f t="shared" si="6"/>
        <v>9.1999999999999998E-3</v>
      </c>
      <c r="V20" s="83">
        <f t="shared" si="7"/>
        <v>1.8400000000000027E-2</v>
      </c>
    </row>
    <row r="21" spans="1:22">
      <c r="A21" s="131">
        <v>16</v>
      </c>
      <c r="B21" s="120" t="s">
        <v>44</v>
      </c>
      <c r="C21" s="120" t="s">
        <v>45</v>
      </c>
      <c r="D21" s="4">
        <v>2586733136.8099999</v>
      </c>
      <c r="E21" s="3">
        <f t="shared" si="0"/>
        <v>0.1121636544347087</v>
      </c>
      <c r="F21" s="4">
        <v>1.2862</v>
      </c>
      <c r="G21" s="8">
        <v>1.2995000000000001</v>
      </c>
      <c r="H21" s="60">
        <v>3488</v>
      </c>
      <c r="I21" s="5">
        <v>1.5699999999999999E-2</v>
      </c>
      <c r="J21" s="5">
        <v>0.43859999999999999</v>
      </c>
      <c r="K21" s="4">
        <v>2639384105.6700001</v>
      </c>
      <c r="L21" s="3">
        <f t="shared" si="2"/>
        <v>0.11217548672573853</v>
      </c>
      <c r="M21" s="4">
        <v>1.3131999999999999</v>
      </c>
      <c r="N21" s="8">
        <v>1.327</v>
      </c>
      <c r="O21" s="60">
        <v>3497</v>
      </c>
      <c r="P21" s="5">
        <v>2.0899999999999998E-2</v>
      </c>
      <c r="Q21" s="5">
        <v>0.43859999999999999</v>
      </c>
      <c r="R21" s="80">
        <f t="shared" si="3"/>
        <v>2.035423295536784E-2</v>
      </c>
      <c r="S21" s="80">
        <f t="shared" si="4"/>
        <v>2.1161985378991808E-2</v>
      </c>
      <c r="T21" s="80">
        <f t="shared" si="5"/>
        <v>2.5802752293577983E-3</v>
      </c>
      <c r="U21" s="81">
        <f t="shared" si="6"/>
        <v>5.1999999999999998E-3</v>
      </c>
      <c r="V21" s="83">
        <f t="shared" si="7"/>
        <v>0</v>
      </c>
    </row>
    <row r="22" spans="1:22">
      <c r="A22" s="75"/>
      <c r="B22" s="19"/>
      <c r="C22" s="71" t="s">
        <v>46</v>
      </c>
      <c r="D22" s="58">
        <f>SUM(D6:D21)</f>
        <v>23062133182.5075</v>
      </c>
      <c r="E22" s="104">
        <f>(D22/$D$177)</f>
        <v>1.0241230183877074E-2</v>
      </c>
      <c r="F22" s="30"/>
      <c r="G22" s="31"/>
      <c r="H22" s="65">
        <f>SUM(H6:H21)</f>
        <v>61426</v>
      </c>
      <c r="I22" s="28"/>
      <c r="J22" s="60">
        <v>0</v>
      </c>
      <c r="K22" s="58">
        <f>SUM(K6:K21)</f>
        <v>23529063102.022598</v>
      </c>
      <c r="L22" s="104">
        <f>(K22/$K$177)</f>
        <v>1.1310938206113614E-2</v>
      </c>
      <c r="M22" s="30"/>
      <c r="N22" s="31"/>
      <c r="O22" s="65">
        <f>SUM(O6:O21)</f>
        <v>61462</v>
      </c>
      <c r="P22" s="28"/>
      <c r="Q22" s="65"/>
      <c r="R22" s="80">
        <f t="shared" si="3"/>
        <v>2.0246605802678407E-2</v>
      </c>
      <c r="S22" s="80" t="e">
        <f t="shared" si="4"/>
        <v>#DIV/0!</v>
      </c>
      <c r="T22" s="80">
        <f t="shared" si="5"/>
        <v>5.8607104483443496E-4</v>
      </c>
      <c r="U22" s="81">
        <f t="shared" si="6"/>
        <v>0</v>
      </c>
      <c r="V22" s="83">
        <f t="shared" si="7"/>
        <v>0</v>
      </c>
    </row>
    <row r="23" spans="1:22" ht="9" customHeight="1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</row>
    <row r="24" spans="1:22" ht="15" customHeight="1">
      <c r="A24" s="142" t="s">
        <v>47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  <row r="25" spans="1:22">
      <c r="A25" s="140">
        <v>17</v>
      </c>
      <c r="B25" s="119" t="s">
        <v>48</v>
      </c>
      <c r="C25" s="120" t="s">
        <v>17</v>
      </c>
      <c r="D25" s="9">
        <v>974844227.32000005</v>
      </c>
      <c r="E25" s="3">
        <f>(D25/$K$55)</f>
        <v>1.1412307694527405E-3</v>
      </c>
      <c r="F25" s="8">
        <v>100</v>
      </c>
      <c r="G25" s="8">
        <v>100</v>
      </c>
      <c r="H25" s="60">
        <v>747</v>
      </c>
      <c r="I25" s="5">
        <v>7.5499999999999998E-2</v>
      </c>
      <c r="J25" s="5">
        <v>7.5499999999999998E-2</v>
      </c>
      <c r="K25" s="9">
        <v>974844227.32000005</v>
      </c>
      <c r="L25" s="3">
        <f t="shared" ref="L25:L54" si="8">(K25/$K$55)</f>
        <v>1.1412307694527405E-3</v>
      </c>
      <c r="M25" s="8">
        <v>100</v>
      </c>
      <c r="N25" s="8">
        <v>100</v>
      </c>
      <c r="O25" s="60">
        <v>747</v>
      </c>
      <c r="P25" s="5">
        <v>7.5499999999999998E-2</v>
      </c>
      <c r="Q25" s="5">
        <v>7.5499999999999998E-2</v>
      </c>
      <c r="R25" s="80">
        <f t="shared" ref="R25" si="9">((K25-D25)/D25)</f>
        <v>0</v>
      </c>
      <c r="S25" s="80">
        <f t="shared" ref="S25" si="10">((N25-G25)/G25)</f>
        <v>0</v>
      </c>
      <c r="T25" s="80">
        <f t="shared" ref="T25" si="11">((O25-H25)/H25)</f>
        <v>0</v>
      </c>
      <c r="U25" s="81">
        <f t="shared" ref="U25" si="12">P25-I25</f>
        <v>0</v>
      </c>
      <c r="V25" s="83">
        <f t="shared" ref="V25" si="13">Q25-J25</f>
        <v>0</v>
      </c>
    </row>
    <row r="26" spans="1:22">
      <c r="A26" s="140">
        <v>18</v>
      </c>
      <c r="B26" s="119" t="s">
        <v>49</v>
      </c>
      <c r="C26" s="120" t="s">
        <v>50</v>
      </c>
      <c r="D26" s="9">
        <v>4579821950.8000002</v>
      </c>
      <c r="E26" s="3">
        <f t="shared" ref="E26:E54" si="14">(D26/$K$55)</f>
        <v>5.3615065693489025E-3</v>
      </c>
      <c r="F26" s="8">
        <v>100</v>
      </c>
      <c r="G26" s="8">
        <v>100</v>
      </c>
      <c r="H26" s="60">
        <v>1151</v>
      </c>
      <c r="I26" s="5">
        <v>0.139538</v>
      </c>
      <c r="J26" s="5">
        <v>0.139538</v>
      </c>
      <c r="K26" s="9">
        <v>4649825461.2600002</v>
      </c>
      <c r="L26" s="3">
        <f t="shared" si="8"/>
        <v>5.4434582882674108E-3</v>
      </c>
      <c r="M26" s="8">
        <v>100</v>
      </c>
      <c r="N26" s="8">
        <v>100</v>
      </c>
      <c r="O26" s="60">
        <v>1153</v>
      </c>
      <c r="P26" s="5">
        <v>0.14241799999999999</v>
      </c>
      <c r="Q26" s="5">
        <v>0.14241799999999999</v>
      </c>
      <c r="R26" s="80">
        <f t="shared" ref="R26:R55" si="15">((K26-D26)/D26)</f>
        <v>1.5285203488701537E-2</v>
      </c>
      <c r="S26" s="80">
        <f t="shared" ref="S26:S55" si="16">((N26-G26)/G26)</f>
        <v>0</v>
      </c>
      <c r="T26" s="80">
        <f t="shared" ref="T26:T55" si="17">((O26-H26)/H26)</f>
        <v>1.7376194613379669E-3</v>
      </c>
      <c r="U26" s="81">
        <f t="shared" ref="U26:U55" si="18">P26-I26</f>
        <v>2.8799999999999937E-3</v>
      </c>
      <c r="V26" s="83">
        <f t="shared" ref="V26:V55" si="19">Q26-J26</f>
        <v>2.8799999999999937E-3</v>
      </c>
    </row>
    <row r="27" spans="1:22">
      <c r="A27" s="140">
        <v>19</v>
      </c>
      <c r="B27" s="119" t="s">
        <v>51</v>
      </c>
      <c r="C27" s="120" t="s">
        <v>19</v>
      </c>
      <c r="D27" s="9">
        <v>379401128.35000002</v>
      </c>
      <c r="E27" s="3">
        <f t="shared" si="14"/>
        <v>4.4415736330352001E-4</v>
      </c>
      <c r="F27" s="8">
        <v>100</v>
      </c>
      <c r="G27" s="8">
        <v>100</v>
      </c>
      <c r="H27" s="60">
        <v>1344</v>
      </c>
      <c r="I27" s="5">
        <v>9.7000000000000003E-2</v>
      </c>
      <c r="J27" s="5">
        <v>9.7000000000000003E-2</v>
      </c>
      <c r="K27" s="9">
        <v>382664849.05000001</v>
      </c>
      <c r="L27" s="3">
        <f t="shared" si="8"/>
        <v>4.4797813628586559E-4</v>
      </c>
      <c r="M27" s="8">
        <v>100</v>
      </c>
      <c r="N27" s="8">
        <v>100</v>
      </c>
      <c r="O27" s="60">
        <v>1346</v>
      </c>
      <c r="P27" s="5">
        <v>2.5999999999999998E-4</v>
      </c>
      <c r="Q27" s="5">
        <v>9.8599999999999993E-2</v>
      </c>
      <c r="R27" s="80">
        <f t="shared" si="15"/>
        <v>8.6022957132304168E-3</v>
      </c>
      <c r="S27" s="80">
        <f t="shared" si="16"/>
        <v>0</v>
      </c>
      <c r="T27" s="80">
        <f t="shared" si="17"/>
        <v>1.488095238095238E-3</v>
      </c>
      <c r="U27" s="81">
        <f t="shared" si="18"/>
        <v>-9.6740000000000007E-2</v>
      </c>
      <c r="V27" s="83">
        <f t="shared" si="19"/>
        <v>1.5999999999999903E-3</v>
      </c>
    </row>
    <row r="28" spans="1:22">
      <c r="A28" s="140">
        <v>20</v>
      </c>
      <c r="B28" s="119" t="s">
        <v>52</v>
      </c>
      <c r="C28" s="120" t="s">
        <v>21</v>
      </c>
      <c r="D28" s="9">
        <v>79650125431.619995</v>
      </c>
      <c r="E28" s="3">
        <f t="shared" si="14"/>
        <v>9.3244819414103827E-2</v>
      </c>
      <c r="F28" s="8">
        <v>1</v>
      </c>
      <c r="G28" s="8">
        <v>1</v>
      </c>
      <c r="H28" s="60">
        <v>54714</v>
      </c>
      <c r="I28" s="5">
        <v>0.1075</v>
      </c>
      <c r="J28" s="5">
        <v>0.1075</v>
      </c>
      <c r="K28" s="9">
        <v>79315916019.070007</v>
      </c>
      <c r="L28" s="3">
        <f t="shared" si="8"/>
        <v>9.2853567094652409E-2</v>
      </c>
      <c r="M28" s="8">
        <v>1</v>
      </c>
      <c r="N28" s="8">
        <v>1</v>
      </c>
      <c r="O28" s="60">
        <v>54793</v>
      </c>
      <c r="P28" s="5">
        <v>0.1111</v>
      </c>
      <c r="Q28" s="5">
        <v>0.1111</v>
      </c>
      <c r="R28" s="80">
        <f t="shared" si="15"/>
        <v>-4.1959684399606898E-3</v>
      </c>
      <c r="S28" s="80">
        <f t="shared" si="16"/>
        <v>0</v>
      </c>
      <c r="T28" s="80">
        <f t="shared" si="17"/>
        <v>1.4438717695653763E-3</v>
      </c>
      <c r="U28" s="81">
        <f t="shared" si="18"/>
        <v>3.600000000000006E-3</v>
      </c>
      <c r="V28" s="83">
        <f t="shared" si="19"/>
        <v>3.600000000000006E-3</v>
      </c>
    </row>
    <row r="29" spans="1:22">
      <c r="A29" s="140">
        <v>21</v>
      </c>
      <c r="B29" s="119" t="s">
        <v>53</v>
      </c>
      <c r="C29" s="120" t="s">
        <v>23</v>
      </c>
      <c r="D29" s="9">
        <v>43332103828.559998</v>
      </c>
      <c r="E29" s="3">
        <f t="shared" si="14"/>
        <v>5.072803306249727E-2</v>
      </c>
      <c r="F29" s="8">
        <v>1</v>
      </c>
      <c r="G29" s="8">
        <v>1</v>
      </c>
      <c r="H29" s="60">
        <v>26207</v>
      </c>
      <c r="I29" s="5">
        <v>0.11600000000000001</v>
      </c>
      <c r="J29" s="5">
        <v>0.11600000000000001</v>
      </c>
      <c r="K29" s="9">
        <v>43817654022.75</v>
      </c>
      <c r="L29" s="3">
        <f t="shared" si="8"/>
        <v>5.1296457028289999E-2</v>
      </c>
      <c r="M29" s="8">
        <v>1</v>
      </c>
      <c r="N29" s="8">
        <v>1</v>
      </c>
      <c r="O29" s="60">
        <v>26236</v>
      </c>
      <c r="P29" s="5">
        <v>0.1164</v>
      </c>
      <c r="Q29" s="5">
        <v>0.1164</v>
      </c>
      <c r="R29" s="80">
        <f t="shared" si="15"/>
        <v>1.1205322412016803E-2</v>
      </c>
      <c r="S29" s="80">
        <f t="shared" si="16"/>
        <v>0</v>
      </c>
      <c r="T29" s="80">
        <f t="shared" si="17"/>
        <v>1.1065745793108711E-3</v>
      </c>
      <c r="U29" s="81">
        <f t="shared" si="18"/>
        <v>3.9999999999999758E-4</v>
      </c>
      <c r="V29" s="83">
        <f t="shared" si="19"/>
        <v>3.9999999999999758E-4</v>
      </c>
    </row>
    <row r="30" spans="1:22" ht="15" customHeight="1">
      <c r="A30" s="140">
        <v>22</v>
      </c>
      <c r="B30" s="119" t="s">
        <v>54</v>
      </c>
      <c r="C30" s="120" t="s">
        <v>40</v>
      </c>
      <c r="D30" s="9">
        <v>7715161206.2600002</v>
      </c>
      <c r="E30" s="3">
        <f t="shared" si="14"/>
        <v>9.0319859451573666E-3</v>
      </c>
      <c r="F30" s="8">
        <v>100</v>
      </c>
      <c r="G30" s="8">
        <v>100</v>
      </c>
      <c r="H30" s="60">
        <v>2705</v>
      </c>
      <c r="I30" s="5">
        <v>0.1021</v>
      </c>
      <c r="J30" s="5">
        <v>0.1021</v>
      </c>
      <c r="K30" s="9">
        <v>7174286813</v>
      </c>
      <c r="L30" s="3">
        <f t="shared" si="8"/>
        <v>8.3987950386529026E-3</v>
      </c>
      <c r="M30" s="8">
        <v>100</v>
      </c>
      <c r="N30" s="8">
        <v>100</v>
      </c>
      <c r="O30" s="60">
        <v>2705</v>
      </c>
      <c r="P30" s="5">
        <v>0.1038</v>
      </c>
      <c r="Q30" s="5">
        <v>0.1038</v>
      </c>
      <c r="R30" s="80">
        <f t="shared" si="15"/>
        <v>-7.01053910346216E-2</v>
      </c>
      <c r="S30" s="80">
        <f t="shared" si="16"/>
        <v>0</v>
      </c>
      <c r="T30" s="80">
        <f t="shared" si="17"/>
        <v>0</v>
      </c>
      <c r="U30" s="81">
        <f t="shared" si="18"/>
        <v>1.7000000000000071E-3</v>
      </c>
      <c r="V30" s="83">
        <f t="shared" si="19"/>
        <v>1.7000000000000071E-3</v>
      </c>
    </row>
    <row r="31" spans="1:22">
      <c r="A31" s="140">
        <v>23</v>
      </c>
      <c r="B31" s="119" t="s">
        <v>55</v>
      </c>
      <c r="C31" s="120" t="s">
        <v>56</v>
      </c>
      <c r="D31" s="9">
        <v>12285580703.58</v>
      </c>
      <c r="E31" s="3">
        <f t="shared" si="14"/>
        <v>1.4382485249018096E-2</v>
      </c>
      <c r="F31" s="8">
        <v>100</v>
      </c>
      <c r="G31" s="8">
        <v>100</v>
      </c>
      <c r="H31" s="60">
        <v>1829</v>
      </c>
      <c r="I31" s="5">
        <v>0.117440427791112</v>
      </c>
      <c r="J31" s="5">
        <v>0.117440427791112</v>
      </c>
      <c r="K31" s="9">
        <v>12366282322.849998</v>
      </c>
      <c r="L31" s="3">
        <f t="shared" si="8"/>
        <v>1.4476961031378502E-2</v>
      </c>
      <c r="M31" s="8">
        <v>100</v>
      </c>
      <c r="N31" s="8">
        <v>100</v>
      </c>
      <c r="O31" s="60">
        <v>1829</v>
      </c>
      <c r="P31" s="5">
        <v>0.11713294796215901</v>
      </c>
      <c r="Q31" s="5">
        <v>0.11713294796215901</v>
      </c>
      <c r="R31" s="80">
        <f t="shared" si="15"/>
        <v>6.5688078746234781E-3</v>
      </c>
      <c r="S31" s="80">
        <f t="shared" si="16"/>
        <v>0</v>
      </c>
      <c r="T31" s="80">
        <f t="shared" si="17"/>
        <v>0</v>
      </c>
      <c r="U31" s="81">
        <f t="shared" si="18"/>
        <v>-3.0747982895298898E-4</v>
      </c>
      <c r="V31" s="83">
        <f t="shared" si="19"/>
        <v>-3.0747982895298898E-4</v>
      </c>
    </row>
    <row r="32" spans="1:22">
      <c r="A32" s="140">
        <v>24</v>
      </c>
      <c r="B32" s="119" t="s">
        <v>57</v>
      </c>
      <c r="C32" s="120" t="s">
        <v>58</v>
      </c>
      <c r="D32" s="9">
        <v>5170907682.8400002</v>
      </c>
      <c r="E32" s="3">
        <f t="shared" si="14"/>
        <v>6.0534788926020558E-3</v>
      </c>
      <c r="F32" s="8">
        <v>100</v>
      </c>
      <c r="G32" s="8">
        <v>100</v>
      </c>
      <c r="H32" s="60">
        <v>5699</v>
      </c>
      <c r="I32" s="5">
        <v>9.5799999999999996E-2</v>
      </c>
      <c r="J32" s="5">
        <v>9.5799999999999996E-2</v>
      </c>
      <c r="K32" s="9">
        <v>5688355677.0500002</v>
      </c>
      <c r="L32" s="3">
        <f t="shared" si="8"/>
        <v>6.6592449791567339E-3</v>
      </c>
      <c r="M32" s="8">
        <v>100</v>
      </c>
      <c r="N32" s="8">
        <v>100</v>
      </c>
      <c r="O32" s="60">
        <v>5705</v>
      </c>
      <c r="P32" s="5">
        <v>9.9699999999999997E-2</v>
      </c>
      <c r="Q32" s="5">
        <v>9.9699999999999997E-2</v>
      </c>
      <c r="R32" s="80">
        <f t="shared" si="15"/>
        <v>0.10006908379493711</v>
      </c>
      <c r="S32" s="80">
        <f t="shared" si="16"/>
        <v>0</v>
      </c>
      <c r="T32" s="80">
        <f t="shared" si="17"/>
        <v>1.0528162835585189E-3</v>
      </c>
      <c r="U32" s="81">
        <f t="shared" si="18"/>
        <v>3.9000000000000007E-3</v>
      </c>
      <c r="V32" s="83">
        <f t="shared" si="19"/>
        <v>3.9000000000000007E-3</v>
      </c>
    </row>
    <row r="33" spans="1:22">
      <c r="A33" s="140">
        <v>25</v>
      </c>
      <c r="B33" s="119" t="s">
        <v>59</v>
      </c>
      <c r="C33" s="120" t="s">
        <v>60</v>
      </c>
      <c r="D33" s="9">
        <v>44514190.369999997</v>
      </c>
      <c r="E33" s="3">
        <f t="shared" si="14"/>
        <v>5.2111878291756106E-5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5.2111878291756106E-5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0">
        <f t="shared" si="15"/>
        <v>0</v>
      </c>
      <c r="S33" s="80">
        <f t="shared" si="16"/>
        <v>0</v>
      </c>
      <c r="T33" s="80" t="e">
        <f t="shared" si="17"/>
        <v>#DIV/0!</v>
      </c>
      <c r="U33" s="81">
        <f t="shared" si="18"/>
        <v>0</v>
      </c>
      <c r="V33" s="83">
        <f t="shared" si="19"/>
        <v>0</v>
      </c>
    </row>
    <row r="34" spans="1:22">
      <c r="A34" s="140">
        <v>26</v>
      </c>
      <c r="B34" s="119" t="s">
        <v>61</v>
      </c>
      <c r="C34" s="120" t="s">
        <v>62</v>
      </c>
      <c r="D34" s="9">
        <v>5646181567.3800001</v>
      </c>
      <c r="E34" s="3">
        <f t="shared" si="14"/>
        <v>6.6098725868495075E-3</v>
      </c>
      <c r="F34" s="8">
        <v>1</v>
      </c>
      <c r="G34" s="8">
        <v>1</v>
      </c>
      <c r="H34" s="60">
        <v>2068</v>
      </c>
      <c r="I34" s="5">
        <v>0.1061</v>
      </c>
      <c r="J34" s="5">
        <v>0.1061</v>
      </c>
      <c r="K34" s="9">
        <v>5470465677.71</v>
      </c>
      <c r="L34" s="3">
        <f t="shared" si="8"/>
        <v>6.4041654858037721E-3</v>
      </c>
      <c r="M34" s="8">
        <v>1</v>
      </c>
      <c r="N34" s="8">
        <v>1</v>
      </c>
      <c r="O34" s="60">
        <v>2069</v>
      </c>
      <c r="P34" s="5">
        <v>0.12839999999999999</v>
      </c>
      <c r="Q34" s="5">
        <v>0.12839999999999999</v>
      </c>
      <c r="R34" s="80">
        <f t="shared" si="15"/>
        <v>-3.1121190059698628E-2</v>
      </c>
      <c r="S34" s="80">
        <f t="shared" si="16"/>
        <v>0</v>
      </c>
      <c r="T34" s="80">
        <f t="shared" si="17"/>
        <v>4.8355899419729207E-4</v>
      </c>
      <c r="U34" s="81">
        <f t="shared" si="18"/>
        <v>2.2299999999999986E-2</v>
      </c>
      <c r="V34" s="83">
        <f t="shared" si="19"/>
        <v>2.2299999999999986E-2</v>
      </c>
    </row>
    <row r="35" spans="1:22">
      <c r="A35" s="140">
        <v>27</v>
      </c>
      <c r="B35" s="119" t="s">
        <v>63</v>
      </c>
      <c r="C35" s="120" t="s">
        <v>64</v>
      </c>
      <c r="D35" s="9">
        <v>14071705180.35</v>
      </c>
      <c r="E35" s="3">
        <f t="shared" si="14"/>
        <v>1.6473465688597071E-2</v>
      </c>
      <c r="F35" s="11">
        <v>100</v>
      </c>
      <c r="G35" s="11">
        <v>100</v>
      </c>
      <c r="H35" s="60">
        <v>2604</v>
      </c>
      <c r="I35" s="5">
        <v>0.1</v>
      </c>
      <c r="J35" s="5">
        <v>0.1</v>
      </c>
      <c r="K35" s="9">
        <v>13412561066.91</v>
      </c>
      <c r="L35" s="3">
        <f t="shared" si="8"/>
        <v>1.5701818770371592E-2</v>
      </c>
      <c r="M35" s="11">
        <v>100</v>
      </c>
      <c r="N35" s="11">
        <v>100</v>
      </c>
      <c r="O35" s="60">
        <v>2588</v>
      </c>
      <c r="P35" s="5">
        <v>2E-3</v>
      </c>
      <c r="Q35" s="5">
        <v>9.1999999999999998E-2</v>
      </c>
      <c r="R35" s="80">
        <f t="shared" si="15"/>
        <v>-4.6841808081684519E-2</v>
      </c>
      <c r="S35" s="80">
        <f t="shared" si="16"/>
        <v>0</v>
      </c>
      <c r="T35" s="80">
        <f t="shared" si="17"/>
        <v>-6.1443932411674347E-3</v>
      </c>
      <c r="U35" s="81">
        <f t="shared" si="18"/>
        <v>-9.8000000000000004E-2</v>
      </c>
      <c r="V35" s="83">
        <f t="shared" si="19"/>
        <v>-8.0000000000000071E-3</v>
      </c>
    </row>
    <row r="36" spans="1:22">
      <c r="A36" s="140">
        <v>28</v>
      </c>
      <c r="B36" s="119" t="s">
        <v>65</v>
      </c>
      <c r="C36" s="120" t="s">
        <v>64</v>
      </c>
      <c r="D36" s="9">
        <v>1317609663.03</v>
      </c>
      <c r="E36" s="3">
        <f t="shared" si="14"/>
        <v>1.5424994552329569E-3</v>
      </c>
      <c r="F36" s="11">
        <v>1000000</v>
      </c>
      <c r="G36" s="11">
        <v>1000000</v>
      </c>
      <c r="H36" s="60">
        <v>9</v>
      </c>
      <c r="I36" s="5">
        <v>0.1037</v>
      </c>
      <c r="J36" s="5">
        <v>0.1037</v>
      </c>
      <c r="K36" s="9">
        <v>1320153092.23</v>
      </c>
      <c r="L36" s="3">
        <f t="shared" si="8"/>
        <v>1.5454769972664615E-3</v>
      </c>
      <c r="M36" s="11">
        <v>1000000</v>
      </c>
      <c r="N36" s="11">
        <v>1000000</v>
      </c>
      <c r="O36" s="60">
        <v>7</v>
      </c>
      <c r="P36" s="5">
        <v>1.9E-3</v>
      </c>
      <c r="Q36" s="5">
        <v>9.0399999999999994E-2</v>
      </c>
      <c r="R36" s="80">
        <f t="shared" si="15"/>
        <v>1.9303358736388818E-3</v>
      </c>
      <c r="S36" s="80">
        <f t="shared" si="16"/>
        <v>0</v>
      </c>
      <c r="T36" s="80">
        <f t="shared" si="17"/>
        <v>-0.22222222222222221</v>
      </c>
      <c r="U36" s="81">
        <f t="shared" si="18"/>
        <v>-0.1018</v>
      </c>
      <c r="V36" s="83">
        <f t="shared" si="19"/>
        <v>-1.3300000000000006E-2</v>
      </c>
    </row>
    <row r="37" spans="1:22">
      <c r="A37" s="140">
        <v>29</v>
      </c>
      <c r="B37" s="119" t="s">
        <v>66</v>
      </c>
      <c r="C37" s="120" t="s">
        <v>67</v>
      </c>
      <c r="D37" s="9">
        <v>3525362653.5100002</v>
      </c>
      <c r="E37" s="3">
        <f t="shared" si="14"/>
        <v>4.1270720192145213E-3</v>
      </c>
      <c r="F37" s="8">
        <v>1</v>
      </c>
      <c r="G37" s="8">
        <v>1</v>
      </c>
      <c r="H37" s="60">
        <v>425</v>
      </c>
      <c r="I37" s="5">
        <v>0.13469999999999999</v>
      </c>
      <c r="J37" s="5">
        <v>0.13469999999999999</v>
      </c>
      <c r="K37" s="9">
        <v>3525362653.5100002</v>
      </c>
      <c r="L37" s="3">
        <f t="shared" si="8"/>
        <v>4.1270720192145213E-3</v>
      </c>
      <c r="M37" s="8">
        <v>1</v>
      </c>
      <c r="N37" s="8">
        <v>1</v>
      </c>
      <c r="O37" s="60">
        <v>425</v>
      </c>
      <c r="P37" s="5">
        <v>0.13469999999999999</v>
      </c>
      <c r="Q37" s="5">
        <v>0.13469999999999999</v>
      </c>
      <c r="R37" s="80">
        <f t="shared" si="15"/>
        <v>0</v>
      </c>
      <c r="S37" s="80">
        <f t="shared" si="16"/>
        <v>0</v>
      </c>
      <c r="T37" s="80">
        <f t="shared" si="17"/>
        <v>0</v>
      </c>
      <c r="U37" s="81">
        <f t="shared" si="18"/>
        <v>0</v>
      </c>
      <c r="V37" s="83">
        <f t="shared" si="19"/>
        <v>0</v>
      </c>
    </row>
    <row r="38" spans="1:22">
      <c r="A38" s="140">
        <v>30</v>
      </c>
      <c r="B38" s="119" t="s">
        <v>68</v>
      </c>
      <c r="C38" s="120" t="s">
        <v>27</v>
      </c>
      <c r="D38" s="9">
        <v>194029687386.57001</v>
      </c>
      <c r="E38" s="3">
        <f t="shared" si="14"/>
        <v>0.22714670018778604</v>
      </c>
      <c r="F38" s="8">
        <v>100</v>
      </c>
      <c r="G38" s="8">
        <v>100</v>
      </c>
      <c r="H38" s="60">
        <v>15051</v>
      </c>
      <c r="I38" s="5">
        <v>0.11219999999999999</v>
      </c>
      <c r="J38" s="5">
        <v>0.11219999999999999</v>
      </c>
      <c r="K38" s="9">
        <v>193407039596.10999</v>
      </c>
      <c r="L38" s="3">
        <f t="shared" si="8"/>
        <v>0.22641777878979177</v>
      </c>
      <c r="M38" s="8">
        <v>100</v>
      </c>
      <c r="N38" s="8">
        <v>100</v>
      </c>
      <c r="O38" s="60">
        <v>15099</v>
      </c>
      <c r="P38" s="5">
        <v>0.11650000000000001</v>
      </c>
      <c r="Q38" s="5">
        <v>0.11650000000000001</v>
      </c>
      <c r="R38" s="80">
        <f t="shared" si="15"/>
        <v>-3.209033621847289E-3</v>
      </c>
      <c r="S38" s="80">
        <f t="shared" si="16"/>
        <v>0</v>
      </c>
      <c r="T38" s="80">
        <f t="shared" si="17"/>
        <v>3.1891568666533787E-3</v>
      </c>
      <c r="U38" s="81">
        <f t="shared" si="18"/>
        <v>4.3000000000000121E-3</v>
      </c>
      <c r="V38" s="83">
        <f t="shared" si="19"/>
        <v>4.3000000000000121E-3</v>
      </c>
    </row>
    <row r="39" spans="1:22">
      <c r="A39" s="140">
        <v>31</v>
      </c>
      <c r="B39" s="119" t="s">
        <v>69</v>
      </c>
      <c r="C39" s="120" t="s">
        <v>70</v>
      </c>
      <c r="D39" s="9">
        <v>273936081.60000002</v>
      </c>
      <c r="E39" s="3">
        <f t="shared" si="14"/>
        <v>3.2069152837339973E-4</v>
      </c>
      <c r="F39" s="8">
        <v>1</v>
      </c>
      <c r="G39" s="8">
        <v>1</v>
      </c>
      <c r="H39" s="61">
        <v>435</v>
      </c>
      <c r="I39" s="12">
        <v>6.6299999999999998E-2</v>
      </c>
      <c r="J39" s="12">
        <v>6.6299999999999998E-2</v>
      </c>
      <c r="K39" s="9">
        <v>278367081.01999998</v>
      </c>
      <c r="L39" s="3">
        <f t="shared" si="8"/>
        <v>3.2587881136263494E-4</v>
      </c>
      <c r="M39" s="8">
        <v>1</v>
      </c>
      <c r="N39" s="8">
        <v>1</v>
      </c>
      <c r="O39" s="61">
        <v>435</v>
      </c>
      <c r="P39" s="12">
        <v>6.8199999999999997E-2</v>
      </c>
      <c r="Q39" s="12">
        <v>6.8199999999999997E-2</v>
      </c>
      <c r="R39" s="80">
        <f t="shared" si="15"/>
        <v>1.6175304085973161E-2</v>
      </c>
      <c r="S39" s="80">
        <f t="shared" si="16"/>
        <v>0</v>
      </c>
      <c r="T39" s="80">
        <f t="shared" si="17"/>
        <v>0</v>
      </c>
      <c r="U39" s="81">
        <f t="shared" si="18"/>
        <v>1.8999999999999989E-3</v>
      </c>
      <c r="V39" s="83">
        <f t="shared" si="19"/>
        <v>1.8999999999999989E-3</v>
      </c>
    </row>
    <row r="40" spans="1:22">
      <c r="A40" s="140">
        <v>32</v>
      </c>
      <c r="B40" s="119" t="s">
        <v>71</v>
      </c>
      <c r="C40" s="120" t="s">
        <v>72</v>
      </c>
      <c r="D40" s="9">
        <v>639800758.90999997</v>
      </c>
      <c r="E40" s="3">
        <f t="shared" si="14"/>
        <v>7.4900203737640419E-4</v>
      </c>
      <c r="F40" s="8">
        <v>10</v>
      </c>
      <c r="G40" s="8">
        <v>10</v>
      </c>
      <c r="H40" s="60">
        <v>290</v>
      </c>
      <c r="I40" s="5">
        <v>0.1114</v>
      </c>
      <c r="J40" s="5">
        <v>0.1114</v>
      </c>
      <c r="K40" s="9">
        <v>649584138.48000002</v>
      </c>
      <c r="L40" s="3">
        <f t="shared" si="8"/>
        <v>7.6045524547018752E-4</v>
      </c>
      <c r="M40" s="8">
        <v>10</v>
      </c>
      <c r="N40" s="8">
        <v>10</v>
      </c>
      <c r="O40" s="60">
        <v>357</v>
      </c>
      <c r="P40" s="5">
        <v>0.1137</v>
      </c>
      <c r="Q40" s="5">
        <v>0.1137</v>
      </c>
      <c r="R40" s="80">
        <f t="shared" si="15"/>
        <v>1.5291290974189464E-2</v>
      </c>
      <c r="S40" s="80">
        <f t="shared" si="16"/>
        <v>0</v>
      </c>
      <c r="T40" s="80">
        <f t="shared" si="17"/>
        <v>0.23103448275862068</v>
      </c>
      <c r="U40" s="81">
        <f t="shared" si="18"/>
        <v>2.2999999999999965E-3</v>
      </c>
      <c r="V40" s="83">
        <f t="shared" si="19"/>
        <v>2.2999999999999965E-3</v>
      </c>
    </row>
    <row r="41" spans="1:22">
      <c r="A41" s="140">
        <v>33</v>
      </c>
      <c r="B41" s="119" t="s">
        <v>73</v>
      </c>
      <c r="C41" s="120" t="s">
        <v>74</v>
      </c>
      <c r="D41" s="9">
        <v>2909139562.6138248</v>
      </c>
      <c r="E41" s="3">
        <f t="shared" si="14"/>
        <v>3.4056718893585541E-3</v>
      </c>
      <c r="F41" s="8">
        <v>100</v>
      </c>
      <c r="G41" s="8">
        <v>100</v>
      </c>
      <c r="H41" s="60">
        <v>1242</v>
      </c>
      <c r="I41" s="5">
        <v>9.4700000000000006E-2</v>
      </c>
      <c r="J41" s="5">
        <v>9.4700000000000006E-2</v>
      </c>
      <c r="K41" s="9">
        <v>2909139562.6138248</v>
      </c>
      <c r="L41" s="3">
        <f t="shared" si="8"/>
        <v>3.4056718893585541E-3</v>
      </c>
      <c r="M41" s="8">
        <v>100</v>
      </c>
      <c r="N41" s="8">
        <v>100</v>
      </c>
      <c r="O41" s="60">
        <v>1242</v>
      </c>
      <c r="P41" s="5">
        <v>9.7900000000000001E-2</v>
      </c>
      <c r="Q41" s="5">
        <v>9.7900000000000001E-2</v>
      </c>
      <c r="R41" s="80">
        <f t="shared" si="15"/>
        <v>0</v>
      </c>
      <c r="S41" s="80">
        <f t="shared" si="16"/>
        <v>0</v>
      </c>
      <c r="T41" s="80">
        <f t="shared" si="17"/>
        <v>0</v>
      </c>
      <c r="U41" s="81">
        <f t="shared" si="18"/>
        <v>3.1999999999999945E-3</v>
      </c>
      <c r="V41" s="83">
        <f t="shared" si="19"/>
        <v>3.1999999999999945E-3</v>
      </c>
    </row>
    <row r="42" spans="1:22" ht="15.75" customHeight="1">
      <c r="A42" s="140">
        <v>34</v>
      </c>
      <c r="B42" s="119" t="s">
        <v>240</v>
      </c>
      <c r="C42" s="120" t="s">
        <v>32</v>
      </c>
      <c r="D42" s="9">
        <v>19735963215.802898</v>
      </c>
      <c r="E42" s="3">
        <f t="shared" si="14"/>
        <v>2.3104500037489869E-2</v>
      </c>
      <c r="F42" s="8">
        <v>1</v>
      </c>
      <c r="G42" s="8">
        <v>1</v>
      </c>
      <c r="H42" s="60">
        <v>10987</v>
      </c>
      <c r="I42" s="5">
        <v>0.11912024450008876</v>
      </c>
      <c r="J42" s="5">
        <v>0.11912024450008876</v>
      </c>
      <c r="K42" s="9">
        <v>19735963215.802898</v>
      </c>
      <c r="L42" s="3">
        <f t="shared" si="8"/>
        <v>2.3104500037489869E-2</v>
      </c>
      <c r="M42" s="8">
        <v>1</v>
      </c>
      <c r="N42" s="8">
        <v>1</v>
      </c>
      <c r="O42" s="60">
        <v>11027</v>
      </c>
      <c r="P42" s="5">
        <v>0.11867326650036511</v>
      </c>
      <c r="Q42" s="5">
        <v>0.11867326650036511</v>
      </c>
      <c r="R42" s="80">
        <f t="shared" si="15"/>
        <v>0</v>
      </c>
      <c r="S42" s="80">
        <f t="shared" si="16"/>
        <v>0</v>
      </c>
      <c r="T42" s="80">
        <f t="shared" si="17"/>
        <v>3.6406662419222716E-3</v>
      </c>
      <c r="U42" s="81">
        <f t="shared" si="18"/>
        <v>-4.4697799972365226E-4</v>
      </c>
      <c r="V42" s="83">
        <f t="shared" si="19"/>
        <v>-4.4697799972365226E-4</v>
      </c>
    </row>
    <row r="43" spans="1:22">
      <c r="A43" s="140">
        <v>35</v>
      </c>
      <c r="B43" s="119" t="s">
        <v>75</v>
      </c>
      <c r="C43" s="120" t="s">
        <v>34</v>
      </c>
      <c r="D43" s="9">
        <v>3043135949.1900001</v>
      </c>
      <c r="E43" s="3">
        <f t="shared" si="14"/>
        <v>3.5625387969840097E-3</v>
      </c>
      <c r="F43" s="8">
        <v>1</v>
      </c>
      <c r="G43" s="8">
        <v>1</v>
      </c>
      <c r="H43" s="60">
        <v>821</v>
      </c>
      <c r="I43" s="5">
        <v>7.9100000000000004E-2</v>
      </c>
      <c r="J43" s="5">
        <v>7.9100000000000004E-2</v>
      </c>
      <c r="K43" s="9">
        <v>3043135949.1900001</v>
      </c>
      <c r="L43" s="3">
        <f t="shared" si="8"/>
        <v>3.5625387969840097E-3</v>
      </c>
      <c r="M43" s="8">
        <v>1</v>
      </c>
      <c r="N43" s="8">
        <v>1</v>
      </c>
      <c r="O43" s="60">
        <v>821</v>
      </c>
      <c r="P43" s="5">
        <v>7.9100000000000004E-2</v>
      </c>
      <c r="Q43" s="5">
        <v>7.9100000000000004E-2</v>
      </c>
      <c r="R43" s="80">
        <f t="shared" si="15"/>
        <v>0</v>
      </c>
      <c r="S43" s="80">
        <f t="shared" si="16"/>
        <v>0</v>
      </c>
      <c r="T43" s="80">
        <f t="shared" si="17"/>
        <v>0</v>
      </c>
      <c r="U43" s="81">
        <f t="shared" si="18"/>
        <v>0</v>
      </c>
      <c r="V43" s="83">
        <f t="shared" si="19"/>
        <v>0</v>
      </c>
    </row>
    <row r="44" spans="1:22">
      <c r="A44" s="140">
        <v>36</v>
      </c>
      <c r="B44" s="119" t="s">
        <v>76</v>
      </c>
      <c r="C44" s="120" t="s">
        <v>36</v>
      </c>
      <c r="D44" s="13">
        <v>3632286130.4000001</v>
      </c>
      <c r="E44" s="3">
        <f t="shared" si="14"/>
        <v>4.2522452093345479E-3</v>
      </c>
      <c r="F44" s="8">
        <v>10</v>
      </c>
      <c r="G44" s="8">
        <v>10</v>
      </c>
      <c r="H44" s="60">
        <v>1892</v>
      </c>
      <c r="I44" s="5">
        <v>0.1285</v>
      </c>
      <c r="J44" s="5">
        <v>0.1285</v>
      </c>
      <c r="K44" s="13">
        <v>3632286130.4000001</v>
      </c>
      <c r="L44" s="3">
        <f t="shared" si="8"/>
        <v>4.2522452093345479E-3</v>
      </c>
      <c r="M44" s="8">
        <v>10</v>
      </c>
      <c r="N44" s="8">
        <v>10</v>
      </c>
      <c r="O44" s="60">
        <v>1892</v>
      </c>
      <c r="P44" s="5">
        <v>0.1285</v>
      </c>
      <c r="Q44" s="5">
        <v>0.1285</v>
      </c>
      <c r="R44" s="80">
        <f t="shared" si="15"/>
        <v>0</v>
      </c>
      <c r="S44" s="80">
        <f t="shared" si="16"/>
        <v>0</v>
      </c>
      <c r="T44" s="80">
        <f t="shared" si="17"/>
        <v>0</v>
      </c>
      <c r="U44" s="81">
        <f t="shared" si="18"/>
        <v>0</v>
      </c>
      <c r="V44" s="83">
        <f t="shared" si="19"/>
        <v>0</v>
      </c>
    </row>
    <row r="45" spans="1:22">
      <c r="A45" s="140">
        <v>37</v>
      </c>
      <c r="B45" s="119" t="s">
        <v>77</v>
      </c>
      <c r="C45" s="120" t="s">
        <v>78</v>
      </c>
      <c r="D45" s="9">
        <v>4705247162.3199997</v>
      </c>
      <c r="E45" s="3">
        <f t="shared" si="14"/>
        <v>5.5083393726217435E-3</v>
      </c>
      <c r="F45" s="8">
        <v>100</v>
      </c>
      <c r="G45" s="8">
        <v>100</v>
      </c>
      <c r="H45" s="60">
        <v>1963</v>
      </c>
      <c r="I45" s="5">
        <v>0.12540000000000001</v>
      </c>
      <c r="J45" s="5">
        <v>0.12540000000000001</v>
      </c>
      <c r="K45" s="9">
        <v>4705247162.3199997</v>
      </c>
      <c r="L45" s="3">
        <f t="shared" si="8"/>
        <v>5.5083393726217435E-3</v>
      </c>
      <c r="M45" s="8">
        <v>100</v>
      </c>
      <c r="N45" s="8">
        <v>100</v>
      </c>
      <c r="O45" s="60">
        <v>1963</v>
      </c>
      <c r="P45" s="5">
        <v>0.12540000000000001</v>
      </c>
      <c r="Q45" s="5">
        <v>0.12540000000000001</v>
      </c>
      <c r="R45" s="80">
        <f t="shared" si="15"/>
        <v>0</v>
      </c>
      <c r="S45" s="80">
        <f t="shared" si="16"/>
        <v>0</v>
      </c>
      <c r="T45" s="80">
        <f t="shared" si="17"/>
        <v>0</v>
      </c>
      <c r="U45" s="81">
        <f t="shared" si="18"/>
        <v>0</v>
      </c>
      <c r="V45" s="83">
        <f t="shared" si="19"/>
        <v>0</v>
      </c>
    </row>
    <row r="46" spans="1:22">
      <c r="A46" s="140">
        <v>38</v>
      </c>
      <c r="B46" s="119" t="s">
        <v>79</v>
      </c>
      <c r="C46" s="120" t="s">
        <v>80</v>
      </c>
      <c r="D46" s="9">
        <v>145050703.49000001</v>
      </c>
      <c r="E46" s="3">
        <f t="shared" si="14"/>
        <v>1.6980797681762899E-4</v>
      </c>
      <c r="F46" s="8">
        <v>1</v>
      </c>
      <c r="G46" s="8">
        <v>1</v>
      </c>
      <c r="H46" s="60">
        <v>61</v>
      </c>
      <c r="I46" s="5">
        <v>9.2899999999999996E-2</v>
      </c>
      <c r="J46" s="5">
        <v>9.2899999999999996E-2</v>
      </c>
      <c r="K46" s="9">
        <v>144980704.06999999</v>
      </c>
      <c r="L46" s="3">
        <f t="shared" si="8"/>
        <v>1.6972602988733074E-4</v>
      </c>
      <c r="M46" s="8">
        <v>1</v>
      </c>
      <c r="N46" s="8">
        <v>1</v>
      </c>
      <c r="O46" s="60">
        <v>61</v>
      </c>
      <c r="P46" s="5">
        <v>5.04E-2</v>
      </c>
      <c r="Q46" s="5">
        <v>5.04E-2</v>
      </c>
      <c r="R46" s="80">
        <f t="shared" si="15"/>
        <v>-4.8258587042869836E-4</v>
      </c>
      <c r="S46" s="80">
        <f t="shared" si="16"/>
        <v>0</v>
      </c>
      <c r="T46" s="80">
        <f t="shared" si="17"/>
        <v>0</v>
      </c>
      <c r="U46" s="81">
        <f t="shared" si="18"/>
        <v>-4.2499999999999996E-2</v>
      </c>
      <c r="V46" s="83">
        <f t="shared" si="19"/>
        <v>-4.2499999999999996E-2</v>
      </c>
    </row>
    <row r="47" spans="1:22">
      <c r="A47" s="140">
        <v>39</v>
      </c>
      <c r="B47" s="119" t="s">
        <v>81</v>
      </c>
      <c r="C47" s="120" t="s">
        <v>38</v>
      </c>
      <c r="D47" s="13">
        <v>717799703.19000006</v>
      </c>
      <c r="E47" s="3">
        <f t="shared" si="14"/>
        <v>8.4031385182072992E-4</v>
      </c>
      <c r="F47" s="8">
        <v>10</v>
      </c>
      <c r="G47" s="8">
        <v>10</v>
      </c>
      <c r="H47" s="60">
        <v>634</v>
      </c>
      <c r="I47" s="5">
        <v>8.5500000000000007E-2</v>
      </c>
      <c r="J47" s="5">
        <v>8.5500000000000007E-2</v>
      </c>
      <c r="K47" s="13">
        <v>688743491.73000002</v>
      </c>
      <c r="L47" s="3">
        <f t="shared" si="8"/>
        <v>8.0629832233142988E-4</v>
      </c>
      <c r="M47" s="8">
        <v>10</v>
      </c>
      <c r="N47" s="8">
        <v>10</v>
      </c>
      <c r="O47" s="60">
        <v>632</v>
      </c>
      <c r="P47" s="5">
        <v>9.1200000000000003E-2</v>
      </c>
      <c r="Q47" s="5">
        <v>9.1200000000000003E-2</v>
      </c>
      <c r="R47" s="80">
        <f t="shared" si="15"/>
        <v>-4.0479553461599746E-2</v>
      </c>
      <c r="S47" s="80">
        <f t="shared" si="16"/>
        <v>0</v>
      </c>
      <c r="T47" s="80">
        <f t="shared" si="17"/>
        <v>-3.1545741324921135E-3</v>
      </c>
      <c r="U47" s="81">
        <f t="shared" si="18"/>
        <v>5.6999999999999967E-3</v>
      </c>
      <c r="V47" s="83">
        <f t="shared" si="19"/>
        <v>5.6999999999999967E-3</v>
      </c>
    </row>
    <row r="48" spans="1:22">
      <c r="A48" s="140">
        <v>40</v>
      </c>
      <c r="B48" s="119" t="s">
        <v>248</v>
      </c>
      <c r="C48" s="120" t="s">
        <v>249</v>
      </c>
      <c r="D48" s="13">
        <v>572801256.04999995</v>
      </c>
      <c r="E48" s="3">
        <f t="shared" si="14"/>
        <v>6.7056705047385606E-4</v>
      </c>
      <c r="F48" s="8">
        <v>1</v>
      </c>
      <c r="G48" s="8">
        <v>1</v>
      </c>
      <c r="H48" s="60">
        <v>23</v>
      </c>
      <c r="I48" s="5">
        <v>0.1191</v>
      </c>
      <c r="J48" s="5">
        <v>0.1191</v>
      </c>
      <c r="K48" s="13">
        <v>572801256.04999995</v>
      </c>
      <c r="L48" s="3">
        <f t="shared" si="8"/>
        <v>6.7056705047385606E-4</v>
      </c>
      <c r="M48" s="8">
        <v>1</v>
      </c>
      <c r="N48" s="8">
        <v>1</v>
      </c>
      <c r="O48" s="60">
        <v>23</v>
      </c>
      <c r="P48" s="5">
        <v>0.1191</v>
      </c>
      <c r="Q48" s="5">
        <v>0.1191</v>
      </c>
      <c r="R48" s="80">
        <f t="shared" si="15"/>
        <v>0</v>
      </c>
      <c r="S48" s="80">
        <f t="shared" si="16"/>
        <v>0</v>
      </c>
      <c r="T48" s="80">
        <f t="shared" si="17"/>
        <v>0</v>
      </c>
      <c r="U48" s="81">
        <f t="shared" si="18"/>
        <v>0</v>
      </c>
      <c r="V48" s="83">
        <f t="shared" si="19"/>
        <v>0</v>
      </c>
    </row>
    <row r="49" spans="1:22">
      <c r="A49" s="135">
        <v>41</v>
      </c>
      <c r="B49" s="119" t="s">
        <v>82</v>
      </c>
      <c r="C49" s="120" t="s">
        <v>42</v>
      </c>
      <c r="D49" s="9">
        <v>384258094263.77002</v>
      </c>
      <c r="E49" s="3">
        <f t="shared" si="14"/>
        <v>0.4498433168042304</v>
      </c>
      <c r="F49" s="8">
        <v>100</v>
      </c>
      <c r="G49" s="8">
        <v>100</v>
      </c>
      <c r="H49" s="60">
        <v>132266</v>
      </c>
      <c r="I49" s="5">
        <v>0.11070000000000001</v>
      </c>
      <c r="J49" s="5">
        <v>0.11070000000000001</v>
      </c>
      <c r="K49" s="9">
        <v>370797820217.78998</v>
      </c>
      <c r="L49" s="3">
        <f t="shared" si="8"/>
        <v>0.43408564139718703</v>
      </c>
      <c r="M49" s="8">
        <v>100</v>
      </c>
      <c r="N49" s="8">
        <v>100</v>
      </c>
      <c r="O49" s="60">
        <v>132257</v>
      </c>
      <c r="P49" s="5">
        <v>0.1144</v>
      </c>
      <c r="Q49" s="5">
        <v>0.1144</v>
      </c>
      <c r="R49" s="80">
        <f t="shared" si="15"/>
        <v>-3.5029253116371242E-2</v>
      </c>
      <c r="S49" s="80">
        <f t="shared" si="16"/>
        <v>0</v>
      </c>
      <c r="T49" s="80">
        <f t="shared" si="17"/>
        <v>-6.8044697805936516E-5</v>
      </c>
      <c r="U49" s="81">
        <f t="shared" si="18"/>
        <v>3.699999999999995E-3</v>
      </c>
      <c r="V49" s="83">
        <f t="shared" si="19"/>
        <v>3.699999999999995E-3</v>
      </c>
    </row>
    <row r="50" spans="1:22">
      <c r="A50" s="137">
        <v>42</v>
      </c>
      <c r="B50" s="119" t="s">
        <v>83</v>
      </c>
      <c r="C50" s="120" t="s">
        <v>84</v>
      </c>
      <c r="D50" s="9">
        <v>2549714783.0100002</v>
      </c>
      <c r="E50" s="3">
        <f t="shared" si="14"/>
        <v>2.9849004406571323E-3</v>
      </c>
      <c r="F50" s="8">
        <v>1</v>
      </c>
      <c r="G50" s="8">
        <v>1</v>
      </c>
      <c r="H50" s="60">
        <v>296</v>
      </c>
      <c r="I50" s="5">
        <v>0.131604</v>
      </c>
      <c r="J50" s="5">
        <v>0.131604</v>
      </c>
      <c r="K50" s="9">
        <v>2723061020.0799999</v>
      </c>
      <c r="L50" s="3">
        <f t="shared" si="8"/>
        <v>3.18783343648252E-3</v>
      </c>
      <c r="M50" s="8">
        <v>1</v>
      </c>
      <c r="N50" s="8">
        <v>1</v>
      </c>
      <c r="O50" s="60">
        <v>329</v>
      </c>
      <c r="P50" s="5">
        <v>0.13915165726632986</v>
      </c>
      <c r="Q50" s="5">
        <v>0.13915165726632986</v>
      </c>
      <c r="R50" s="80">
        <f t="shared" si="15"/>
        <v>6.7986520776790668E-2</v>
      </c>
      <c r="S50" s="80">
        <f t="shared" si="16"/>
        <v>0</v>
      </c>
      <c r="T50" s="80">
        <f t="shared" si="17"/>
        <v>0.11148648648648649</v>
      </c>
      <c r="U50" s="81">
        <f t="shared" si="18"/>
        <v>7.5476572663298602E-3</v>
      </c>
      <c r="V50" s="83">
        <f t="shared" si="19"/>
        <v>7.5476572663298602E-3</v>
      </c>
    </row>
    <row r="51" spans="1:22">
      <c r="A51" s="131">
        <v>43</v>
      </c>
      <c r="B51" s="119" t="s">
        <v>85</v>
      </c>
      <c r="C51" s="120" t="s">
        <v>45</v>
      </c>
      <c r="D51" s="9">
        <v>45848781777.639999</v>
      </c>
      <c r="E51" s="3">
        <f t="shared" si="14"/>
        <v>5.3674257938023488E-2</v>
      </c>
      <c r="F51" s="8">
        <v>1</v>
      </c>
      <c r="G51" s="8">
        <v>1</v>
      </c>
      <c r="H51" s="60">
        <v>18694</v>
      </c>
      <c r="I51" s="5">
        <v>0.1089</v>
      </c>
      <c r="J51" s="5">
        <v>0.1089</v>
      </c>
      <c r="K51" s="9">
        <v>43277856577.910004</v>
      </c>
      <c r="L51" s="3">
        <f t="shared" si="8"/>
        <v>5.066452688390484E-2</v>
      </c>
      <c r="M51" s="8">
        <v>1</v>
      </c>
      <c r="N51" s="8">
        <v>1</v>
      </c>
      <c r="O51" s="60">
        <v>18694</v>
      </c>
      <c r="P51" s="5">
        <v>0.1123</v>
      </c>
      <c r="Q51" s="5">
        <v>0.1123</v>
      </c>
      <c r="R51" s="80">
        <f t="shared" si="15"/>
        <v>-5.6074013311817383E-2</v>
      </c>
      <c r="S51" s="80">
        <f t="shared" si="16"/>
        <v>0</v>
      </c>
      <c r="T51" s="80">
        <f t="shared" si="17"/>
        <v>0</v>
      </c>
      <c r="U51" s="81">
        <f t="shared" si="18"/>
        <v>3.4000000000000002E-3</v>
      </c>
      <c r="V51" s="83">
        <f t="shared" si="19"/>
        <v>3.4000000000000002E-3</v>
      </c>
    </row>
    <row r="52" spans="1:22">
      <c r="A52" s="138">
        <v>44</v>
      </c>
      <c r="B52" s="119" t="s">
        <v>86</v>
      </c>
      <c r="C52" s="120" t="s">
        <v>87</v>
      </c>
      <c r="D52" s="9">
        <v>1805738987.1600003</v>
      </c>
      <c r="E52" s="3">
        <f t="shared" si="14"/>
        <v>2.1139427572062319E-3</v>
      </c>
      <c r="F52" s="8">
        <v>1</v>
      </c>
      <c r="G52" s="8">
        <v>1</v>
      </c>
      <c r="H52" s="60">
        <v>58</v>
      </c>
      <c r="I52" s="5">
        <v>9.1700000000000004E-2</v>
      </c>
      <c r="J52" s="5">
        <v>9.1700000000000004E-2</v>
      </c>
      <c r="K52" s="9">
        <v>1807424073.52</v>
      </c>
      <c r="L52" s="3">
        <f t="shared" si="8"/>
        <v>2.1159154543298571E-3</v>
      </c>
      <c r="M52" s="8">
        <v>1</v>
      </c>
      <c r="N52" s="8">
        <v>1</v>
      </c>
      <c r="O52" s="60">
        <v>58</v>
      </c>
      <c r="P52" s="5">
        <v>9.1999999999999998E-2</v>
      </c>
      <c r="Q52" s="5">
        <v>9.1999999999999998E-2</v>
      </c>
      <c r="R52" s="80">
        <f t="shared" si="15"/>
        <v>9.3318379454712793E-4</v>
      </c>
      <c r="S52" s="80">
        <f t="shared" si="16"/>
        <v>0</v>
      </c>
      <c r="T52" s="80">
        <f t="shared" si="17"/>
        <v>0</v>
      </c>
      <c r="U52" s="81">
        <f t="shared" si="18"/>
        <v>2.9999999999999472E-4</v>
      </c>
      <c r="V52" s="83">
        <f t="shared" si="19"/>
        <v>2.9999999999999472E-4</v>
      </c>
    </row>
    <row r="53" spans="1:22">
      <c r="A53" s="131">
        <v>45</v>
      </c>
      <c r="B53" s="119" t="s">
        <v>88</v>
      </c>
      <c r="C53" s="120" t="s">
        <v>89</v>
      </c>
      <c r="D53" s="9">
        <v>914995007.35000002</v>
      </c>
      <c r="E53" s="3">
        <f t="shared" si="14"/>
        <v>1.0711664766730809E-3</v>
      </c>
      <c r="F53" s="8">
        <v>1</v>
      </c>
      <c r="G53" s="8">
        <v>1</v>
      </c>
      <c r="H53" s="60">
        <v>208</v>
      </c>
      <c r="I53" s="5">
        <v>0.1028</v>
      </c>
      <c r="J53" s="5">
        <v>0.1028</v>
      </c>
      <c r="K53" s="9">
        <v>915734320.94000006</v>
      </c>
      <c r="L53" s="3">
        <f t="shared" si="8"/>
        <v>1.0720319764047684E-3</v>
      </c>
      <c r="M53" s="8">
        <v>1</v>
      </c>
      <c r="N53" s="8">
        <v>1</v>
      </c>
      <c r="O53" s="60">
        <v>208</v>
      </c>
      <c r="P53" s="5">
        <v>0.10290000000000001</v>
      </c>
      <c r="Q53" s="5">
        <v>0.10290000000000001</v>
      </c>
      <c r="R53" s="80">
        <f t="shared" si="15"/>
        <v>8.0799740333144167E-4</v>
      </c>
      <c r="S53" s="80">
        <f t="shared" si="16"/>
        <v>0</v>
      </c>
      <c r="T53" s="80">
        <f t="shared" si="17"/>
        <v>0</v>
      </c>
      <c r="U53" s="81">
        <f t="shared" si="18"/>
        <v>1.0000000000000286E-4</v>
      </c>
      <c r="V53" s="83">
        <f t="shared" si="19"/>
        <v>1.0000000000000286E-4</v>
      </c>
    </row>
    <row r="54" spans="1:22">
      <c r="A54" s="132">
        <v>46</v>
      </c>
      <c r="B54" s="119" t="s">
        <v>90</v>
      </c>
      <c r="C54" s="120" t="s">
        <v>91</v>
      </c>
      <c r="D54" s="9">
        <v>26152308396.93</v>
      </c>
      <c r="E54" s="3">
        <f t="shared" si="14"/>
        <v>3.0615987865922577E-2</v>
      </c>
      <c r="F54" s="8">
        <v>1</v>
      </c>
      <c r="G54" s="8">
        <v>1</v>
      </c>
      <c r="H54" s="60">
        <v>3051</v>
      </c>
      <c r="I54" s="5">
        <v>0.1144</v>
      </c>
      <c r="J54" s="5">
        <v>0.1144</v>
      </c>
      <c r="K54" s="9">
        <v>26772226590.869999</v>
      </c>
      <c r="L54" s="3">
        <f t="shared" si="8"/>
        <v>3.1341713779500423E-2</v>
      </c>
      <c r="M54" s="8">
        <v>1</v>
      </c>
      <c r="N54" s="8">
        <v>1</v>
      </c>
      <c r="O54" s="60">
        <v>3058</v>
      </c>
      <c r="P54" s="5">
        <v>0.1167</v>
      </c>
      <c r="Q54" s="5">
        <v>0.1167</v>
      </c>
      <c r="R54" s="80">
        <f t="shared" si="15"/>
        <v>2.3704148197211162E-2</v>
      </c>
      <c r="S54" s="80">
        <f t="shared" si="16"/>
        <v>0</v>
      </c>
      <c r="T54" s="80">
        <f t="shared" si="17"/>
        <v>2.2943297279580466E-3</v>
      </c>
      <c r="U54" s="81">
        <f t="shared" si="18"/>
        <v>2.2999999999999965E-3</v>
      </c>
      <c r="V54" s="83">
        <f t="shared" si="19"/>
        <v>2.2999999999999965E-3</v>
      </c>
    </row>
    <row r="55" spans="1:22">
      <c r="A55" s="75"/>
      <c r="B55" s="19"/>
      <c r="C55" s="71" t="s">
        <v>46</v>
      </c>
      <c r="D55" s="59">
        <f>SUM(D25:D54)</f>
        <v>870627800539.9668</v>
      </c>
      <c r="E55" s="104">
        <f>(D55/$D$177)</f>
        <v>0.38662077090836422</v>
      </c>
      <c r="F55" s="30"/>
      <c r="G55" s="11"/>
      <c r="H55" s="65">
        <f>SUM(H25:H54)</f>
        <v>287474</v>
      </c>
      <c r="I55" s="32"/>
      <c r="J55" s="32"/>
      <c r="K55" s="59">
        <f>SUM(K25:K54)</f>
        <v>854204297161.97668</v>
      </c>
      <c r="L55" s="104">
        <f>(K55/$K$177)</f>
        <v>0.41063479572908618</v>
      </c>
      <c r="M55" s="30"/>
      <c r="N55" s="11"/>
      <c r="O55" s="65">
        <f>SUM(O25:O54)</f>
        <v>287759</v>
      </c>
      <c r="P55" s="32"/>
      <c r="Q55" s="32"/>
      <c r="R55" s="80">
        <f t="shared" si="15"/>
        <v>-1.8863977658195835E-2</v>
      </c>
      <c r="S55" s="80" t="e">
        <f t="shared" si="16"/>
        <v>#DIV/0!</v>
      </c>
      <c r="T55" s="80">
        <f t="shared" si="17"/>
        <v>9.9139400432734777E-4</v>
      </c>
      <c r="U55" s="81">
        <f t="shared" si="18"/>
        <v>0</v>
      </c>
      <c r="V55" s="83">
        <f t="shared" si="19"/>
        <v>0</v>
      </c>
    </row>
    <row r="56" spans="1:22" ht="9" customHeight="1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ht="15" customHeight="1">
      <c r="A57" s="142" t="s">
        <v>92</v>
      </c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</row>
    <row r="58" spans="1:22">
      <c r="A58" s="140">
        <v>47</v>
      </c>
      <c r="B58" s="119" t="s">
        <v>93</v>
      </c>
      <c r="C58" s="120" t="s">
        <v>19</v>
      </c>
      <c r="D58" s="2">
        <v>467203461.57999998</v>
      </c>
      <c r="E58" s="3">
        <f>(D58/$D$89)</f>
        <v>1.619653470869087E-3</v>
      </c>
      <c r="F58" s="14">
        <v>1.2471000000000001</v>
      </c>
      <c r="G58" s="14">
        <v>1.2471000000000001</v>
      </c>
      <c r="H58" s="60">
        <v>396</v>
      </c>
      <c r="I58" s="5">
        <v>-1.8341E-2</v>
      </c>
      <c r="J58" s="5">
        <v>1.29E-2</v>
      </c>
      <c r="K58" s="2">
        <v>477690262.72000003</v>
      </c>
      <c r="L58" s="3">
        <f t="shared" ref="L58:L88" si="20">(K58/$K$89)</f>
        <v>1.6731280958432501E-3</v>
      </c>
      <c r="M58" s="14">
        <v>1.2751999999999999</v>
      </c>
      <c r="N58" s="14">
        <v>1.2751999999999999</v>
      </c>
      <c r="O58" s="60">
        <v>396</v>
      </c>
      <c r="P58" s="5">
        <v>4.2529999999999998E-3</v>
      </c>
      <c r="Q58" s="5">
        <v>3.5700000000000003E-2</v>
      </c>
      <c r="R58" s="80">
        <f t="shared" ref="R58" si="21">((K58-D58)/D58)</f>
        <v>2.2445897777673838E-2</v>
      </c>
      <c r="S58" s="80">
        <f t="shared" ref="S58" si="22">((N58-G58)/G58)</f>
        <v>2.2532274877716134E-2</v>
      </c>
      <c r="T58" s="80">
        <f t="shared" ref="T58" si="23">((O58-H58)/H58)</f>
        <v>0</v>
      </c>
      <c r="U58" s="81">
        <f t="shared" ref="U58" si="24">P58-I58</f>
        <v>2.2594E-2</v>
      </c>
      <c r="V58" s="83">
        <f t="shared" ref="V58" si="25">Q58-J58</f>
        <v>2.2800000000000001E-2</v>
      </c>
    </row>
    <row r="59" spans="1:22">
      <c r="A59" s="140">
        <v>48</v>
      </c>
      <c r="B59" s="119" t="s">
        <v>94</v>
      </c>
      <c r="C59" s="120" t="s">
        <v>21</v>
      </c>
      <c r="D59" s="2">
        <v>1214090101.3099999</v>
      </c>
      <c r="E59" s="3">
        <f>(D59/$D$89)</f>
        <v>4.2088841548487375E-3</v>
      </c>
      <c r="F59" s="14">
        <v>1.155</v>
      </c>
      <c r="G59" s="14">
        <v>1.155</v>
      </c>
      <c r="H59" s="60">
        <v>557</v>
      </c>
      <c r="I59" s="5">
        <v>0.46</v>
      </c>
      <c r="J59" s="5">
        <v>4.5699999999999998E-2</v>
      </c>
      <c r="K59" s="2">
        <v>1301997321.6099999</v>
      </c>
      <c r="L59" s="3">
        <f t="shared" si="20"/>
        <v>4.5602945454536782E-3</v>
      </c>
      <c r="M59" s="14">
        <v>1.1579999999999999</v>
      </c>
      <c r="N59" s="14">
        <v>1.1579999999999999</v>
      </c>
      <c r="O59" s="60">
        <v>561</v>
      </c>
      <c r="P59" s="5">
        <v>0.13539999999999999</v>
      </c>
      <c r="Q59" s="5">
        <v>4.7600000000000003E-2</v>
      </c>
      <c r="R59" s="80">
        <f t="shared" ref="R59:R89" si="26">((K59-D59)/D59)</f>
        <v>7.2405845501209751E-2</v>
      </c>
      <c r="S59" s="80">
        <f t="shared" ref="S59:S89" si="27">((N59-G59)/G59)</f>
        <v>2.5974025974025037E-3</v>
      </c>
      <c r="T59" s="80">
        <f t="shared" ref="T59:T89" si="28">((O59-H59)/H59)</f>
        <v>7.1813285457809697E-3</v>
      </c>
      <c r="U59" s="81">
        <f t="shared" ref="U59:U89" si="29">P59-I59</f>
        <v>-0.3246</v>
      </c>
      <c r="V59" s="83">
        <f t="shared" ref="V59:V89" si="30">Q59-J59</f>
        <v>1.9000000000000059E-3</v>
      </c>
    </row>
    <row r="60" spans="1:22">
      <c r="A60" s="140">
        <v>49</v>
      </c>
      <c r="B60" s="119" t="s">
        <v>95</v>
      </c>
      <c r="C60" s="120" t="s">
        <v>21</v>
      </c>
      <c r="D60" s="2">
        <v>1006666842.9400001</v>
      </c>
      <c r="E60" s="3">
        <f>(D60/$D$89)</f>
        <v>3.4898102866419206E-3</v>
      </c>
      <c r="F60" s="14">
        <v>1.0624</v>
      </c>
      <c r="G60" s="14">
        <v>1.0624</v>
      </c>
      <c r="H60" s="60">
        <v>143</v>
      </c>
      <c r="I60" s="5">
        <v>7.8600000000000003E-2</v>
      </c>
      <c r="J60" s="5">
        <v>2.7799999999999998E-2</v>
      </c>
      <c r="K60" s="2">
        <v>1005840198.09</v>
      </c>
      <c r="L60" s="3">
        <f t="shared" si="20"/>
        <v>3.5229930913190021E-3</v>
      </c>
      <c r="M60" s="14">
        <v>1.0642</v>
      </c>
      <c r="N60" s="14">
        <v>1.0642</v>
      </c>
      <c r="O60" s="60">
        <v>145</v>
      </c>
      <c r="P60" s="5">
        <v>8.8300000000000003E-2</v>
      </c>
      <c r="Q60" s="5">
        <v>2.9100000000000001E-2</v>
      </c>
      <c r="R60" s="80">
        <f t="shared" si="26"/>
        <v>-8.2117023700292269E-4</v>
      </c>
      <c r="S60" s="80">
        <f t="shared" si="27"/>
        <v>1.6942771084337573E-3</v>
      </c>
      <c r="T60" s="80">
        <f t="shared" si="28"/>
        <v>1.3986013986013986E-2</v>
      </c>
      <c r="U60" s="81">
        <f t="shared" si="29"/>
        <v>9.7000000000000003E-3</v>
      </c>
      <c r="V60" s="83">
        <f t="shared" si="30"/>
        <v>1.3000000000000025E-3</v>
      </c>
    </row>
    <row r="61" spans="1:22">
      <c r="A61" s="140">
        <v>50</v>
      </c>
      <c r="B61" s="119" t="s">
        <v>96</v>
      </c>
      <c r="C61" s="120" t="s">
        <v>97</v>
      </c>
      <c r="D61" s="2">
        <v>267875726.80000001</v>
      </c>
      <c r="E61" s="3">
        <f>(D61/$D$89)</f>
        <v>9.2864434096002048E-4</v>
      </c>
      <c r="F61" s="7">
        <v>1132</v>
      </c>
      <c r="G61" s="7">
        <v>1132</v>
      </c>
      <c r="H61" s="60">
        <v>118</v>
      </c>
      <c r="I61" s="5">
        <v>8.3999999999999995E-3</v>
      </c>
      <c r="J61" s="5">
        <v>5.6599999999999998E-2</v>
      </c>
      <c r="K61" s="2">
        <v>272009942.25</v>
      </c>
      <c r="L61" s="3">
        <f t="shared" si="20"/>
        <v>9.5272504433262413E-4</v>
      </c>
      <c r="M61" s="7">
        <v>1149.71</v>
      </c>
      <c r="N61" s="7">
        <v>1149.71</v>
      </c>
      <c r="O61" s="60">
        <v>118</v>
      </c>
      <c r="P61" s="5">
        <v>1.4999999999999999E-2</v>
      </c>
      <c r="Q61" s="5">
        <v>7.2300000000000003E-2</v>
      </c>
      <c r="R61" s="80">
        <f t="shared" si="26"/>
        <v>1.5433333581159649E-2</v>
      </c>
      <c r="S61" s="80">
        <f t="shared" si="27"/>
        <v>1.5644876325088371E-2</v>
      </c>
      <c r="T61" s="80">
        <f t="shared" si="28"/>
        <v>0</v>
      </c>
      <c r="U61" s="81">
        <f t="shared" si="29"/>
        <v>6.6E-3</v>
      </c>
      <c r="V61" s="83">
        <f t="shared" si="30"/>
        <v>1.5700000000000006E-2</v>
      </c>
    </row>
    <row r="62" spans="1:22" ht="15" customHeight="1">
      <c r="A62" s="140">
        <v>51</v>
      </c>
      <c r="B62" s="119" t="s">
        <v>98</v>
      </c>
      <c r="C62" s="120" t="s">
        <v>99</v>
      </c>
      <c r="D62" s="2">
        <v>1466348395.21</v>
      </c>
      <c r="E62" s="3">
        <f>(D62/$K$89)</f>
        <v>5.1359403567298083E-3</v>
      </c>
      <c r="F62" s="7">
        <v>1.0461</v>
      </c>
      <c r="G62" s="7">
        <v>1.0461</v>
      </c>
      <c r="H62" s="60">
        <v>789</v>
      </c>
      <c r="I62" s="5">
        <v>1.6999999999999999E-3</v>
      </c>
      <c r="J62" s="5">
        <v>7.7200000000000005E-2</v>
      </c>
      <c r="K62" s="2">
        <v>1455928682.9000001</v>
      </c>
      <c r="L62" s="3">
        <f t="shared" si="20"/>
        <v>5.09944492281161E-3</v>
      </c>
      <c r="M62" s="7">
        <v>1.0477000000000001</v>
      </c>
      <c r="N62" s="7">
        <v>1.0477000000000001</v>
      </c>
      <c r="O62" s="60">
        <v>792</v>
      </c>
      <c r="P62" s="5">
        <v>1.5E-3</v>
      </c>
      <c r="Q62" s="5">
        <v>7.8700000000000006E-2</v>
      </c>
      <c r="R62" s="80">
        <f t="shared" si="26"/>
        <v>-7.105891303892828E-3</v>
      </c>
      <c r="S62" s="80">
        <f t="shared" si="27"/>
        <v>1.5294904884810686E-3</v>
      </c>
      <c r="T62" s="80">
        <f t="shared" si="28"/>
        <v>3.8022813688212928E-3</v>
      </c>
      <c r="U62" s="81">
        <f t="shared" si="29"/>
        <v>-1.9999999999999987E-4</v>
      </c>
      <c r="V62" s="83">
        <v>7.87</v>
      </c>
    </row>
    <row r="63" spans="1:22">
      <c r="A63" s="140">
        <v>52</v>
      </c>
      <c r="B63" s="119" t="s">
        <v>100</v>
      </c>
      <c r="C63" s="120" t="s">
        <v>101</v>
      </c>
      <c r="D63" s="2">
        <v>413158855.03430551</v>
      </c>
      <c r="E63" s="3">
        <f t="shared" ref="E63:E88" si="31">(D63/$D$89)</f>
        <v>1.4322971223577443E-3</v>
      </c>
      <c r="F63" s="7">
        <v>2.2238000000000002</v>
      </c>
      <c r="G63" s="7">
        <v>2.2238000000000002</v>
      </c>
      <c r="H63" s="60">
        <v>1399</v>
      </c>
      <c r="I63" s="5">
        <v>0.105728318453055</v>
      </c>
      <c r="J63" s="5">
        <v>9.4913364537727404E-2</v>
      </c>
      <c r="K63" s="2">
        <v>413158855.03430551</v>
      </c>
      <c r="L63" s="3">
        <f t="shared" si="20"/>
        <v>1.4471044154599278E-3</v>
      </c>
      <c r="M63" s="7">
        <v>2.2238000000000002</v>
      </c>
      <c r="N63" s="7">
        <v>2.2238000000000002</v>
      </c>
      <c r="O63" s="60">
        <v>1399</v>
      </c>
      <c r="P63" s="5">
        <v>0.105728318453055</v>
      </c>
      <c r="Q63" s="5">
        <v>9.4913364537727404E-2</v>
      </c>
      <c r="R63" s="80">
        <f t="shared" si="26"/>
        <v>0</v>
      </c>
      <c r="S63" s="80">
        <f t="shared" si="27"/>
        <v>0</v>
      </c>
      <c r="T63" s="80">
        <f t="shared" si="28"/>
        <v>0</v>
      </c>
      <c r="U63" s="81">
        <f t="shared" si="29"/>
        <v>0</v>
      </c>
      <c r="V63" s="83">
        <f t="shared" si="30"/>
        <v>0</v>
      </c>
    </row>
    <row r="64" spans="1:22">
      <c r="A64" s="140">
        <v>53</v>
      </c>
      <c r="B64" s="119" t="s">
        <v>102</v>
      </c>
      <c r="C64" s="120" t="s">
        <v>56</v>
      </c>
      <c r="D64" s="2">
        <v>2588088451.4270802</v>
      </c>
      <c r="E64" s="3">
        <f t="shared" si="31"/>
        <v>8.9721219725001997E-3</v>
      </c>
      <c r="F64" s="2">
        <v>3979.7191638110298</v>
      </c>
      <c r="G64" s="2">
        <v>3979.7191638110298</v>
      </c>
      <c r="H64" s="60">
        <v>1035</v>
      </c>
      <c r="I64" s="5">
        <v>7.5802580108040599E-2</v>
      </c>
      <c r="J64" s="5">
        <v>7.693970997221089E-2</v>
      </c>
      <c r="K64" s="2">
        <v>2576770154.4544702</v>
      </c>
      <c r="L64" s="3">
        <f t="shared" si="20"/>
        <v>9.0252342959630111E-3</v>
      </c>
      <c r="M64" s="2">
        <v>3985.5107609311099</v>
      </c>
      <c r="N64" s="2">
        <v>3985.5107609311099</v>
      </c>
      <c r="O64" s="60">
        <v>1032</v>
      </c>
      <c r="P64" s="5">
        <v>7.5882344665779533E-2</v>
      </c>
      <c r="Q64" s="5">
        <v>7.7028224937598921E-2</v>
      </c>
      <c r="R64" s="80">
        <f t="shared" si="26"/>
        <v>-4.3732264893686507E-3</v>
      </c>
      <c r="S64" s="80">
        <f t="shared" si="27"/>
        <v>1.4552778429053608E-3</v>
      </c>
      <c r="T64" s="80">
        <f t="shared" si="28"/>
        <v>-2.8985507246376812E-3</v>
      </c>
      <c r="U64" s="81">
        <f t="shared" si="29"/>
        <v>7.9764557738934427E-5</v>
      </c>
      <c r="V64" s="83">
        <f t="shared" si="30"/>
        <v>8.8514965388031275E-5</v>
      </c>
    </row>
    <row r="65" spans="1:22">
      <c r="A65" s="140">
        <v>54</v>
      </c>
      <c r="B65" s="119" t="s">
        <v>103</v>
      </c>
      <c r="C65" s="120" t="s">
        <v>58</v>
      </c>
      <c r="D65" s="2">
        <v>341121364.77999997</v>
      </c>
      <c r="E65" s="3">
        <f t="shared" si="31"/>
        <v>1.1825648735244265E-3</v>
      </c>
      <c r="F65" s="14">
        <v>107.06</v>
      </c>
      <c r="G65" s="14">
        <v>107.06</v>
      </c>
      <c r="H65" s="60">
        <v>121</v>
      </c>
      <c r="I65" s="5">
        <v>1.8E-3</v>
      </c>
      <c r="J65" s="5">
        <v>0.1031</v>
      </c>
      <c r="K65" s="2">
        <v>341332248.75999999</v>
      </c>
      <c r="L65" s="3">
        <f t="shared" si="20"/>
        <v>1.1955290278806905E-3</v>
      </c>
      <c r="M65" s="14">
        <v>107.27</v>
      </c>
      <c r="N65" s="14">
        <v>107.27</v>
      </c>
      <c r="O65" s="60">
        <v>122</v>
      </c>
      <c r="P65" s="5">
        <v>2E-3</v>
      </c>
      <c r="Q65" s="5">
        <v>0.1032</v>
      </c>
      <c r="R65" s="80">
        <f t="shared" si="26"/>
        <v>6.1820806836893625E-4</v>
      </c>
      <c r="S65" s="80">
        <f t="shared" si="27"/>
        <v>1.9615169064075635E-3</v>
      </c>
      <c r="T65" s="80">
        <f t="shared" si="28"/>
        <v>8.2644628099173556E-3</v>
      </c>
      <c r="U65" s="81">
        <f t="shared" si="29"/>
        <v>2.0000000000000009E-4</v>
      </c>
      <c r="V65" s="83">
        <f t="shared" si="30"/>
        <v>1.0000000000000286E-4</v>
      </c>
    </row>
    <row r="66" spans="1:22">
      <c r="A66" s="140">
        <v>55</v>
      </c>
      <c r="B66" s="119" t="s">
        <v>104</v>
      </c>
      <c r="C66" s="120" t="s">
        <v>105</v>
      </c>
      <c r="D66" s="2">
        <v>324403164.66000003</v>
      </c>
      <c r="E66" s="3">
        <f t="shared" si="31"/>
        <v>1.1246079166999416E-3</v>
      </c>
      <c r="F66" s="14">
        <v>1.3951</v>
      </c>
      <c r="G66" s="14">
        <v>1.3951</v>
      </c>
      <c r="H66" s="60">
        <v>308</v>
      </c>
      <c r="I66" s="5">
        <v>2.0108218777420417E-2</v>
      </c>
      <c r="J66" s="5">
        <v>3.407855891194489E-2</v>
      </c>
      <c r="K66" s="2">
        <v>328069517.16000003</v>
      </c>
      <c r="L66" s="3">
        <f t="shared" si="20"/>
        <v>1.1490758120641586E-3</v>
      </c>
      <c r="M66" s="14">
        <v>1.4094</v>
      </c>
      <c r="N66" s="14">
        <v>1.4094</v>
      </c>
      <c r="O66" s="60">
        <v>308</v>
      </c>
      <c r="P66" s="5">
        <v>1.0250161278761327E-2</v>
      </c>
      <c r="Q66" s="5">
        <v>4.4232645399198911E-2</v>
      </c>
      <c r="R66" s="80">
        <f t="shared" si="26"/>
        <v>1.1301839499138749E-2</v>
      </c>
      <c r="S66" s="80">
        <f t="shared" si="27"/>
        <v>1.0250161278761364E-2</v>
      </c>
      <c r="T66" s="80">
        <f t="shared" si="28"/>
        <v>0</v>
      </c>
      <c r="U66" s="81">
        <f t="shared" si="29"/>
        <v>-9.8580574986590896E-3</v>
      </c>
      <c r="V66" s="83">
        <f t="shared" si="30"/>
        <v>1.0154086487254022E-2</v>
      </c>
    </row>
    <row r="67" spans="1:22">
      <c r="A67" s="140">
        <v>56</v>
      </c>
      <c r="B67" s="119" t="s">
        <v>106</v>
      </c>
      <c r="C67" s="120" t="s">
        <v>25</v>
      </c>
      <c r="D67" s="2">
        <v>67319221.579999998</v>
      </c>
      <c r="E67" s="3">
        <f t="shared" si="31"/>
        <v>2.33375434590144E-4</v>
      </c>
      <c r="F67" s="14">
        <v>111.5849</v>
      </c>
      <c r="G67" s="14">
        <v>111.5849</v>
      </c>
      <c r="H67" s="60">
        <v>82</v>
      </c>
      <c r="I67" s="5">
        <v>3.2899999999999997E-4</v>
      </c>
      <c r="J67" s="5">
        <v>9.4700000000000006E-2</v>
      </c>
      <c r="K67" s="2">
        <v>67319221.579999998</v>
      </c>
      <c r="L67" s="3">
        <f t="shared" si="20"/>
        <v>2.3578810330872473E-4</v>
      </c>
      <c r="M67" s="14">
        <v>111.5849</v>
      </c>
      <c r="N67" s="14">
        <v>111.5849</v>
      </c>
      <c r="O67" s="60">
        <v>82</v>
      </c>
      <c r="P67" s="5">
        <v>3.2899999999999997E-4</v>
      </c>
      <c r="Q67" s="5">
        <v>9.4700000000000006E-2</v>
      </c>
      <c r="R67" s="80">
        <f t="shared" si="26"/>
        <v>0</v>
      </c>
      <c r="S67" s="80">
        <f t="shared" si="27"/>
        <v>0</v>
      </c>
      <c r="T67" s="80">
        <f t="shared" si="28"/>
        <v>0</v>
      </c>
      <c r="U67" s="81">
        <f t="shared" si="29"/>
        <v>0</v>
      </c>
      <c r="V67" s="83">
        <f t="shared" si="30"/>
        <v>0</v>
      </c>
    </row>
    <row r="68" spans="1:22">
      <c r="A68" s="140">
        <v>57</v>
      </c>
      <c r="B68" s="119" t="s">
        <v>107</v>
      </c>
      <c r="C68" s="120" t="s">
        <v>108</v>
      </c>
      <c r="D68" s="2">
        <v>1008842230.3848058</v>
      </c>
      <c r="E68" s="3">
        <f t="shared" si="31"/>
        <v>3.497351698714402E-3</v>
      </c>
      <c r="F68" s="7">
        <v>1000</v>
      </c>
      <c r="G68" s="7">
        <v>1000</v>
      </c>
      <c r="H68" s="60">
        <v>269</v>
      </c>
      <c r="I68" s="5">
        <v>1.0678202162422901E-3</v>
      </c>
      <c r="J68" s="5">
        <v>0.14749999999999999</v>
      </c>
      <c r="K68" s="2">
        <v>1008842230.3848058</v>
      </c>
      <c r="L68" s="3">
        <f t="shared" si="20"/>
        <v>3.5335078222420656E-3</v>
      </c>
      <c r="M68" s="7">
        <v>1000</v>
      </c>
      <c r="N68" s="7">
        <v>1000</v>
      </c>
      <c r="O68" s="60">
        <v>269</v>
      </c>
      <c r="P68" s="5">
        <v>1.0678202162422901E-3</v>
      </c>
      <c r="Q68" s="5">
        <v>0.14749999999999999</v>
      </c>
      <c r="R68" s="80">
        <f t="shared" si="26"/>
        <v>0</v>
      </c>
      <c r="S68" s="80">
        <f t="shared" si="27"/>
        <v>0</v>
      </c>
      <c r="T68" s="80">
        <f t="shared" si="28"/>
        <v>0</v>
      </c>
      <c r="U68" s="81">
        <f t="shared" si="29"/>
        <v>0</v>
      </c>
      <c r="V68" s="83">
        <f t="shared" si="30"/>
        <v>0</v>
      </c>
    </row>
    <row r="69" spans="1:22">
      <c r="A69" s="140">
        <v>58</v>
      </c>
      <c r="B69" s="119" t="s">
        <v>109</v>
      </c>
      <c r="C69" s="120" t="s">
        <v>64</v>
      </c>
      <c r="D69" s="2">
        <v>223049215.53999999</v>
      </c>
      <c r="E69" s="3">
        <f t="shared" si="31"/>
        <v>7.7324434819524247E-4</v>
      </c>
      <c r="F69" s="7">
        <v>1118.58</v>
      </c>
      <c r="G69" s="7">
        <v>1129.29</v>
      </c>
      <c r="H69" s="60">
        <v>79</v>
      </c>
      <c r="I69" s="5">
        <v>7.4000000000000003E-3</v>
      </c>
      <c r="J69" s="5">
        <v>7.6399999999999996E-2</v>
      </c>
      <c r="K69" s="2">
        <v>224119438.86000001</v>
      </c>
      <c r="L69" s="3">
        <f t="shared" si="20"/>
        <v>7.8498675657763149E-4</v>
      </c>
      <c r="M69" s="7">
        <v>1123.7</v>
      </c>
      <c r="N69" s="7">
        <v>1135.05</v>
      </c>
      <c r="O69" s="60">
        <v>79</v>
      </c>
      <c r="P69" s="5">
        <v>4.8999999999999998E-3</v>
      </c>
      <c r="Q69" s="5">
        <v>8.1299999999999997E-2</v>
      </c>
      <c r="R69" s="80">
        <f t="shared" si="26"/>
        <v>4.7981487736194111E-3</v>
      </c>
      <c r="S69" s="80">
        <f t="shared" si="27"/>
        <v>5.1005499030364132E-3</v>
      </c>
      <c r="T69" s="80">
        <f t="shared" si="28"/>
        <v>0</v>
      </c>
      <c r="U69" s="81">
        <f t="shared" si="29"/>
        <v>-2.5000000000000005E-3</v>
      </c>
      <c r="V69" s="83">
        <f t="shared" si="30"/>
        <v>4.9000000000000016E-3</v>
      </c>
    </row>
    <row r="70" spans="1:22">
      <c r="A70" s="140">
        <v>59</v>
      </c>
      <c r="B70" s="119" t="s">
        <v>110</v>
      </c>
      <c r="C70" s="120" t="s">
        <v>67</v>
      </c>
      <c r="D70" s="2">
        <v>750137535.75999999</v>
      </c>
      <c r="E70" s="3">
        <f t="shared" si="31"/>
        <v>2.6005005598932788E-3</v>
      </c>
      <c r="F70" s="15">
        <v>1.1059000000000001</v>
      </c>
      <c r="G70" s="15">
        <v>1.1059000000000001</v>
      </c>
      <c r="H70" s="60">
        <v>37</v>
      </c>
      <c r="I70" s="5">
        <v>4.8155551517354922E-3</v>
      </c>
      <c r="J70" s="5">
        <v>0.10357587958968477</v>
      </c>
      <c r="K70" s="2">
        <v>750137535.75999999</v>
      </c>
      <c r="L70" s="3">
        <f t="shared" si="20"/>
        <v>2.6273849077018854E-3</v>
      </c>
      <c r="M70" s="15">
        <v>1.1059000000000001</v>
      </c>
      <c r="N70" s="15">
        <v>1.1059000000000001</v>
      </c>
      <c r="O70" s="60">
        <v>37</v>
      </c>
      <c r="P70" s="5">
        <v>4.8155551517354922E-3</v>
      </c>
      <c r="Q70" s="5">
        <v>0.10357587958968477</v>
      </c>
      <c r="R70" s="80">
        <f t="shared" si="26"/>
        <v>0</v>
      </c>
      <c r="S70" s="80">
        <f t="shared" si="27"/>
        <v>0</v>
      </c>
      <c r="T70" s="80">
        <f t="shared" si="28"/>
        <v>0</v>
      </c>
      <c r="U70" s="81">
        <f t="shared" si="29"/>
        <v>0</v>
      </c>
      <c r="V70" s="83">
        <f t="shared" si="30"/>
        <v>0</v>
      </c>
    </row>
    <row r="71" spans="1:22">
      <c r="A71" s="140">
        <v>60</v>
      </c>
      <c r="B71" s="119" t="s">
        <v>111</v>
      </c>
      <c r="C71" s="120" t="s">
        <v>27</v>
      </c>
      <c r="D71" s="2">
        <v>65822471334.580002</v>
      </c>
      <c r="E71" s="3">
        <f t="shared" si="31"/>
        <v>0.22818665297919366</v>
      </c>
      <c r="F71" s="15">
        <v>1536.04</v>
      </c>
      <c r="G71" s="2">
        <v>1536.04</v>
      </c>
      <c r="H71" s="60">
        <v>2460</v>
      </c>
      <c r="I71" s="5">
        <v>2.2000000000000001E-3</v>
      </c>
      <c r="J71" s="5">
        <v>0.11899999999999999</v>
      </c>
      <c r="K71" s="2">
        <v>66018490332.459999</v>
      </c>
      <c r="L71" s="3">
        <f t="shared" si="20"/>
        <v>0.2312322432352778</v>
      </c>
      <c r="M71" s="15">
        <v>1539.35</v>
      </c>
      <c r="N71" s="2">
        <v>1539.35</v>
      </c>
      <c r="O71" s="60">
        <v>2463</v>
      </c>
      <c r="P71" s="5">
        <v>2.2000000000000001E-3</v>
      </c>
      <c r="Q71" s="5">
        <v>0.1196</v>
      </c>
      <c r="R71" s="80">
        <f t="shared" si="26"/>
        <v>2.9779951117851478E-3</v>
      </c>
      <c r="S71" s="80">
        <f t="shared" si="27"/>
        <v>2.1548917996926809E-3</v>
      </c>
      <c r="T71" s="80">
        <f t="shared" si="28"/>
        <v>1.2195121951219512E-3</v>
      </c>
      <c r="U71" s="81">
        <f t="shared" si="29"/>
        <v>0</v>
      </c>
      <c r="V71" s="83">
        <f t="shared" si="30"/>
        <v>6.0000000000000331E-4</v>
      </c>
    </row>
    <row r="72" spans="1:22">
      <c r="A72" s="140">
        <v>61</v>
      </c>
      <c r="B72" s="119" t="s">
        <v>112</v>
      </c>
      <c r="C72" s="120" t="s">
        <v>72</v>
      </c>
      <c r="D72" s="2">
        <v>24945193.239999998</v>
      </c>
      <c r="E72" s="3">
        <f t="shared" si="31"/>
        <v>8.6477460325383082E-5</v>
      </c>
      <c r="F72" s="2">
        <v>0.75970000000000004</v>
      </c>
      <c r="G72" s="2">
        <v>0.75970000000000004</v>
      </c>
      <c r="H72" s="60">
        <v>747</v>
      </c>
      <c r="I72" s="5">
        <v>1.8E-3</v>
      </c>
      <c r="J72" s="5">
        <v>0.1118</v>
      </c>
      <c r="K72" s="2">
        <v>24987024.460000001</v>
      </c>
      <c r="L72" s="3">
        <f t="shared" si="20"/>
        <v>8.7517992134693244E-5</v>
      </c>
      <c r="M72" s="2">
        <v>0.76119999999999999</v>
      </c>
      <c r="N72" s="2">
        <v>0.76119999999999999</v>
      </c>
      <c r="O72" s="60">
        <v>747</v>
      </c>
      <c r="P72" s="5">
        <v>2E-3</v>
      </c>
      <c r="Q72" s="5">
        <v>0.114</v>
      </c>
      <c r="R72" s="80">
        <f t="shared" si="26"/>
        <v>1.6769250732010981E-3</v>
      </c>
      <c r="S72" s="80">
        <f t="shared" si="27"/>
        <v>1.9744636040541605E-3</v>
      </c>
      <c r="T72" s="80">
        <f t="shared" si="28"/>
        <v>0</v>
      </c>
      <c r="U72" s="81">
        <f t="shared" si="29"/>
        <v>2.0000000000000009E-4</v>
      </c>
      <c r="V72" s="83">
        <f t="shared" si="30"/>
        <v>2.2000000000000075E-3</v>
      </c>
    </row>
    <row r="73" spans="1:22">
      <c r="A73" s="140">
        <v>62</v>
      </c>
      <c r="B73" s="119" t="s">
        <v>113</v>
      </c>
      <c r="C73" s="120" t="s">
        <v>114</v>
      </c>
      <c r="D73" s="2">
        <v>1044559578.1900001</v>
      </c>
      <c r="E73" s="3">
        <f t="shared" si="31"/>
        <v>3.6211729695313686E-3</v>
      </c>
      <c r="F73" s="2">
        <v>212.68407500000001</v>
      </c>
      <c r="G73" s="2">
        <v>214.84914699999999</v>
      </c>
      <c r="H73" s="60">
        <v>487</v>
      </c>
      <c r="I73" s="5">
        <v>2.3E-3</v>
      </c>
      <c r="J73" s="5">
        <v>7.7200000000000005E-2</v>
      </c>
      <c r="K73" s="2">
        <v>1054658566.02</v>
      </c>
      <c r="L73" s="3">
        <f t="shared" si="20"/>
        <v>3.6939812594926806E-3</v>
      </c>
      <c r="M73" s="2">
        <v>213.44849500000001</v>
      </c>
      <c r="N73" s="2">
        <v>215.688535</v>
      </c>
      <c r="O73" s="60">
        <v>488</v>
      </c>
      <c r="P73" s="5">
        <v>2.8E-3</v>
      </c>
      <c r="Q73" s="5">
        <v>8.14E-2</v>
      </c>
      <c r="R73" s="80">
        <f t="shared" si="26"/>
        <v>9.6681779008712214E-3</v>
      </c>
      <c r="S73" s="80">
        <f t="shared" si="27"/>
        <v>3.9068714571159728E-3</v>
      </c>
      <c r="T73" s="80">
        <f t="shared" si="28"/>
        <v>2.0533880903490761E-3</v>
      </c>
      <c r="U73" s="81">
        <f t="shared" si="29"/>
        <v>5.0000000000000001E-4</v>
      </c>
      <c r="V73" s="83">
        <f t="shared" si="30"/>
        <v>4.1999999999999954E-3</v>
      </c>
    </row>
    <row r="74" spans="1:22">
      <c r="A74" s="140">
        <v>63</v>
      </c>
      <c r="B74" s="119" t="s">
        <v>115</v>
      </c>
      <c r="C74" s="120" t="s">
        <v>34</v>
      </c>
      <c r="D74" s="2">
        <v>1218294096.8900001</v>
      </c>
      <c r="E74" s="3">
        <f t="shared" si="31"/>
        <v>4.2234581394027873E-3</v>
      </c>
      <c r="F74" s="14">
        <v>3.57</v>
      </c>
      <c r="G74" s="14">
        <v>3.57</v>
      </c>
      <c r="H74" s="61">
        <v>781</v>
      </c>
      <c r="I74" s="12">
        <v>9.2999999999999992E-3</v>
      </c>
      <c r="J74" s="12">
        <v>-1.1999999999999999E-3</v>
      </c>
      <c r="K74" s="2">
        <v>1218294096.8900001</v>
      </c>
      <c r="L74" s="3">
        <f t="shared" si="20"/>
        <v>4.2671208554682883E-3</v>
      </c>
      <c r="M74" s="14">
        <v>3.57</v>
      </c>
      <c r="N74" s="14">
        <v>3.57</v>
      </c>
      <c r="O74" s="61">
        <v>781</v>
      </c>
      <c r="P74" s="12">
        <v>9.2999999999999992E-3</v>
      </c>
      <c r="Q74" s="12">
        <v>-1.1999999999999999E-3</v>
      </c>
      <c r="R74" s="80">
        <f t="shared" si="26"/>
        <v>0</v>
      </c>
      <c r="S74" s="80">
        <f t="shared" si="27"/>
        <v>0</v>
      </c>
      <c r="T74" s="80">
        <f t="shared" si="28"/>
        <v>0</v>
      </c>
      <c r="U74" s="81">
        <f t="shared" si="29"/>
        <v>0</v>
      </c>
      <c r="V74" s="83">
        <f t="shared" si="30"/>
        <v>0</v>
      </c>
    </row>
    <row r="75" spans="1:22">
      <c r="A75" s="140">
        <v>64</v>
      </c>
      <c r="B75" s="120" t="s">
        <v>116</v>
      </c>
      <c r="C75" s="124" t="s">
        <v>40</v>
      </c>
      <c r="D75" s="2">
        <v>1912100376.45</v>
      </c>
      <c r="E75" s="3">
        <f t="shared" si="31"/>
        <v>6.6286752261937951E-3</v>
      </c>
      <c r="F75" s="14">
        <v>101.87</v>
      </c>
      <c r="G75" s="14">
        <v>101.87</v>
      </c>
      <c r="H75" s="60">
        <v>178</v>
      </c>
      <c r="I75" s="5">
        <v>1.9E-3</v>
      </c>
      <c r="J75" s="5">
        <v>0.105</v>
      </c>
      <c r="K75" s="2">
        <v>1346009660.27</v>
      </c>
      <c r="L75" s="3">
        <f t="shared" si="20"/>
        <v>4.7144494155079951E-3</v>
      </c>
      <c r="M75" s="14">
        <v>101.97</v>
      </c>
      <c r="N75" s="14">
        <v>101.97</v>
      </c>
      <c r="O75" s="60">
        <v>180</v>
      </c>
      <c r="P75" s="5">
        <v>1.9E-3</v>
      </c>
      <c r="Q75" s="5">
        <v>0.1032</v>
      </c>
      <c r="R75" s="80">
        <f t="shared" si="26"/>
        <v>-0.29605700786012207</v>
      </c>
      <c r="S75" s="80">
        <f t="shared" si="27"/>
        <v>9.8164327083532263E-4</v>
      </c>
      <c r="T75" s="80">
        <f t="shared" si="28"/>
        <v>1.1235955056179775E-2</v>
      </c>
      <c r="U75" s="81">
        <f t="shared" si="29"/>
        <v>0</v>
      </c>
      <c r="V75" s="83">
        <f t="shared" si="30"/>
        <v>-1.799999999999996E-3</v>
      </c>
    </row>
    <row r="76" spans="1:22">
      <c r="A76" s="140">
        <v>65</v>
      </c>
      <c r="B76" s="119" t="s">
        <v>117</v>
      </c>
      <c r="C76" s="120" t="s">
        <v>17</v>
      </c>
      <c r="D76" s="2">
        <v>1200998162.55</v>
      </c>
      <c r="E76" s="3">
        <f t="shared" si="31"/>
        <v>4.1634983523092407E-3</v>
      </c>
      <c r="F76" s="14">
        <v>338.18849999999998</v>
      </c>
      <c r="G76" s="14">
        <v>338.18849999999998</v>
      </c>
      <c r="H76" s="60">
        <v>103</v>
      </c>
      <c r="I76" s="5">
        <v>2.2000000000000001E-3</v>
      </c>
      <c r="J76" s="5">
        <v>0.12790000000000001</v>
      </c>
      <c r="K76" s="2">
        <v>1200998162.55</v>
      </c>
      <c r="L76" s="3">
        <f t="shared" si="20"/>
        <v>4.2065411954950293E-3</v>
      </c>
      <c r="M76" s="14">
        <v>338.18849999999998</v>
      </c>
      <c r="N76" s="14">
        <v>338.18849999999998</v>
      </c>
      <c r="O76" s="60">
        <v>103</v>
      </c>
      <c r="P76" s="5">
        <v>2.2000000000000001E-3</v>
      </c>
      <c r="Q76" s="5">
        <v>0.12790000000000001</v>
      </c>
      <c r="R76" s="80">
        <f t="shared" si="26"/>
        <v>0</v>
      </c>
      <c r="S76" s="80">
        <f t="shared" si="27"/>
        <v>0</v>
      </c>
      <c r="T76" s="80">
        <f t="shared" si="28"/>
        <v>0</v>
      </c>
      <c r="U76" s="81">
        <f t="shared" si="29"/>
        <v>0</v>
      </c>
      <c r="V76" s="83">
        <f t="shared" si="30"/>
        <v>0</v>
      </c>
    </row>
    <row r="77" spans="1:22">
      <c r="A77" s="136">
        <v>66</v>
      </c>
      <c r="B77" s="119" t="s">
        <v>118</v>
      </c>
      <c r="C77" s="120" t="s">
        <v>38</v>
      </c>
      <c r="D77" s="2">
        <v>54922402.880000003</v>
      </c>
      <c r="E77" s="3">
        <f t="shared" si="31"/>
        <v>1.9039940361792546E-4</v>
      </c>
      <c r="F77" s="14">
        <v>11.965131</v>
      </c>
      <c r="G77" s="2">
        <v>12.178651</v>
      </c>
      <c r="H77" s="60">
        <v>55</v>
      </c>
      <c r="I77" s="5">
        <v>2.0000000000000001E-4</v>
      </c>
      <c r="J77" s="5">
        <v>7.8799999999999995E-2</v>
      </c>
      <c r="K77" s="2">
        <v>55007063.159999996</v>
      </c>
      <c r="L77" s="3">
        <f t="shared" si="20"/>
        <v>1.9266430577582482E-4</v>
      </c>
      <c r="M77" s="14">
        <v>11.983575</v>
      </c>
      <c r="N77" s="2">
        <v>12.204718</v>
      </c>
      <c r="O77" s="60">
        <v>55</v>
      </c>
      <c r="P77" s="5">
        <v>2.0000000000000001E-4</v>
      </c>
      <c r="Q77" s="5">
        <v>8.0799999999999997E-2</v>
      </c>
      <c r="R77" s="80">
        <f t="shared" si="26"/>
        <v>1.5414525869337518E-3</v>
      </c>
      <c r="S77" s="80">
        <f t="shared" si="27"/>
        <v>2.1403848422948809E-3</v>
      </c>
      <c r="T77" s="80">
        <f t="shared" si="28"/>
        <v>0</v>
      </c>
      <c r="U77" s="81">
        <f t="shared" si="29"/>
        <v>0</v>
      </c>
      <c r="V77" s="83">
        <f t="shared" si="30"/>
        <v>2.0000000000000018E-3</v>
      </c>
    </row>
    <row r="78" spans="1:22">
      <c r="A78" s="138">
        <v>67</v>
      </c>
      <c r="B78" s="119" t="s">
        <v>237</v>
      </c>
      <c r="C78" s="120" t="s">
        <v>238</v>
      </c>
      <c r="D78" s="2">
        <v>135902393.08000001</v>
      </c>
      <c r="E78" s="3">
        <f t="shared" si="31"/>
        <v>4.7113260228648032E-4</v>
      </c>
      <c r="F78" s="2">
        <v>111.07</v>
      </c>
      <c r="G78" s="2">
        <v>111.07</v>
      </c>
      <c r="H78" s="60">
        <v>73</v>
      </c>
      <c r="I78" s="5">
        <v>0</v>
      </c>
      <c r="J78" s="5">
        <v>0.1103</v>
      </c>
      <c r="K78" s="2">
        <v>130119673.78</v>
      </c>
      <c r="L78" s="3">
        <f t="shared" si="20"/>
        <v>4.557490470574779E-4</v>
      </c>
      <c r="M78" s="2">
        <v>111.29</v>
      </c>
      <c r="N78" s="2">
        <v>111.29</v>
      </c>
      <c r="O78" s="60">
        <v>72</v>
      </c>
      <c r="P78" s="5">
        <v>-2.3E-3</v>
      </c>
      <c r="Q78" s="5">
        <v>0.1103</v>
      </c>
      <c r="R78" s="80">
        <f t="shared" ref="R78" si="32">((K78-D78)/D78)</f>
        <v>-4.2550533283074482E-2</v>
      </c>
      <c r="S78" s="80">
        <f t="shared" ref="S78" si="33">((N78-G78)/G78)</f>
        <v>1.980732871162448E-3</v>
      </c>
      <c r="T78" s="80">
        <f t="shared" ref="T78" si="34">((O78-H78)/H78)</f>
        <v>-1.3698630136986301E-2</v>
      </c>
      <c r="U78" s="81">
        <f t="shared" si="29"/>
        <v>-2.3E-3</v>
      </c>
      <c r="V78" s="83">
        <f t="shared" si="30"/>
        <v>0</v>
      </c>
    </row>
    <row r="79" spans="1:22">
      <c r="A79" s="134">
        <v>68</v>
      </c>
      <c r="B79" s="119" t="s">
        <v>119</v>
      </c>
      <c r="C79" s="120" t="s">
        <v>120</v>
      </c>
      <c r="D79" s="2">
        <v>6794275642.8900003</v>
      </c>
      <c r="E79" s="3">
        <f t="shared" si="31"/>
        <v>2.3553704182398896E-2</v>
      </c>
      <c r="F79" s="14">
        <v>1.1000000000000001</v>
      </c>
      <c r="G79" s="14">
        <v>1.1000000000000001</v>
      </c>
      <c r="H79" s="60">
        <v>3658</v>
      </c>
      <c r="I79" s="5">
        <v>0</v>
      </c>
      <c r="J79" s="5">
        <v>0.1004</v>
      </c>
      <c r="K79" s="2">
        <v>6837273433.3400002</v>
      </c>
      <c r="L79" s="3">
        <f t="shared" si="20"/>
        <v>2.3947807131645845E-2</v>
      </c>
      <c r="M79" s="14">
        <v>1.1100000000000001</v>
      </c>
      <c r="N79" s="14">
        <v>1.1100000000000001</v>
      </c>
      <c r="O79" s="60">
        <v>3678</v>
      </c>
      <c r="P79" s="5">
        <v>0</v>
      </c>
      <c r="Q79" s="5">
        <v>0.10050000000000001</v>
      </c>
      <c r="R79" s="80">
        <f t="shared" si="26"/>
        <v>6.3285319451229019E-3</v>
      </c>
      <c r="S79" s="80">
        <f t="shared" si="27"/>
        <v>9.0909090909090974E-3</v>
      </c>
      <c r="T79" s="80">
        <f t="shared" si="28"/>
        <v>5.4674685620557679E-3</v>
      </c>
      <c r="U79" s="81">
        <f t="shared" si="29"/>
        <v>0</v>
      </c>
      <c r="V79" s="83">
        <f t="shared" si="30"/>
        <v>1.0000000000000286E-4</v>
      </c>
    </row>
    <row r="80" spans="1:22" ht="14.25" customHeight="1">
      <c r="A80" s="135">
        <v>69</v>
      </c>
      <c r="B80" s="119" t="s">
        <v>121</v>
      </c>
      <c r="C80" s="120" t="s">
        <v>42</v>
      </c>
      <c r="D80" s="2">
        <v>22286798334.799999</v>
      </c>
      <c r="E80" s="3">
        <f t="shared" si="31"/>
        <v>7.7261607085368916E-2</v>
      </c>
      <c r="F80" s="2">
        <v>4979.18</v>
      </c>
      <c r="G80" s="2">
        <v>4979.18</v>
      </c>
      <c r="H80" s="60">
        <v>1136</v>
      </c>
      <c r="I80" s="5">
        <v>1.9E-3</v>
      </c>
      <c r="J80" s="5">
        <v>8.9099999999999999E-2</v>
      </c>
      <c r="K80" s="2">
        <v>22286798334.799999</v>
      </c>
      <c r="L80" s="3">
        <f t="shared" si="20"/>
        <v>7.8060348661959919E-2</v>
      </c>
      <c r="M80" s="2">
        <v>4989.01</v>
      </c>
      <c r="N80" s="2">
        <v>4989.01</v>
      </c>
      <c r="O80" s="60">
        <v>1136</v>
      </c>
      <c r="P80" s="5">
        <v>2E-3</v>
      </c>
      <c r="Q80" s="5">
        <v>9.1200000000000003E-2</v>
      </c>
      <c r="R80" s="80">
        <f t="shared" si="26"/>
        <v>0</v>
      </c>
      <c r="S80" s="80">
        <f t="shared" si="27"/>
        <v>1.9742206548066001E-3</v>
      </c>
      <c r="T80" s="80">
        <f t="shared" si="28"/>
        <v>0</v>
      </c>
      <c r="U80" s="81">
        <f t="shared" si="29"/>
        <v>1.0000000000000005E-4</v>
      </c>
      <c r="V80" s="83">
        <f t="shared" si="30"/>
        <v>2.1000000000000046E-3</v>
      </c>
    </row>
    <row r="81" spans="1:29">
      <c r="A81" s="135">
        <v>70</v>
      </c>
      <c r="B81" s="119" t="s">
        <v>122</v>
      </c>
      <c r="C81" s="120" t="s">
        <v>42</v>
      </c>
      <c r="D81" s="2">
        <v>36208372197.580002</v>
      </c>
      <c r="E81" s="3">
        <f t="shared" si="31"/>
        <v>0.12552350426943129</v>
      </c>
      <c r="F81" s="14">
        <v>255.43</v>
      </c>
      <c r="G81" s="14">
        <v>255.43</v>
      </c>
      <c r="H81" s="60">
        <v>11775</v>
      </c>
      <c r="I81" s="5">
        <v>1E-4</v>
      </c>
      <c r="J81" s="5">
        <v>4.2299999999999997E-2</v>
      </c>
      <c r="K81" s="2">
        <v>35694920509.970001</v>
      </c>
      <c r="L81" s="3">
        <f>(K81/$K$89)</f>
        <v>0.12502280043151864</v>
      </c>
      <c r="M81" s="14">
        <v>255.46</v>
      </c>
      <c r="N81" s="14">
        <v>255.46</v>
      </c>
      <c r="O81" s="60">
        <v>11780</v>
      </c>
      <c r="P81" s="5">
        <v>1E-4</v>
      </c>
      <c r="Q81" s="5">
        <v>4.24E-2</v>
      </c>
      <c r="R81" s="80">
        <f t="shared" si="26"/>
        <v>-1.418046867194757E-2</v>
      </c>
      <c r="S81" s="80">
        <f t="shared" si="27"/>
        <v>1.174490075558906E-4</v>
      </c>
      <c r="T81" s="80">
        <f t="shared" si="28"/>
        <v>4.2462845010615713E-4</v>
      </c>
      <c r="U81" s="81">
        <f t="shared" si="29"/>
        <v>0</v>
      </c>
      <c r="V81" s="83">
        <f t="shared" si="30"/>
        <v>1.0000000000000286E-4</v>
      </c>
    </row>
    <row r="82" spans="1:29" ht="12.75" customHeight="1">
      <c r="A82" s="135">
        <v>71</v>
      </c>
      <c r="B82" s="119" t="s">
        <v>123</v>
      </c>
      <c r="C82" s="120" t="s">
        <v>42</v>
      </c>
      <c r="D82" s="2">
        <v>292958848.62</v>
      </c>
      <c r="E82" s="3">
        <f t="shared" si="31"/>
        <v>1.0155999580665489E-3</v>
      </c>
      <c r="F82" s="2">
        <v>5182.08</v>
      </c>
      <c r="G82" s="7">
        <v>5206.3100000000004</v>
      </c>
      <c r="H82" s="60">
        <v>1132</v>
      </c>
      <c r="I82" s="5">
        <v>5.8999999999999999E-3</v>
      </c>
      <c r="J82" s="5">
        <v>0.2225</v>
      </c>
      <c r="K82" s="2">
        <v>294798411.19999999</v>
      </c>
      <c r="L82" s="3">
        <f t="shared" si="20"/>
        <v>1.0325425131761233E-3</v>
      </c>
      <c r="M82" s="2">
        <v>5214.47</v>
      </c>
      <c r="N82" s="7">
        <v>5239.1000000000004</v>
      </c>
      <c r="O82" s="60">
        <v>1132</v>
      </c>
      <c r="P82" s="5">
        <v>6.3E-3</v>
      </c>
      <c r="Q82" s="5">
        <v>0.23019999999999999</v>
      </c>
      <c r="R82" s="80">
        <f t="shared" si="26"/>
        <v>6.2792524911445815E-3</v>
      </c>
      <c r="S82" s="80">
        <f t="shared" si="27"/>
        <v>6.2981266962589552E-3</v>
      </c>
      <c r="T82" s="80">
        <f t="shared" si="28"/>
        <v>0</v>
      </c>
      <c r="U82" s="81">
        <f t="shared" si="29"/>
        <v>4.0000000000000018E-4</v>
      </c>
      <c r="V82" s="83">
        <f t="shared" si="30"/>
        <v>7.6999999999999846E-3</v>
      </c>
    </row>
    <row r="83" spans="1:29" ht="12.75" customHeight="1">
      <c r="A83" s="135">
        <v>72</v>
      </c>
      <c r="B83" s="119" t="s">
        <v>124</v>
      </c>
      <c r="C83" s="120" t="s">
        <v>42</v>
      </c>
      <c r="D83" s="2">
        <v>18142619509.669998</v>
      </c>
      <c r="E83" s="3">
        <f t="shared" si="31"/>
        <v>6.2894989176921212E-2</v>
      </c>
      <c r="F83" s="14">
        <v>125.25</v>
      </c>
      <c r="G83" s="14">
        <v>125.25</v>
      </c>
      <c r="H83" s="60">
        <v>5723</v>
      </c>
      <c r="I83" s="5">
        <v>1.9E-3</v>
      </c>
      <c r="J83" s="5">
        <v>8.9099999999999999E-2</v>
      </c>
      <c r="K83" s="2">
        <v>17790918309.02</v>
      </c>
      <c r="L83" s="3">
        <f t="shared" si="20"/>
        <v>6.2313359925281094E-2</v>
      </c>
      <c r="M83" s="14">
        <v>125.41</v>
      </c>
      <c r="N83" s="14">
        <v>125.41</v>
      </c>
      <c r="O83" s="60">
        <v>5741</v>
      </c>
      <c r="P83" s="5">
        <v>1.2999999999999999E-3</v>
      </c>
      <c r="Q83" s="5">
        <v>9.0499999999999997E-2</v>
      </c>
      <c r="R83" s="80">
        <f t="shared" si="26"/>
        <v>-1.9385359454986161E-2</v>
      </c>
      <c r="S83" s="80">
        <f t="shared" si="27"/>
        <v>1.2774451097804119E-3</v>
      </c>
      <c r="T83" s="80">
        <f t="shared" si="28"/>
        <v>3.1452035645640397E-3</v>
      </c>
      <c r="U83" s="81">
        <f t="shared" si="29"/>
        <v>-6.0000000000000006E-4</v>
      </c>
      <c r="V83" s="83">
        <f t="shared" si="30"/>
        <v>1.3999999999999985E-3</v>
      </c>
    </row>
    <row r="84" spans="1:29" ht="12.75" customHeight="1">
      <c r="A84" s="135">
        <v>73</v>
      </c>
      <c r="B84" s="119" t="s">
        <v>125</v>
      </c>
      <c r="C84" s="120" t="s">
        <v>42</v>
      </c>
      <c r="D84" s="2">
        <v>13753824721.129999</v>
      </c>
      <c r="E84" s="3">
        <f t="shared" si="31"/>
        <v>4.7680361510953465E-2</v>
      </c>
      <c r="F84" s="14">
        <v>350.74</v>
      </c>
      <c r="G84" s="14">
        <v>350.87</v>
      </c>
      <c r="H84" s="60">
        <v>17553</v>
      </c>
      <c r="I84" s="5">
        <v>1.4E-3</v>
      </c>
      <c r="J84" s="5">
        <v>5.5199999999999999E-2</v>
      </c>
      <c r="K84" s="2">
        <v>13753721678.209999</v>
      </c>
      <c r="L84" s="3">
        <f t="shared" si="20"/>
        <v>4.8172927015910187E-2</v>
      </c>
      <c r="M84" s="14">
        <v>351.55</v>
      </c>
      <c r="N84" s="14">
        <v>351.69</v>
      </c>
      <c r="O84" s="60">
        <v>17561</v>
      </c>
      <c r="P84" s="5">
        <v>2.3E-3</v>
      </c>
      <c r="Q84" s="5">
        <v>5.7700000000000001E-2</v>
      </c>
      <c r="R84" s="80">
        <f t="shared" si="26"/>
        <v>-7.4919465740879677E-6</v>
      </c>
      <c r="S84" s="80">
        <f t="shared" si="27"/>
        <v>2.3370479094821251E-3</v>
      </c>
      <c r="T84" s="80">
        <f t="shared" si="28"/>
        <v>4.557625477126417E-4</v>
      </c>
      <c r="U84" s="81">
        <f t="shared" si="29"/>
        <v>8.9999999999999998E-4</v>
      </c>
      <c r="V84" s="83">
        <f t="shared" si="30"/>
        <v>2.5000000000000022E-3</v>
      </c>
    </row>
    <row r="85" spans="1:29">
      <c r="A85" s="131">
        <v>74</v>
      </c>
      <c r="B85" s="119" t="s">
        <v>126</v>
      </c>
      <c r="C85" s="120" t="s">
        <v>45</v>
      </c>
      <c r="D85" s="2">
        <v>97603363444.539993</v>
      </c>
      <c r="E85" s="3">
        <f t="shared" si="31"/>
        <v>0.33836141932004343</v>
      </c>
      <c r="F85" s="2">
        <v>1.9421999999999999</v>
      </c>
      <c r="G85" s="2">
        <v>1.9421999999999999</v>
      </c>
      <c r="H85" s="60">
        <v>6101</v>
      </c>
      <c r="I85" s="5">
        <v>0.10199999999999999</v>
      </c>
      <c r="J85" s="5">
        <v>6.9000000000000006E-2</v>
      </c>
      <c r="K85" s="2">
        <v>95845579381.679993</v>
      </c>
      <c r="L85" s="3">
        <f t="shared" si="20"/>
        <v>0.33570274347388168</v>
      </c>
      <c r="M85" s="2">
        <v>1.9448000000000001</v>
      </c>
      <c r="N85" s="2">
        <v>1.9448000000000001</v>
      </c>
      <c r="O85" s="60">
        <v>6101</v>
      </c>
      <c r="P85" s="5">
        <v>0.10199999999999999</v>
      </c>
      <c r="Q85" s="5">
        <v>6.9000000000000006E-2</v>
      </c>
      <c r="R85" s="80">
        <f t="shared" si="26"/>
        <v>-1.800946197780167E-2</v>
      </c>
      <c r="S85" s="80">
        <f t="shared" si="27"/>
        <v>1.3386880856761187E-3</v>
      </c>
      <c r="T85" s="80">
        <f t="shared" si="28"/>
        <v>0</v>
      </c>
      <c r="U85" s="81">
        <f t="shared" si="29"/>
        <v>0</v>
      </c>
      <c r="V85" s="83">
        <f t="shared" si="30"/>
        <v>0</v>
      </c>
    </row>
    <row r="86" spans="1:29">
      <c r="A86" s="129">
        <v>75</v>
      </c>
      <c r="B86" s="119" t="s">
        <v>242</v>
      </c>
      <c r="C86" s="119" t="s">
        <v>243</v>
      </c>
      <c r="D86" s="2">
        <v>80774826.579999998</v>
      </c>
      <c r="E86" s="3">
        <f t="shared" si="31"/>
        <v>2.8002195828496411E-4</v>
      </c>
      <c r="F86" s="2">
        <v>101.06743529048939</v>
      </c>
      <c r="G86" s="2">
        <v>101.06743529048939</v>
      </c>
      <c r="H86" s="60">
        <v>49</v>
      </c>
      <c r="I86" s="5">
        <v>1.5529035224597183E-3</v>
      </c>
      <c r="J86" s="5">
        <v>1.0674352904893825E-2</v>
      </c>
      <c r="K86" s="2">
        <v>80951789.049999997</v>
      </c>
      <c r="L86" s="3">
        <f t="shared" si="20"/>
        <v>2.83536683157641E-4</v>
      </c>
      <c r="M86" s="2">
        <v>101.22301211244431</v>
      </c>
      <c r="N86" s="2">
        <v>101.22301211244431</v>
      </c>
      <c r="O86" s="60">
        <v>50</v>
      </c>
      <c r="P86" s="5">
        <v>1.5393367953561166E-3</v>
      </c>
      <c r="Q86" s="5">
        <v>1.2230121124443105E-2</v>
      </c>
      <c r="R86" s="80">
        <f t="shared" ref="R86" si="35">((K86-D86)/D86)</f>
        <v>2.1908121316080308E-3</v>
      </c>
      <c r="S86" s="80">
        <f t="shared" ref="S86" si="36">((N86-G86)/G86)</f>
        <v>1.5393367953561166E-3</v>
      </c>
      <c r="T86" s="80">
        <f t="shared" ref="T86" si="37">((O86-H86)/H86)</f>
        <v>2.0408163265306121E-2</v>
      </c>
      <c r="U86" s="81">
        <f t="shared" ref="U86" si="38">P86-I86</f>
        <v>-1.3566727103601732E-5</v>
      </c>
      <c r="V86" s="83">
        <f t="shared" ref="V86" si="39">Q86-J86</f>
        <v>1.5557682195492806E-3</v>
      </c>
    </row>
    <row r="87" spans="1:29" ht="15.75" customHeight="1">
      <c r="A87" s="138">
        <v>76</v>
      </c>
      <c r="B87" s="119" t="s">
        <v>127</v>
      </c>
      <c r="C87" s="120" t="s">
        <v>32</v>
      </c>
      <c r="D87" s="2">
        <v>9084544257.0037994</v>
      </c>
      <c r="E87" s="3">
        <f t="shared" si="31"/>
        <v>3.1493374615334621E-2</v>
      </c>
      <c r="F87" s="14">
        <v>1</v>
      </c>
      <c r="G87" s="14">
        <v>1</v>
      </c>
      <c r="H87" s="60">
        <v>5519</v>
      </c>
      <c r="I87" s="5">
        <v>0.06</v>
      </c>
      <c r="J87" s="5">
        <v>0.06</v>
      </c>
      <c r="K87" s="2">
        <v>9045475487.7231998</v>
      </c>
      <c r="L87" s="3">
        <f t="shared" si="20"/>
        <v>3.1682117807040382E-2</v>
      </c>
      <c r="M87" s="14">
        <v>1</v>
      </c>
      <c r="N87" s="14">
        <v>1</v>
      </c>
      <c r="O87" s="60">
        <v>5519</v>
      </c>
      <c r="P87" s="5">
        <v>0.06</v>
      </c>
      <c r="Q87" s="5">
        <v>0.06</v>
      </c>
      <c r="R87" s="80">
        <f t="shared" si="26"/>
        <v>-4.300575590292185E-3</v>
      </c>
      <c r="S87" s="80">
        <f t="shared" si="27"/>
        <v>0</v>
      </c>
      <c r="T87" s="80">
        <f t="shared" si="28"/>
        <v>0</v>
      </c>
      <c r="U87" s="81">
        <f t="shared" si="29"/>
        <v>0</v>
      </c>
      <c r="V87" s="83">
        <f t="shared" si="30"/>
        <v>0</v>
      </c>
    </row>
    <row r="88" spans="1:29">
      <c r="A88" s="132">
        <v>77</v>
      </c>
      <c r="B88" s="119" t="s">
        <v>128</v>
      </c>
      <c r="C88" s="120" t="s">
        <v>91</v>
      </c>
      <c r="D88" s="2">
        <v>2658871959.5799999</v>
      </c>
      <c r="E88" s="3">
        <f t="shared" si="31"/>
        <v>9.2175070436477016E-3</v>
      </c>
      <c r="F88" s="14">
        <v>25.3339</v>
      </c>
      <c r="G88" s="14">
        <v>25.3339</v>
      </c>
      <c r="H88" s="60">
        <v>1321</v>
      </c>
      <c r="I88" s="5">
        <v>0</v>
      </c>
      <c r="J88" s="5">
        <v>0.1042</v>
      </c>
      <c r="K88" s="2">
        <v>2605069040.9299998</v>
      </c>
      <c r="L88" s="3">
        <f t="shared" si="20"/>
        <v>9.1243522092603977E-3</v>
      </c>
      <c r="M88" s="14">
        <v>25.374700000000001</v>
      </c>
      <c r="N88" s="14">
        <v>25.374700000000001</v>
      </c>
      <c r="O88" s="60">
        <v>1319</v>
      </c>
      <c r="P88" s="5">
        <v>0</v>
      </c>
      <c r="Q88" s="5">
        <v>0.1043</v>
      </c>
      <c r="R88" s="80">
        <f t="shared" si="26"/>
        <v>-2.0235242414041968E-2</v>
      </c>
      <c r="S88" s="80">
        <f t="shared" si="27"/>
        <v>1.6104902916645617E-3</v>
      </c>
      <c r="T88" s="80">
        <f t="shared" si="28"/>
        <v>-1.514004542013626E-3</v>
      </c>
      <c r="U88" s="81">
        <f t="shared" si="29"/>
        <v>0</v>
      </c>
      <c r="V88" s="83">
        <f t="shared" si="30"/>
        <v>1.0000000000000286E-4</v>
      </c>
    </row>
    <row r="89" spans="1:29">
      <c r="A89" s="75"/>
      <c r="B89" s="19"/>
      <c r="C89" s="71" t="s">
        <v>46</v>
      </c>
      <c r="D89" s="59">
        <f>SUM(D58:D88)</f>
        <v>288458901847.26001</v>
      </c>
      <c r="E89" s="104">
        <f>(D89/$D$177)</f>
        <v>0.12809630353912438</v>
      </c>
      <c r="F89" s="30"/>
      <c r="G89" s="11"/>
      <c r="H89" s="65">
        <f>SUM(H58:H88)</f>
        <v>64184</v>
      </c>
      <c r="I89" s="12"/>
      <c r="J89" s="12"/>
      <c r="K89" s="59">
        <f>SUM(K58:K88)</f>
        <v>285507286565.07678</v>
      </c>
      <c r="L89" s="104">
        <f>(K89/$K$177)</f>
        <v>0.13724963300621834</v>
      </c>
      <c r="M89" s="30"/>
      <c r="N89" s="11"/>
      <c r="O89" s="65">
        <f>SUM(O58:O88)</f>
        <v>64246</v>
      </c>
      <c r="P89" s="12"/>
      <c r="Q89" s="12"/>
      <c r="R89" s="80">
        <f t="shared" si="26"/>
        <v>-1.0232359838026834E-2</v>
      </c>
      <c r="S89" s="80" t="e">
        <f t="shared" si="27"/>
        <v>#DIV/0!</v>
      </c>
      <c r="T89" s="80">
        <f t="shared" si="28"/>
        <v>9.659728281191574E-4</v>
      </c>
      <c r="U89" s="81">
        <f t="shared" si="29"/>
        <v>0</v>
      </c>
      <c r="V89" s="83">
        <f t="shared" si="30"/>
        <v>0</v>
      </c>
    </row>
    <row r="90" spans="1:29" ht="8.25" customHeight="1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</row>
    <row r="91" spans="1:29" ht="15" customHeight="1">
      <c r="A91" s="142" t="s">
        <v>129</v>
      </c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</row>
    <row r="92" spans="1:29">
      <c r="A92" s="143" t="s">
        <v>231</v>
      </c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Z92" s="98"/>
      <c r="AA92" s="98"/>
      <c r="AB92" s="107"/>
      <c r="AC92" s="98"/>
    </row>
    <row r="93" spans="1:29" ht="16.5" customHeight="1">
      <c r="A93" s="140">
        <v>78</v>
      </c>
      <c r="B93" s="119" t="s">
        <v>130</v>
      </c>
      <c r="C93" s="120" t="s">
        <v>17</v>
      </c>
      <c r="D93" s="2">
        <v>1557290591.6800001</v>
      </c>
      <c r="E93" s="3">
        <f>(D93/$D$116)</f>
        <v>1.7654478862626668E-3</v>
      </c>
      <c r="F93" s="2">
        <v>109.85290000000001</v>
      </c>
      <c r="G93" s="2">
        <v>109.85290000000001</v>
      </c>
      <c r="H93" s="60">
        <v>229</v>
      </c>
      <c r="I93" s="5">
        <v>1.1000000000000001E-3</v>
      </c>
      <c r="J93" s="5">
        <v>6.1199999999999997E-2</v>
      </c>
      <c r="K93" s="2">
        <v>1557290591.6800001</v>
      </c>
      <c r="L93" s="3">
        <f t="shared" ref="L93:L104" si="40">(K93/$K$116)</f>
        <v>2.1368676915126564E-3</v>
      </c>
      <c r="M93" s="2">
        <v>109.85290000000001</v>
      </c>
      <c r="N93" s="2">
        <v>109.85290000000001</v>
      </c>
      <c r="O93" s="60">
        <v>229</v>
      </c>
      <c r="P93" s="5">
        <v>1.1000000000000001E-3</v>
      </c>
      <c r="Q93" s="5">
        <v>6.1199999999999997E-2</v>
      </c>
      <c r="R93" s="81">
        <f t="shared" ref="R93" si="41">((K93-D93)/D93)</f>
        <v>0</v>
      </c>
      <c r="S93" s="81">
        <f t="shared" ref="S93" si="42">((N93-G93)/G93)</f>
        <v>0</v>
      </c>
      <c r="T93" s="81">
        <f t="shared" ref="T93" si="43">((O93-H93)/H93)</f>
        <v>0</v>
      </c>
      <c r="U93" s="81">
        <f t="shared" ref="U93" si="44">P93-I93</f>
        <v>0</v>
      </c>
      <c r="V93" s="83">
        <f t="shared" ref="V93" si="45">Q93-J93</f>
        <v>0</v>
      </c>
      <c r="Z93" s="98"/>
      <c r="AA93" s="108"/>
      <c r="AB93" s="98"/>
      <c r="AC93" s="98"/>
    </row>
    <row r="94" spans="1:29">
      <c r="A94" s="140">
        <v>79</v>
      </c>
      <c r="B94" s="119" t="s">
        <v>131</v>
      </c>
      <c r="C94" s="120" t="s">
        <v>21</v>
      </c>
      <c r="D94" s="2">
        <f>10446632.72*1012.62</f>
        <v>10578469224.926401</v>
      </c>
      <c r="E94" s="3">
        <f>(D94/$D$116)</f>
        <v>1.1992454223263277E-2</v>
      </c>
      <c r="F94" s="2">
        <f>1.1711*1021.62</f>
        <v>1196.4191820000001</v>
      </c>
      <c r="G94" s="2">
        <f>1.1711*1021.62</f>
        <v>1196.4191820000001</v>
      </c>
      <c r="H94" s="60">
        <v>284</v>
      </c>
      <c r="I94" s="5">
        <v>5.3499999999999999E-2</v>
      </c>
      <c r="J94" s="5">
        <v>4.3400000000000001E-2</v>
      </c>
      <c r="K94" s="2">
        <f>10568588.85*861.652</f>
        <v>9106445719.780201</v>
      </c>
      <c r="L94" s="3">
        <f t="shared" si="40"/>
        <v>1.2495593145605171E-2</v>
      </c>
      <c r="M94" s="2">
        <f>1.1726*861.652</f>
        <v>1010.3731352000001</v>
      </c>
      <c r="N94" s="2">
        <f>1.1726*861.652</f>
        <v>1010.3731352000001</v>
      </c>
      <c r="O94" s="60">
        <v>284</v>
      </c>
      <c r="P94" s="5">
        <v>7.5700000000000003E-2</v>
      </c>
      <c r="Q94" s="5">
        <v>4.41E-2</v>
      </c>
      <c r="R94" s="81">
        <f t="shared" ref="R94:R104" si="46">((K94-D94)/D94)</f>
        <v>-0.13915278986468307</v>
      </c>
      <c r="S94" s="81">
        <f t="shared" ref="S94:S104" si="47">((N94-G94)/G94)</f>
        <v>-0.15550239380899528</v>
      </c>
      <c r="T94" s="81">
        <f t="shared" ref="T94:T104" si="48">((O94-H94)/H94)</f>
        <v>0</v>
      </c>
      <c r="U94" s="81">
        <f t="shared" ref="U94:U104" si="49">P94-I94</f>
        <v>2.2200000000000004E-2</v>
      </c>
      <c r="V94" s="83">
        <f t="shared" ref="V94:V104" si="50">Q94-J94</f>
        <v>6.9999999999999923E-4</v>
      </c>
      <c r="Z94" s="98"/>
      <c r="AA94" s="98"/>
      <c r="AB94" s="98"/>
      <c r="AC94" s="98"/>
    </row>
    <row r="95" spans="1:29">
      <c r="A95" s="140">
        <v>80</v>
      </c>
      <c r="B95" s="119" t="s">
        <v>244</v>
      </c>
      <c r="C95" s="120" t="s">
        <v>25</v>
      </c>
      <c r="D95" s="2">
        <f>372662.71*1013.12</f>
        <v>377552044.75520003</v>
      </c>
      <c r="E95" s="3">
        <v>0</v>
      </c>
      <c r="F95" s="2">
        <f>1.0942*1013.12</f>
        <v>1108.5559040000001</v>
      </c>
      <c r="G95" s="2">
        <f>1.0942*1013.12</f>
        <v>1108.5559040000001</v>
      </c>
      <c r="H95" s="60">
        <v>19</v>
      </c>
      <c r="I95" s="5">
        <v>1.85E-4</v>
      </c>
      <c r="J95" s="5">
        <v>9.4200000000000006E-2</v>
      </c>
      <c r="K95" s="2">
        <f>372662.71*1013.12</f>
        <v>377552044.75520003</v>
      </c>
      <c r="L95" s="3">
        <f t="shared" si="40"/>
        <v>5.1806565236586777E-4</v>
      </c>
      <c r="M95" s="2">
        <f>1.0942*1013.12</f>
        <v>1108.5559040000001</v>
      </c>
      <c r="N95" s="2">
        <f>1.0942*1013.12</f>
        <v>1108.5559040000001</v>
      </c>
      <c r="O95" s="60">
        <v>19</v>
      </c>
      <c r="P95" s="5">
        <v>1.85E-4</v>
      </c>
      <c r="Q95" s="5">
        <v>9.4200000000000006E-2</v>
      </c>
      <c r="R95" s="81">
        <f t="shared" ref="R95" si="51">((K95-D95)/D95)</f>
        <v>0</v>
      </c>
      <c r="S95" s="81">
        <f t="shared" ref="S95" si="52">((N95-G95)/G95)</f>
        <v>0</v>
      </c>
      <c r="T95" s="81">
        <f t="shared" ref="T95" si="53">((O95-H95)/H95)</f>
        <v>0</v>
      </c>
      <c r="U95" s="81">
        <f t="shared" ref="U95" si="54">P95-I95</f>
        <v>0</v>
      </c>
      <c r="V95" s="83">
        <f t="shared" si="50"/>
        <v>0</v>
      </c>
      <c r="Z95" s="98"/>
      <c r="AA95" s="98"/>
      <c r="AB95" s="98"/>
      <c r="AC95" s="98"/>
    </row>
    <row r="96" spans="1:29">
      <c r="A96" s="140">
        <v>81</v>
      </c>
      <c r="B96" s="119" t="s">
        <v>140</v>
      </c>
      <c r="C96" s="120" t="s">
        <v>64</v>
      </c>
      <c r="D96" s="2">
        <f>293046.23*1013.12</f>
        <v>296890996.53759998</v>
      </c>
      <c r="E96" s="3">
        <f t="shared" ref="E96:E104" si="55">(D96/$D$116)</f>
        <v>3.3657532196497512E-4</v>
      </c>
      <c r="F96" s="2">
        <f>101.69*1013.12</f>
        <v>103024.1728</v>
      </c>
      <c r="G96" s="2">
        <f>102.37*1013.12</f>
        <v>103713.0944</v>
      </c>
      <c r="H96" s="60">
        <v>32</v>
      </c>
      <c r="I96" s="5">
        <v>1.4E-3</v>
      </c>
      <c r="J96" s="5">
        <v>2.0299999999999999E-2</v>
      </c>
      <c r="K96" s="2">
        <f>293351.77*862.152</f>
        <v>252913815.20904002</v>
      </c>
      <c r="L96" s="3">
        <f t="shared" si="40"/>
        <v>3.4704079209415335E-4</v>
      </c>
      <c r="M96" s="2">
        <f>101.79*862.152</f>
        <v>87758.452080000003</v>
      </c>
      <c r="N96" s="2">
        <f>102.53*862.152</f>
        <v>88396.444560000004</v>
      </c>
      <c r="O96" s="60">
        <v>34</v>
      </c>
      <c r="P96" s="5">
        <v>1.2999999999999999E-3</v>
      </c>
      <c r="Q96" s="5">
        <v>2.1600000000000001E-2</v>
      </c>
      <c r="R96" s="81">
        <f t="shared" ref="R96" si="56">((K96-D96)/D96)</f>
        <v>-0.14812568195543258</v>
      </c>
      <c r="S96" s="81">
        <f t="shared" ref="S96" si="57">((N96-G96)/G96)</f>
        <v>-0.14768289316416344</v>
      </c>
      <c r="T96" s="81">
        <f t="shared" ref="T96" si="58">((O96-H96)/H96)</f>
        <v>6.25E-2</v>
      </c>
      <c r="U96" s="81">
        <f t="shared" ref="U96" si="59">P96-I96</f>
        <v>-1.0000000000000005E-4</v>
      </c>
      <c r="V96" s="83">
        <f t="shared" ref="V96" si="60">Q96-J96</f>
        <v>1.3000000000000025E-3</v>
      </c>
      <c r="Z96" s="98"/>
      <c r="AA96" s="98"/>
      <c r="AB96" s="98"/>
      <c r="AC96" s="98"/>
    </row>
    <row r="97" spans="1:24">
      <c r="A97" s="140">
        <v>82</v>
      </c>
      <c r="B97" s="119" t="s">
        <v>132</v>
      </c>
      <c r="C97" s="120" t="s">
        <v>67</v>
      </c>
      <c r="D97" s="2">
        <v>2670406649.1455998</v>
      </c>
      <c r="E97" s="3">
        <f t="shared" si="55"/>
        <v>3.0273500651602355E-3</v>
      </c>
      <c r="F97" s="2">
        <v>108507.887424</v>
      </c>
      <c r="G97" s="2">
        <v>108507.887424</v>
      </c>
      <c r="H97" s="60">
        <v>44</v>
      </c>
      <c r="I97" s="5">
        <v>1.1937368544052758E-3</v>
      </c>
      <c r="J97" s="5">
        <v>5.8069782609332717E-2</v>
      </c>
      <c r="K97" s="2">
        <v>2670406649.1455998</v>
      </c>
      <c r="L97" s="3">
        <f t="shared" si="40"/>
        <v>3.6642523381611534E-3</v>
      </c>
      <c r="M97" s="2">
        <v>108507.887424</v>
      </c>
      <c r="N97" s="2">
        <v>108507.887424</v>
      </c>
      <c r="O97" s="60">
        <v>44</v>
      </c>
      <c r="P97" s="5">
        <v>1.1937368544052758E-3</v>
      </c>
      <c r="Q97" s="5">
        <v>5.8069782609332717E-2</v>
      </c>
      <c r="R97" s="81">
        <f t="shared" si="46"/>
        <v>0</v>
      </c>
      <c r="S97" s="81">
        <f t="shared" si="47"/>
        <v>0</v>
      </c>
      <c r="T97" s="81">
        <f t="shared" si="48"/>
        <v>0</v>
      </c>
      <c r="U97" s="81">
        <f t="shared" si="49"/>
        <v>0</v>
      </c>
      <c r="V97" s="83">
        <f t="shared" si="50"/>
        <v>0</v>
      </c>
      <c r="X97" s="130">
        <v>862.15200000000004</v>
      </c>
    </row>
    <row r="98" spans="1:24">
      <c r="A98" s="140">
        <v>83</v>
      </c>
      <c r="B98" s="119" t="s">
        <v>133</v>
      </c>
      <c r="C98" s="120" t="s">
        <v>27</v>
      </c>
      <c r="D98" s="2">
        <v>31348895023.02</v>
      </c>
      <c r="E98" s="3">
        <f t="shared" si="55"/>
        <v>3.55391862962166E-2</v>
      </c>
      <c r="F98" s="2">
        <v>135688.71</v>
      </c>
      <c r="G98" s="2">
        <v>135688.71</v>
      </c>
      <c r="H98" s="60">
        <v>1982</v>
      </c>
      <c r="I98" s="5">
        <v>2.0999999999999999E-3</v>
      </c>
      <c r="J98" s="5">
        <v>7.5499999999999998E-2</v>
      </c>
      <c r="K98" s="2">
        <v>25382036963.91</v>
      </c>
      <c r="L98" s="3">
        <f t="shared" si="40"/>
        <v>3.4828473903799444E-2</v>
      </c>
      <c r="M98" s="2">
        <v>109960</v>
      </c>
      <c r="N98" s="2">
        <v>109960</v>
      </c>
      <c r="O98" s="60">
        <v>1986</v>
      </c>
      <c r="P98" s="5">
        <v>8.9999999999999998E-4</v>
      </c>
      <c r="Q98" s="5">
        <v>7.7100000000000002E-2</v>
      </c>
      <c r="R98" s="81">
        <f t="shared" si="46"/>
        <v>-0.19033710932166636</v>
      </c>
      <c r="S98" s="81">
        <f t="shared" si="47"/>
        <v>-0.18961570199908301</v>
      </c>
      <c r="T98" s="81">
        <f t="shared" si="48"/>
        <v>2.0181634712411706E-3</v>
      </c>
      <c r="U98" s="81">
        <f t="shared" si="49"/>
        <v>-1.1999999999999999E-3</v>
      </c>
      <c r="V98" s="83">
        <f t="shared" si="50"/>
        <v>1.6000000000000042E-3</v>
      </c>
    </row>
    <row r="99" spans="1:24">
      <c r="A99" s="140">
        <v>84</v>
      </c>
      <c r="B99" s="133" t="s">
        <v>134</v>
      </c>
      <c r="C99" s="133" t="s">
        <v>27</v>
      </c>
      <c r="D99" s="2">
        <v>31206204843.419998</v>
      </c>
      <c r="E99" s="3">
        <f t="shared" si="55"/>
        <v>3.5377423246140308E-2</v>
      </c>
      <c r="F99" s="2">
        <v>122170.4</v>
      </c>
      <c r="G99" s="2">
        <v>122170.4</v>
      </c>
      <c r="H99" s="60">
        <v>208</v>
      </c>
      <c r="I99" s="5">
        <v>1.6999999999999999E-3</v>
      </c>
      <c r="J99" s="5">
        <v>9.6000000000000002E-2</v>
      </c>
      <c r="K99" s="2">
        <v>25469680228.220001</v>
      </c>
      <c r="L99" s="3">
        <f t="shared" si="40"/>
        <v>3.4948735376438736E-2</v>
      </c>
      <c r="M99" s="2">
        <v>99077.01</v>
      </c>
      <c r="N99" s="2">
        <v>99077.01</v>
      </c>
      <c r="O99" s="60">
        <v>215</v>
      </c>
      <c r="P99" s="5">
        <v>1.6000000000000001E-3</v>
      </c>
      <c r="Q99" s="5">
        <v>9.4899999999999998E-2</v>
      </c>
      <c r="R99" s="81">
        <f t="shared" si="46"/>
        <v>-0.18382641029191266</v>
      </c>
      <c r="S99" s="81">
        <f t="shared" si="47"/>
        <v>-0.18902606523347718</v>
      </c>
      <c r="T99" s="81">
        <f t="shared" si="48"/>
        <v>3.3653846153846152E-2</v>
      </c>
      <c r="U99" s="81">
        <f t="shared" si="49"/>
        <v>-9.9999999999999829E-5</v>
      </c>
      <c r="V99" s="83">
        <f t="shared" si="50"/>
        <v>-1.1000000000000038E-3</v>
      </c>
    </row>
    <row r="100" spans="1:24">
      <c r="A100" s="140">
        <v>85</v>
      </c>
      <c r="B100" s="119" t="s">
        <v>135</v>
      </c>
      <c r="C100" s="120" t="s">
        <v>31</v>
      </c>
      <c r="D100" s="2">
        <f>92070.46*1013.12</f>
        <v>93278424.435200006</v>
      </c>
      <c r="E100" s="3">
        <f t="shared" si="55"/>
        <v>1.0574660768699658E-4</v>
      </c>
      <c r="F100" s="2">
        <f>109.75*1013.12</f>
        <v>111189.92</v>
      </c>
      <c r="G100" s="2">
        <f>109.75*1013.12</f>
        <v>111189.92</v>
      </c>
      <c r="H100" s="60">
        <v>3</v>
      </c>
      <c r="I100" s="5">
        <v>1.3299999999999999E-2</v>
      </c>
      <c r="J100" s="5">
        <v>0.11899999999999999</v>
      </c>
      <c r="K100" s="2">
        <f>92070.46*1013.12</f>
        <v>93278424.435200006</v>
      </c>
      <c r="L100" s="3">
        <f t="shared" si="40"/>
        <v>1.2799387125029369E-4</v>
      </c>
      <c r="M100" s="2">
        <f>109.75*1013.12</f>
        <v>111189.92</v>
      </c>
      <c r="N100" s="2">
        <f>109.75*1013.12</f>
        <v>111189.92</v>
      </c>
      <c r="O100" s="60">
        <v>3</v>
      </c>
      <c r="P100" s="5">
        <v>1.3299999999999999E-2</v>
      </c>
      <c r="Q100" s="5">
        <v>0.11899999999999999</v>
      </c>
      <c r="R100" s="81">
        <f t="shared" si="46"/>
        <v>0</v>
      </c>
      <c r="S100" s="81">
        <f t="shared" si="47"/>
        <v>0</v>
      </c>
      <c r="T100" s="81">
        <f t="shared" si="48"/>
        <v>0</v>
      </c>
      <c r="U100" s="81">
        <f t="shared" si="49"/>
        <v>0</v>
      </c>
      <c r="V100" s="83">
        <f t="shared" si="50"/>
        <v>0</v>
      </c>
    </row>
    <row r="101" spans="1:24">
      <c r="A101" s="140">
        <v>86</v>
      </c>
      <c r="B101" s="119" t="s">
        <v>136</v>
      </c>
      <c r="C101" s="120" t="s">
        <v>34</v>
      </c>
      <c r="D101" s="2">
        <f>11765244.51*1013.12</f>
        <v>11919604517.971199</v>
      </c>
      <c r="E101" s="3">
        <f t="shared" si="55"/>
        <v>1.3512854128681013E-2</v>
      </c>
      <c r="F101" s="2">
        <f>1.32*1013.12</f>
        <v>1337.3184000000001</v>
      </c>
      <c r="G101" s="2">
        <f>1.32*1013.12</f>
        <v>1337.3184000000001</v>
      </c>
      <c r="H101" s="61">
        <v>116</v>
      </c>
      <c r="I101" s="12">
        <v>2.9700000000000001E-2</v>
      </c>
      <c r="J101" s="12">
        <v>4.9799999999999997E-2</v>
      </c>
      <c r="K101" s="2">
        <f>11765244.51*1013.12</f>
        <v>11919604517.971199</v>
      </c>
      <c r="L101" s="3">
        <f t="shared" si="40"/>
        <v>1.6355725723985352E-2</v>
      </c>
      <c r="M101" s="2">
        <f>1.32*1013.12</f>
        <v>1337.3184000000001</v>
      </c>
      <c r="N101" s="2">
        <f>1.32*1013.12</f>
        <v>1337.3184000000001</v>
      </c>
      <c r="O101" s="61">
        <v>116</v>
      </c>
      <c r="P101" s="12">
        <v>2.9700000000000001E-2</v>
      </c>
      <c r="Q101" s="12">
        <v>4.9799999999999997E-2</v>
      </c>
      <c r="R101" s="81">
        <f t="shared" si="46"/>
        <v>0</v>
      </c>
      <c r="S101" s="81">
        <f t="shared" si="47"/>
        <v>0</v>
      </c>
      <c r="T101" s="81">
        <f t="shared" si="48"/>
        <v>0</v>
      </c>
      <c r="U101" s="81">
        <f t="shared" si="49"/>
        <v>0</v>
      </c>
      <c r="V101" s="83">
        <f t="shared" si="50"/>
        <v>0</v>
      </c>
    </row>
    <row r="102" spans="1:24">
      <c r="A102" s="140">
        <v>87</v>
      </c>
      <c r="B102" s="119" t="s">
        <v>137</v>
      </c>
      <c r="C102" s="120" t="s">
        <v>78</v>
      </c>
      <c r="D102" s="2">
        <f>7988073.58*1013.12</f>
        <v>8092877105.3696003</v>
      </c>
      <c r="E102" s="3">
        <f t="shared" si="55"/>
        <v>9.1746221647977244E-3</v>
      </c>
      <c r="F102" s="2">
        <f>103.35*1013.12</f>
        <v>104705.95199999999</v>
      </c>
      <c r="G102" s="2">
        <f>103.35*1013.12</f>
        <v>104705.95199999999</v>
      </c>
      <c r="H102" s="60">
        <v>220</v>
      </c>
      <c r="I102" s="5">
        <v>1.9E-3</v>
      </c>
      <c r="J102" s="5">
        <v>0.09</v>
      </c>
      <c r="K102" s="2">
        <f>7988073.58*1013.12</f>
        <v>8092877105.3696003</v>
      </c>
      <c r="L102" s="3">
        <f t="shared" si="40"/>
        <v>1.1104804530534468E-2</v>
      </c>
      <c r="M102" s="2">
        <f>103.35*1013.12</f>
        <v>104705.95199999999</v>
      </c>
      <c r="N102" s="2">
        <f>103.35*1013.12</f>
        <v>104705.95199999999</v>
      </c>
      <c r="O102" s="60">
        <v>220</v>
      </c>
      <c r="P102" s="5">
        <v>1.9E-3</v>
      </c>
      <c r="Q102" s="5">
        <v>0.09</v>
      </c>
      <c r="R102" s="81">
        <f t="shared" si="46"/>
        <v>0</v>
      </c>
      <c r="S102" s="81">
        <f t="shared" si="47"/>
        <v>0</v>
      </c>
      <c r="T102" s="81">
        <f t="shared" si="48"/>
        <v>0</v>
      </c>
      <c r="U102" s="81">
        <f t="shared" si="49"/>
        <v>0</v>
      </c>
      <c r="V102" s="83">
        <f t="shared" si="50"/>
        <v>0</v>
      </c>
    </row>
    <row r="103" spans="1:24">
      <c r="A103" s="136">
        <v>88</v>
      </c>
      <c r="B103" s="119" t="s">
        <v>138</v>
      </c>
      <c r="C103" s="120" t="s">
        <v>38</v>
      </c>
      <c r="D103" s="2">
        <f>1809717.83*1013.12</f>
        <v>1833461327.9296</v>
      </c>
      <c r="E103" s="3">
        <f t="shared" si="55"/>
        <v>2.0785333471036501E-3</v>
      </c>
      <c r="F103" s="2">
        <f>128.27*1013.12</f>
        <v>129952.90240000001</v>
      </c>
      <c r="G103" s="2">
        <f>131.31*1013.12</f>
        <v>133032.78719999999</v>
      </c>
      <c r="H103" s="60">
        <v>45</v>
      </c>
      <c r="I103" s="5">
        <v>4.0000000000000002E-4</v>
      </c>
      <c r="J103" s="5">
        <v>0.15140000000000001</v>
      </c>
      <c r="K103" s="2">
        <f>1847791.58*862.152</f>
        <v>1593077206.2801602</v>
      </c>
      <c r="L103" s="3">
        <f t="shared" si="40"/>
        <v>2.1859730164508879E-3</v>
      </c>
      <c r="M103" s="2">
        <f>130.96*862.152</f>
        <v>112907.42592000001</v>
      </c>
      <c r="N103" s="2">
        <f>134.04*862.152</f>
        <v>115562.85408</v>
      </c>
      <c r="O103" s="60">
        <v>45</v>
      </c>
      <c r="P103" s="5">
        <v>5.0000000000000001E-4</v>
      </c>
      <c r="Q103" s="5">
        <v>0.1754</v>
      </c>
      <c r="R103" s="81">
        <f t="shared" si="46"/>
        <v>-0.13110945837122664</v>
      </c>
      <c r="S103" s="81">
        <f t="shared" si="47"/>
        <v>-0.13132050743051701</v>
      </c>
      <c r="T103" s="81">
        <f t="shared" si="48"/>
        <v>0</v>
      </c>
      <c r="U103" s="81">
        <f t="shared" si="49"/>
        <v>9.9999999999999991E-5</v>
      </c>
      <c r="V103" s="83">
        <f t="shared" si="50"/>
        <v>2.3999999999999994E-2</v>
      </c>
    </row>
    <row r="104" spans="1:24" ht="16.5" customHeight="1">
      <c r="A104" s="131">
        <v>89</v>
      </c>
      <c r="B104" s="119" t="s">
        <v>139</v>
      </c>
      <c r="C104" s="120" t="s">
        <v>45</v>
      </c>
      <c r="D104" s="2">
        <v>160736138444.35999</v>
      </c>
      <c r="E104" s="3">
        <f t="shared" si="55"/>
        <v>0.18222114573779527</v>
      </c>
      <c r="F104" s="2">
        <v>136185.81</v>
      </c>
      <c r="G104" s="2">
        <v>136185.81</v>
      </c>
      <c r="H104" s="60">
        <v>2976</v>
      </c>
      <c r="I104" s="5">
        <v>5.5399999999999998E-2</v>
      </c>
      <c r="J104" s="5">
        <v>5.5399999999999998E-2</v>
      </c>
      <c r="K104" s="2">
        <v>130166748781.25</v>
      </c>
      <c r="L104" s="3">
        <f t="shared" si="40"/>
        <v>0.17861092943471213</v>
      </c>
      <c r="M104" s="2">
        <v>110376.72</v>
      </c>
      <c r="N104" s="2">
        <v>110376.72</v>
      </c>
      <c r="O104" s="60">
        <v>2976</v>
      </c>
      <c r="P104" s="5">
        <v>5.4399999999999997E-2</v>
      </c>
      <c r="Q104" s="5">
        <v>5.5300000000000002E-2</v>
      </c>
      <c r="R104" s="81">
        <f t="shared" si="46"/>
        <v>-0.19018367592358085</v>
      </c>
      <c r="S104" s="81">
        <f t="shared" si="47"/>
        <v>-0.18951379736258864</v>
      </c>
      <c r="T104" s="81">
        <f t="shared" si="48"/>
        <v>0</v>
      </c>
      <c r="U104" s="81">
        <f t="shared" si="49"/>
        <v>-1.0000000000000009E-3</v>
      </c>
      <c r="V104" s="83">
        <f t="shared" si="50"/>
        <v>-9.9999999999995925E-5</v>
      </c>
    </row>
    <row r="105" spans="1:24" ht="6" customHeight="1">
      <c r="A105" s="144"/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</row>
    <row r="106" spans="1:24">
      <c r="A106" s="143" t="s">
        <v>232</v>
      </c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</row>
    <row r="107" spans="1:24">
      <c r="A107" s="129">
        <v>90</v>
      </c>
      <c r="B107" s="119" t="s">
        <v>141</v>
      </c>
      <c r="C107" s="120" t="s">
        <v>97</v>
      </c>
      <c r="D107" s="4">
        <v>770785335.71000004</v>
      </c>
      <c r="E107" s="3">
        <f>(D107/$D$116)</f>
        <v>8.7381337109567522E-4</v>
      </c>
      <c r="F107" s="2">
        <v>79249.98</v>
      </c>
      <c r="G107" s="2">
        <v>79249.98</v>
      </c>
      <c r="H107" s="60">
        <v>29</v>
      </c>
      <c r="I107" s="5">
        <v>3.0000000000000001E-3</v>
      </c>
      <c r="J107" s="5">
        <v>0.1391</v>
      </c>
      <c r="K107" s="4">
        <v>787874347.27999997</v>
      </c>
      <c r="L107" s="3">
        <f t="shared" ref="L107:L115" si="61">(K107/$K$116)</f>
        <v>1.081097674813543E-3</v>
      </c>
      <c r="M107" s="2">
        <v>81343.78</v>
      </c>
      <c r="N107" s="2">
        <v>81343.78</v>
      </c>
      <c r="O107" s="60">
        <v>28</v>
      </c>
      <c r="P107" s="5">
        <v>1.9E-2</v>
      </c>
      <c r="Q107" s="5">
        <v>0.16450000000000001</v>
      </c>
      <c r="R107" s="81">
        <f t="shared" ref="R107" si="62">((K107-D107)/D107)</f>
        <v>2.2170909043383119E-2</v>
      </c>
      <c r="S107" s="81">
        <f t="shared" ref="S107" si="63">((N107-G107)/G107)</f>
        <v>2.6420195942005321E-2</v>
      </c>
      <c r="T107" s="81">
        <f t="shared" ref="T107" si="64">((O107-H107)/H107)</f>
        <v>-3.4482758620689655E-2</v>
      </c>
      <c r="U107" s="81">
        <f t="shared" ref="U107" si="65">P107-I107</f>
        <v>1.6E-2</v>
      </c>
      <c r="V107" s="83">
        <f t="shared" ref="V107" si="66">Q107-J107</f>
        <v>2.5400000000000006E-2</v>
      </c>
    </row>
    <row r="108" spans="1:24">
      <c r="A108" s="137">
        <v>91</v>
      </c>
      <c r="B108" s="120" t="s">
        <v>142</v>
      </c>
      <c r="C108" s="120" t="s">
        <v>23</v>
      </c>
      <c r="D108" s="2">
        <f>6603939.09*1013.12</f>
        <v>6690582770.8607998</v>
      </c>
      <c r="E108" s="3">
        <f>(D108/$K$116)</f>
        <v>9.1806180791346274E-3</v>
      </c>
      <c r="F108" s="4">
        <f>131.26*1013.12</f>
        <v>132982.1312</v>
      </c>
      <c r="G108" s="4">
        <f>131.26*1013.12</f>
        <v>132982.1312</v>
      </c>
      <c r="H108" s="60">
        <v>333</v>
      </c>
      <c r="I108" s="5">
        <v>5.0000000000000001E-4</v>
      </c>
      <c r="J108" s="5">
        <v>5.57E-2</v>
      </c>
      <c r="K108" s="2">
        <f>6657529.48*862.152</f>
        <v>5739802356.2409611</v>
      </c>
      <c r="L108" s="3">
        <f t="shared" si="61"/>
        <v>7.8759855586669099E-3</v>
      </c>
      <c r="M108" s="4">
        <f>131.4*862.152</f>
        <v>113286.77280000001</v>
      </c>
      <c r="N108" s="4">
        <f>131.4*862.152</f>
        <v>113286.77280000001</v>
      </c>
      <c r="O108" s="60">
        <v>332</v>
      </c>
      <c r="P108" s="5">
        <v>5.0000000000000001E-4</v>
      </c>
      <c r="Q108" s="5">
        <v>5.6899999999999999E-2</v>
      </c>
      <c r="R108" s="81">
        <f t="shared" ref="R108:R116" si="67">((K108-D108)/D108)</f>
        <v>-0.14210726437175708</v>
      </c>
      <c r="S108" s="81">
        <f t="shared" ref="S108:S116" si="68">((N108-G108)/G108)</f>
        <v>-0.14810529972917141</v>
      </c>
      <c r="T108" s="81">
        <f t="shared" ref="T108:T116" si="69">((O108-H108)/H108)</f>
        <v>-3.003003003003003E-3</v>
      </c>
      <c r="U108" s="81">
        <f t="shared" ref="U108:U116" si="70">P108-I108</f>
        <v>0</v>
      </c>
      <c r="V108" s="83">
        <f t="shared" ref="V108:V116" si="71">Q108-J108</f>
        <v>1.1999999999999997E-3</v>
      </c>
    </row>
    <row r="109" spans="1:24">
      <c r="A109" s="134">
        <v>92</v>
      </c>
      <c r="B109" s="119" t="s">
        <v>143</v>
      </c>
      <c r="C109" s="120" t="s">
        <v>58</v>
      </c>
      <c r="D109" s="4">
        <v>11137743158.74</v>
      </c>
      <c r="E109" s="3">
        <f t="shared" ref="E109:E115" si="72">(D109/$D$116)</f>
        <v>1.2626484242816568E-2</v>
      </c>
      <c r="F109" s="4">
        <v>113519.86</v>
      </c>
      <c r="G109" s="4">
        <v>113519.86</v>
      </c>
      <c r="H109" s="60">
        <v>566</v>
      </c>
      <c r="I109" s="5">
        <v>1.2999999999999999E-3</v>
      </c>
      <c r="J109" s="5">
        <v>6.08E-2</v>
      </c>
      <c r="K109" s="4">
        <v>11132939970</v>
      </c>
      <c r="L109" s="3">
        <f t="shared" si="61"/>
        <v>1.5276288099691605E-2</v>
      </c>
      <c r="M109" s="4">
        <v>113739.14</v>
      </c>
      <c r="N109" s="4">
        <v>113739.14</v>
      </c>
      <c r="O109" s="60">
        <v>567</v>
      </c>
      <c r="P109" s="5">
        <v>1.9E-3</v>
      </c>
      <c r="Q109" s="5">
        <v>6.1899999999999997E-2</v>
      </c>
      <c r="R109" s="81">
        <f t="shared" si="67"/>
        <v>-4.3125332228824268E-4</v>
      </c>
      <c r="S109" s="81">
        <f t="shared" si="68"/>
        <v>1.9316443836347123E-3</v>
      </c>
      <c r="T109" s="81">
        <f t="shared" si="69"/>
        <v>1.7667844522968198E-3</v>
      </c>
      <c r="U109" s="81">
        <f t="shared" si="70"/>
        <v>6.0000000000000006E-4</v>
      </c>
      <c r="V109" s="83">
        <f t="shared" si="71"/>
        <v>1.0999999999999968E-3</v>
      </c>
    </row>
    <row r="110" spans="1:24">
      <c r="A110" s="137">
        <v>93</v>
      </c>
      <c r="B110" s="119" t="s">
        <v>144</v>
      </c>
      <c r="C110" s="120" t="s">
        <v>56</v>
      </c>
      <c r="D110" s="4">
        <v>3286803417.0251679</v>
      </c>
      <c r="E110" s="3">
        <f t="shared" si="72"/>
        <v>3.7261383175044298E-3</v>
      </c>
      <c r="F110" s="4">
        <v>1034.6563541244479</v>
      </c>
      <c r="G110" s="4">
        <v>1034.6563541244479</v>
      </c>
      <c r="H110" s="60">
        <v>161</v>
      </c>
      <c r="I110" s="5">
        <v>5.2628967588455741E-2</v>
      </c>
      <c r="J110" s="5">
        <v>5.813803962350645E-2</v>
      </c>
      <c r="K110" s="4">
        <v>3312990500.1803231</v>
      </c>
      <c r="L110" s="3">
        <f t="shared" si="61"/>
        <v>4.5459867284540836E-3</v>
      </c>
      <c r="M110" s="4">
        <v>1043.7421191318294</v>
      </c>
      <c r="N110" s="4">
        <v>1043.7421191318294</v>
      </c>
      <c r="O110" s="60">
        <v>162</v>
      </c>
      <c r="P110" s="5">
        <v>5.2356082056261646E-2</v>
      </c>
      <c r="Q110" s="5">
        <v>5.8079274047271576E-2</v>
      </c>
      <c r="R110" s="81">
        <f t="shared" si="67"/>
        <v>7.9673408575364948E-3</v>
      </c>
      <c r="S110" s="81">
        <f t="shared" si="68"/>
        <v>8.7814325704983452E-3</v>
      </c>
      <c r="T110" s="81">
        <f t="shared" si="69"/>
        <v>6.2111801242236021E-3</v>
      </c>
      <c r="U110" s="81">
        <f t="shared" si="70"/>
        <v>-2.7288553219409484E-4</v>
      </c>
      <c r="V110" s="83">
        <f t="shared" si="71"/>
        <v>-5.8765576234874606E-5</v>
      </c>
    </row>
    <row r="111" spans="1:24">
      <c r="A111" s="128">
        <v>94</v>
      </c>
      <c r="B111" s="120" t="s">
        <v>145</v>
      </c>
      <c r="C111" s="124" t="s">
        <v>40</v>
      </c>
      <c r="D111" s="2">
        <v>9920232550.9099998</v>
      </c>
      <c r="E111" s="3">
        <f t="shared" si="72"/>
        <v>1.1246233478714136E-2</v>
      </c>
      <c r="F111" s="4">
        <f>1.0329*1013.12</f>
        <v>1046.451648</v>
      </c>
      <c r="G111" s="4">
        <f>1.0329*1013.12</f>
        <v>1046.451648</v>
      </c>
      <c r="H111" s="60">
        <v>394</v>
      </c>
      <c r="I111" s="5">
        <v>1.5E-3</v>
      </c>
      <c r="J111" s="5">
        <v>9.1899999999999996E-2</v>
      </c>
      <c r="K111" s="2">
        <v>9792594899.3600006</v>
      </c>
      <c r="L111" s="3">
        <f t="shared" si="61"/>
        <v>1.343710658005047E-2</v>
      </c>
      <c r="M111" s="4">
        <f>1.0347*862.152</f>
        <v>892.06867439999996</v>
      </c>
      <c r="N111" s="4">
        <f>1.0347*862.152</f>
        <v>892.06867439999996</v>
      </c>
      <c r="O111" s="60">
        <v>396</v>
      </c>
      <c r="P111" s="5">
        <v>1.5E-3</v>
      </c>
      <c r="Q111" s="5">
        <v>9.1800000000000007E-2</v>
      </c>
      <c r="R111" s="81">
        <f t="shared" si="67"/>
        <v>-1.2866397122745959E-2</v>
      </c>
      <c r="S111" s="81">
        <f t="shared" si="68"/>
        <v>-0.14752996365867449</v>
      </c>
      <c r="T111" s="81">
        <f t="shared" si="69"/>
        <v>5.076142131979695E-3</v>
      </c>
      <c r="U111" s="81">
        <f t="shared" si="70"/>
        <v>0</v>
      </c>
      <c r="V111" s="83">
        <f t="shared" si="71"/>
        <v>-9.9999999999988987E-5</v>
      </c>
    </row>
    <row r="112" spans="1:24">
      <c r="A112" s="134">
        <v>95</v>
      </c>
      <c r="B112" s="119" t="s">
        <v>146</v>
      </c>
      <c r="C112" s="120" t="s">
        <v>80</v>
      </c>
      <c r="D112" s="4">
        <v>220570852.77000001</v>
      </c>
      <c r="E112" s="3">
        <f t="shared" si="72"/>
        <v>2.5005374582906845E-4</v>
      </c>
      <c r="F112" s="4">
        <f>0.99*867.49</f>
        <v>858.81510000000003</v>
      </c>
      <c r="G112" s="4">
        <f>0.99*867.49</f>
        <v>858.81510000000003</v>
      </c>
      <c r="H112" s="60">
        <v>3</v>
      </c>
      <c r="I112" s="5">
        <v>5.9890000000000004E-3</v>
      </c>
      <c r="J112" s="5">
        <v>0.15490699999999999</v>
      </c>
      <c r="K112" s="4">
        <v>227393797.21000001</v>
      </c>
      <c r="L112" s="3">
        <f t="shared" si="61"/>
        <v>3.1202298473031369E-4</v>
      </c>
      <c r="M112" s="4">
        <f>1.02*874.23</f>
        <v>891.71460000000002</v>
      </c>
      <c r="N112" s="4">
        <f>1.02*874.23</f>
        <v>891.71460000000002</v>
      </c>
      <c r="O112" s="60">
        <v>3</v>
      </c>
      <c r="P112" s="5">
        <v>2.2984999999999998E-2</v>
      </c>
      <c r="Q112" s="5">
        <v>0.181452</v>
      </c>
      <c r="R112" s="81">
        <f t="shared" si="67"/>
        <v>3.0933119015115813E-2</v>
      </c>
      <c r="S112" s="81">
        <f t="shared" si="68"/>
        <v>3.8308012982072613E-2</v>
      </c>
      <c r="T112" s="81">
        <f t="shared" si="69"/>
        <v>0</v>
      </c>
      <c r="U112" s="81">
        <f t="shared" si="70"/>
        <v>1.6995999999999997E-2</v>
      </c>
      <c r="V112" s="83">
        <f t="shared" si="71"/>
        <v>2.6545000000000013E-2</v>
      </c>
    </row>
    <row r="113" spans="1:22">
      <c r="A113" s="135">
        <v>96</v>
      </c>
      <c r="B113" s="119" t="s">
        <v>147</v>
      </c>
      <c r="C113" s="120" t="s">
        <v>42</v>
      </c>
      <c r="D113" s="2">
        <v>540809955315.39001</v>
      </c>
      <c r="E113" s="3">
        <f t="shared" si="72"/>
        <v>0.6130980290912551</v>
      </c>
      <c r="F113" s="4">
        <v>1602.3</v>
      </c>
      <c r="G113" s="4">
        <v>1602.3</v>
      </c>
      <c r="H113" s="60">
        <v>9850</v>
      </c>
      <c r="I113" s="5">
        <v>1.4E-3</v>
      </c>
      <c r="J113" s="5">
        <v>6.8199999999999997E-2</v>
      </c>
      <c r="K113" s="2">
        <v>437180102868.34003</v>
      </c>
      <c r="L113" s="3">
        <f t="shared" si="61"/>
        <v>0.59988549483480014</v>
      </c>
      <c r="M113" s="4">
        <v>1299.2</v>
      </c>
      <c r="N113" s="4">
        <v>1299.2</v>
      </c>
      <c r="O113" s="60">
        <v>9853</v>
      </c>
      <c r="P113" s="5">
        <v>1.4E-3</v>
      </c>
      <c r="Q113" s="5">
        <v>6.9800000000000001E-2</v>
      </c>
      <c r="R113" s="81">
        <f t="shared" si="67"/>
        <v>-0.19161972043694173</v>
      </c>
      <c r="S113" s="81">
        <f t="shared" si="68"/>
        <v>-0.18916557448667534</v>
      </c>
      <c r="T113" s="81">
        <f t="shared" si="69"/>
        <v>3.0456852791878173E-4</v>
      </c>
      <c r="U113" s="81">
        <f t="shared" si="70"/>
        <v>0</v>
      </c>
      <c r="V113" s="83">
        <f t="shared" si="71"/>
        <v>1.6000000000000042E-3</v>
      </c>
    </row>
    <row r="114" spans="1:22" ht="16.5" customHeight="1">
      <c r="A114" s="131">
        <v>97</v>
      </c>
      <c r="B114" s="119" t="s">
        <v>148</v>
      </c>
      <c r="C114" s="120" t="s">
        <v>45</v>
      </c>
      <c r="D114" s="2">
        <v>25509876790.330502</v>
      </c>
      <c r="E114" s="3">
        <f t="shared" si="72"/>
        <v>2.8919688013863212E-2</v>
      </c>
      <c r="F114" s="4">
        <v>1185.44</v>
      </c>
      <c r="G114" s="4">
        <v>1185.44</v>
      </c>
      <c r="H114" s="60">
        <v>131</v>
      </c>
      <c r="I114" s="5">
        <v>0.107</v>
      </c>
      <c r="J114" s="5">
        <v>8.5099999999999995E-2</v>
      </c>
      <c r="K114" s="2">
        <v>20654400582.906601</v>
      </c>
      <c r="L114" s="3">
        <f t="shared" si="61"/>
        <v>2.8341352300574694E-2</v>
      </c>
      <c r="M114" s="4">
        <v>961.67170199999998</v>
      </c>
      <c r="N114" s="4">
        <v>961.67170199999998</v>
      </c>
      <c r="O114" s="60">
        <v>142</v>
      </c>
      <c r="P114" s="5">
        <v>0.107</v>
      </c>
      <c r="Q114" s="5">
        <v>8.5599999999999996E-2</v>
      </c>
      <c r="R114" s="81">
        <f t="shared" si="67"/>
        <v>-0.19033710932168693</v>
      </c>
      <c r="S114" s="81">
        <f t="shared" si="68"/>
        <v>-0.18876391719530305</v>
      </c>
      <c r="T114" s="81">
        <f t="shared" si="69"/>
        <v>8.3969465648854963E-2</v>
      </c>
      <c r="U114" s="81">
        <f t="shared" si="70"/>
        <v>0</v>
      </c>
      <c r="V114" s="83">
        <f t="shared" si="71"/>
        <v>5.0000000000000044E-4</v>
      </c>
    </row>
    <row r="115" spans="1:22">
      <c r="A115" s="138">
        <v>98</v>
      </c>
      <c r="B115" s="119" t="s">
        <v>149</v>
      </c>
      <c r="C115" s="120" t="s">
        <v>32</v>
      </c>
      <c r="D115" s="4">
        <v>23036156249.562721</v>
      </c>
      <c r="E115" s="3">
        <f t="shared" si="72"/>
        <v>2.611531436437518E-2</v>
      </c>
      <c r="F115" s="4">
        <f>1.1192*1013.12</f>
        <v>1133.883904</v>
      </c>
      <c r="G115" s="4">
        <f>1.1192*1013.12</f>
        <v>1133.883904</v>
      </c>
      <c r="H115" s="60">
        <v>999</v>
      </c>
      <c r="I115" s="5">
        <v>1.7873100983023527E-4</v>
      </c>
      <c r="J115" s="5">
        <v>6.4282997337390624E-2</v>
      </c>
      <c r="K115" s="4">
        <v>23262573786.469921</v>
      </c>
      <c r="L115" s="3">
        <f t="shared" si="61"/>
        <v>3.1920209761307848E-2</v>
      </c>
      <c r="M115" s="4">
        <f>1.1203*832.32</f>
        <v>932.44809600000008</v>
      </c>
      <c r="N115" s="4">
        <f>1.1203*832.32</f>
        <v>932.44809600000008</v>
      </c>
      <c r="O115" s="60">
        <v>10003</v>
      </c>
      <c r="P115" s="5">
        <v>9.8284488920663549E-4</v>
      </c>
      <c r="Q115" s="5">
        <v>6.5329022441993123E-2</v>
      </c>
      <c r="R115" s="81">
        <f t="shared" si="67"/>
        <v>9.8287897709279422E-3</v>
      </c>
      <c r="S115" s="81">
        <f t="shared" si="68"/>
        <v>-0.17765117512418621</v>
      </c>
      <c r="T115" s="81">
        <f t="shared" si="69"/>
        <v>9.0130130130130137</v>
      </c>
      <c r="U115" s="81">
        <f t="shared" si="70"/>
        <v>8.0411387937640022E-4</v>
      </c>
      <c r="V115" s="83">
        <f t="shared" si="71"/>
        <v>1.0460251046024993E-3</v>
      </c>
    </row>
    <row r="116" spans="1:22">
      <c r="A116" s="75"/>
      <c r="B116" s="19"/>
      <c r="C116" s="66" t="s">
        <v>46</v>
      </c>
      <c r="D116" s="59">
        <f>SUM(D93:D115)</f>
        <v>882093775634.84949</v>
      </c>
      <c r="E116" s="104">
        <f>(D116/$D$177)</f>
        <v>0.3917124807385009</v>
      </c>
      <c r="F116" s="30"/>
      <c r="G116" s="11"/>
      <c r="H116" s="65">
        <f>SUM(H93:H115)</f>
        <v>18624</v>
      </c>
      <c r="I116" s="33"/>
      <c r="J116" s="33"/>
      <c r="K116" s="59">
        <f>SUM(K93:K115)</f>
        <v>728772585155.99414</v>
      </c>
      <c r="L116" s="104">
        <f>(K116/$K$177)</f>
        <v>0.35033701262420985</v>
      </c>
      <c r="M116" s="30"/>
      <c r="N116" s="11"/>
      <c r="O116" s="65">
        <f>SUM(O93:O115)</f>
        <v>27657</v>
      </c>
      <c r="P116" s="33"/>
      <c r="Q116" s="33"/>
      <c r="R116" s="81">
        <f t="shared" si="67"/>
        <v>-0.17381506900273605</v>
      </c>
      <c r="S116" s="81" t="e">
        <f t="shared" si="68"/>
        <v>#DIV/0!</v>
      </c>
      <c r="T116" s="81">
        <f t="shared" si="69"/>
        <v>0.48501932989690721</v>
      </c>
      <c r="U116" s="81">
        <f t="shared" si="70"/>
        <v>0</v>
      </c>
      <c r="V116" s="83">
        <f t="shared" si="71"/>
        <v>0</v>
      </c>
    </row>
    <row r="117" spans="1:22" ht="8.25" customHeigh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</row>
    <row r="118" spans="1:22" ht="15.75">
      <c r="A118" s="142" t="s">
        <v>150</v>
      </c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</row>
    <row r="119" spans="1:22">
      <c r="A119" s="134">
        <v>99</v>
      </c>
      <c r="B119" s="119" t="s">
        <v>246</v>
      </c>
      <c r="C119" s="120" t="s">
        <v>247</v>
      </c>
      <c r="D119" s="2">
        <v>2151953555.3669076</v>
      </c>
      <c r="E119" s="3">
        <f>(D119/$D$124)</f>
        <v>2.2303618080602231E-2</v>
      </c>
      <c r="F119" s="14">
        <v>101.41</v>
      </c>
      <c r="G119" s="14">
        <v>101.41</v>
      </c>
      <c r="H119" s="60">
        <v>8</v>
      </c>
      <c r="I119" s="5">
        <v>-4.7000000000000002E-3</v>
      </c>
      <c r="J119" s="5">
        <v>1.41E-2</v>
      </c>
      <c r="K119" s="2">
        <v>2159709393.6136084</v>
      </c>
      <c r="L119" s="3">
        <f>(K119/$K$124)</f>
        <v>2.234788271604447E-2</v>
      </c>
      <c r="M119" s="14">
        <v>101.78</v>
      </c>
      <c r="N119" s="14">
        <v>101.78</v>
      </c>
      <c r="O119" s="60">
        <v>8</v>
      </c>
      <c r="P119" s="5">
        <v>1.6730636748352179E-3</v>
      </c>
      <c r="Q119" s="5">
        <v>1.78E-2</v>
      </c>
      <c r="R119" s="81">
        <f t="shared" ref="R119" si="73">((K119-D119)/D119)</f>
        <v>3.6040918389516055E-3</v>
      </c>
      <c r="S119" s="81">
        <f t="shared" ref="S119" si="74">((N119-G119)/G119)</f>
        <v>3.6485553692930141E-3</v>
      </c>
      <c r="T119" s="81">
        <f t="shared" ref="T119" si="75">((O119-H119)/H119)</f>
        <v>0</v>
      </c>
      <c r="U119" s="81">
        <f t="shared" ref="U119" si="76">P119-I119</f>
        <v>6.3730636748352181E-3</v>
      </c>
      <c r="V119" s="83">
        <f t="shared" ref="V119" si="77">Q119-J119</f>
        <v>3.7000000000000002E-3</v>
      </c>
    </row>
    <row r="120" spans="1:22">
      <c r="A120" s="128">
        <v>100</v>
      </c>
      <c r="B120" s="119" t="s">
        <v>151</v>
      </c>
      <c r="C120" s="120" t="s">
        <v>40</v>
      </c>
      <c r="D120" s="2">
        <v>54330953714</v>
      </c>
      <c r="E120" s="3">
        <f>(D120/$D$124)</f>
        <v>0.56310548086402612</v>
      </c>
      <c r="F120" s="14">
        <v>102.5</v>
      </c>
      <c r="G120" s="14">
        <v>102.5</v>
      </c>
      <c r="H120" s="60">
        <v>675</v>
      </c>
      <c r="I120" s="5">
        <v>0</v>
      </c>
      <c r="J120" s="5">
        <v>7.6999999999999999E-2</v>
      </c>
      <c r="K120" s="2">
        <v>54330953714</v>
      </c>
      <c r="L120" s="3">
        <f>(K120/$K$124)</f>
        <v>0.56219683307472845</v>
      </c>
      <c r="M120" s="14">
        <v>102.5</v>
      </c>
      <c r="N120" s="14">
        <v>102.5</v>
      </c>
      <c r="O120" s="60">
        <v>675</v>
      </c>
      <c r="P120" s="5">
        <v>0</v>
      </c>
      <c r="Q120" s="5">
        <v>7.6999999999999999E-2</v>
      </c>
      <c r="R120" s="81">
        <f t="shared" ref="R120" si="78">((K120-D120)/D120)</f>
        <v>0</v>
      </c>
      <c r="S120" s="81">
        <f t="shared" ref="S120" si="79">((N120-G120)/G120)</f>
        <v>0</v>
      </c>
      <c r="T120" s="81">
        <f t="shared" ref="T120" si="80">((O120-H120)/H120)</f>
        <v>0</v>
      </c>
      <c r="U120" s="81">
        <f t="shared" ref="U120" si="81">P120-I120</f>
        <v>0</v>
      </c>
      <c r="V120" s="83">
        <f t="shared" ref="V120" si="82">Q120-J120</f>
        <v>0</v>
      </c>
    </row>
    <row r="121" spans="1:22" ht="17.25" customHeight="1">
      <c r="A121" s="138">
        <v>101</v>
      </c>
      <c r="B121" s="119" t="s">
        <v>152</v>
      </c>
      <c r="C121" s="120" t="s">
        <v>120</v>
      </c>
      <c r="D121" s="2">
        <v>2578807337.3800001</v>
      </c>
      <c r="E121" s="3">
        <f>(D121/$D$124)</f>
        <v>2.6727683696022738E-2</v>
      </c>
      <c r="F121" s="14">
        <v>92.15</v>
      </c>
      <c r="G121" s="14">
        <v>92.15</v>
      </c>
      <c r="H121" s="60">
        <v>2743</v>
      </c>
      <c r="I121" s="5">
        <v>5.5300000000000002E-2</v>
      </c>
      <c r="J121" s="5">
        <v>0.15409999999999999</v>
      </c>
      <c r="K121" s="2">
        <v>2582696629.23</v>
      </c>
      <c r="L121" s="3">
        <f>(K121/$K$124)</f>
        <v>2.6724799888276852E-2</v>
      </c>
      <c r="M121" s="14">
        <v>101.35</v>
      </c>
      <c r="N121" s="14">
        <v>101.35</v>
      </c>
      <c r="O121" s="60">
        <v>2743</v>
      </c>
      <c r="P121" s="5">
        <v>7.8600000000000003E-2</v>
      </c>
      <c r="Q121" s="5">
        <v>0.1391</v>
      </c>
      <c r="R121" s="81">
        <f t="shared" ref="R121:R124" si="83">((K121-D121)/D121)</f>
        <v>1.5081746486541806E-3</v>
      </c>
      <c r="S121" s="81">
        <f t="shared" ref="S121:S124" si="84">((N121-G121)/G121)</f>
        <v>9.9837221920781205E-2</v>
      </c>
      <c r="T121" s="81">
        <f t="shared" ref="T121:T124" si="85">((O121-H121)/H121)</f>
        <v>0</v>
      </c>
      <c r="U121" s="81">
        <f t="shared" ref="U121:U124" si="86">P121-I121</f>
        <v>2.3300000000000001E-2</v>
      </c>
      <c r="V121" s="83">
        <f t="shared" ref="V121:V124" si="87">Q121-J121</f>
        <v>-1.4999999999999986E-2</v>
      </c>
    </row>
    <row r="122" spans="1:22">
      <c r="A122" s="138">
        <v>102</v>
      </c>
      <c r="B122" s="119" t="s">
        <v>153</v>
      </c>
      <c r="C122" s="120" t="s">
        <v>120</v>
      </c>
      <c r="D122" s="2">
        <v>10754491040.969999</v>
      </c>
      <c r="E122" s="3">
        <f>(D122/$D$124)</f>
        <v>0.11146340042090565</v>
      </c>
      <c r="F122" s="14">
        <v>36.6</v>
      </c>
      <c r="G122" s="14">
        <v>36.6</v>
      </c>
      <c r="H122" s="60">
        <v>5264</v>
      </c>
      <c r="I122" s="5">
        <v>3.5200000000000002E-2</v>
      </c>
      <c r="J122" s="5">
        <v>0.34370000000000001</v>
      </c>
      <c r="K122" s="2">
        <v>10776170298.73</v>
      </c>
      <c r="L122" s="3">
        <f>(K122/$K$124)</f>
        <v>0.11150786799199598</v>
      </c>
      <c r="M122" s="14">
        <v>36.6</v>
      </c>
      <c r="N122" s="14">
        <v>36.6</v>
      </c>
      <c r="O122" s="60">
        <v>5264</v>
      </c>
      <c r="P122" s="5">
        <v>9.6799999999999997E-2</v>
      </c>
      <c r="Q122" s="5">
        <v>0.34279999999999999</v>
      </c>
      <c r="R122" s="81">
        <f t="shared" si="83"/>
        <v>2.0158329833937796E-3</v>
      </c>
      <c r="S122" s="81">
        <f t="shared" si="84"/>
        <v>0</v>
      </c>
      <c r="T122" s="81">
        <f t="shared" si="85"/>
        <v>0</v>
      </c>
      <c r="U122" s="81">
        <f t="shared" si="86"/>
        <v>6.1599999999999995E-2</v>
      </c>
      <c r="V122" s="83">
        <f t="shared" si="87"/>
        <v>-9.000000000000119E-4</v>
      </c>
    </row>
    <row r="123" spans="1:22">
      <c r="A123" s="140">
        <v>103</v>
      </c>
      <c r="B123" s="119" t="s">
        <v>154</v>
      </c>
      <c r="C123" s="120" t="s">
        <v>42</v>
      </c>
      <c r="D123" s="2">
        <v>26668299583.23</v>
      </c>
      <c r="E123" s="3">
        <f>(D123/$D$124)</f>
        <v>0.27639981693844334</v>
      </c>
      <c r="F123" s="14">
        <v>5</v>
      </c>
      <c r="G123" s="14">
        <v>5</v>
      </c>
      <c r="H123" s="60">
        <v>208853</v>
      </c>
      <c r="I123" s="5">
        <v>0.12230000000000001</v>
      </c>
      <c r="J123" s="5">
        <v>0.66669999999999996</v>
      </c>
      <c r="K123" s="2">
        <v>26790917789.18</v>
      </c>
      <c r="L123" s="3">
        <f>(K123/$K$124)</f>
        <v>0.27722261632895434</v>
      </c>
      <c r="M123" s="14">
        <v>4.55</v>
      </c>
      <c r="N123" s="14">
        <v>4.55</v>
      </c>
      <c r="O123" s="60">
        <v>208853</v>
      </c>
      <c r="P123" s="5">
        <v>-0.09</v>
      </c>
      <c r="Q123" s="5">
        <v>0.51670000000000005</v>
      </c>
      <c r="R123" s="81">
        <f t="shared" si="83"/>
        <v>4.5979011735381723E-3</v>
      </c>
      <c r="S123" s="81">
        <f t="shared" si="84"/>
        <v>-9.0000000000000038E-2</v>
      </c>
      <c r="T123" s="81">
        <f t="shared" si="85"/>
        <v>0</v>
      </c>
      <c r="U123" s="81">
        <f t="shared" si="86"/>
        <v>-0.21229999999999999</v>
      </c>
      <c r="V123" s="83">
        <f t="shared" si="87"/>
        <v>-0.14999999999999991</v>
      </c>
    </row>
    <row r="124" spans="1:22">
      <c r="A124" s="75"/>
      <c r="B124" s="19"/>
      <c r="C124" s="71" t="s">
        <v>46</v>
      </c>
      <c r="D124" s="58">
        <f>SUM(D119:D123)</f>
        <v>96484505230.946899</v>
      </c>
      <c r="E124" s="104">
        <f>(D124/$D$177)</f>
        <v>4.2845994315786118E-2</v>
      </c>
      <c r="F124" s="30"/>
      <c r="G124" s="34"/>
      <c r="H124" s="65">
        <f>SUM(H119:H123)</f>
        <v>217543</v>
      </c>
      <c r="I124" s="35"/>
      <c r="J124" s="35"/>
      <c r="K124" s="58">
        <f>SUM(K119:K123)</f>
        <v>96640447824.753601</v>
      </c>
      <c r="L124" s="104">
        <f>(K124/$K$177)</f>
        <v>4.6457189086418431E-2</v>
      </c>
      <c r="M124" s="30"/>
      <c r="N124" s="34"/>
      <c r="O124" s="65">
        <f>SUM(O119:O123)</f>
        <v>217543</v>
      </c>
      <c r="P124" s="35"/>
      <c r="Q124" s="35"/>
      <c r="R124" s="81">
        <f t="shared" si="83"/>
        <v>1.6162449445476753E-3</v>
      </c>
      <c r="S124" s="81" t="e">
        <f t="shared" si="84"/>
        <v>#DIV/0!</v>
      </c>
      <c r="T124" s="81">
        <f t="shared" si="85"/>
        <v>0</v>
      </c>
      <c r="U124" s="81">
        <f t="shared" si="86"/>
        <v>0</v>
      </c>
      <c r="V124" s="83">
        <f t="shared" si="87"/>
        <v>0</v>
      </c>
    </row>
    <row r="125" spans="1:22" ht="7.5" customHeigh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</row>
    <row r="126" spans="1:22" ht="15" customHeight="1">
      <c r="A126" s="142" t="s">
        <v>155</v>
      </c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</row>
    <row r="127" spans="1:22">
      <c r="A127" s="131">
        <v>104</v>
      </c>
      <c r="B127" s="119" t="s">
        <v>156</v>
      </c>
      <c r="C127" s="120" t="s">
        <v>50</v>
      </c>
      <c r="D127" s="4">
        <v>215832547.40000001</v>
      </c>
      <c r="E127" s="3">
        <f t="shared" ref="E127:E150" si="88">(D127/$D$151)</f>
        <v>5.2200177917620062E-3</v>
      </c>
      <c r="F127" s="4">
        <v>4.82</v>
      </c>
      <c r="G127" s="4">
        <v>4.93</v>
      </c>
      <c r="H127" s="62">
        <v>11813</v>
      </c>
      <c r="I127" s="6">
        <v>8.5450000000000005E-3</v>
      </c>
      <c r="J127" s="6">
        <v>0.28405200000000003</v>
      </c>
      <c r="K127" s="4">
        <v>219097581.91</v>
      </c>
      <c r="L127" s="16">
        <f t="shared" ref="L127:L142" si="89">(K127/$K$151)</f>
        <v>5.2840241734082192E-3</v>
      </c>
      <c r="M127" s="4">
        <v>4.9000000000000004</v>
      </c>
      <c r="N127" s="4">
        <v>5</v>
      </c>
      <c r="O127" s="62">
        <v>11813</v>
      </c>
      <c r="P127" s="6">
        <v>1.9883999999999999E-2</v>
      </c>
      <c r="Q127" s="6">
        <v>0.30393700000000001</v>
      </c>
      <c r="R127" s="81">
        <f t="shared" ref="R127" si="90">((K127-D127)/D127)</f>
        <v>1.5127628104898096E-2</v>
      </c>
      <c r="S127" s="81">
        <f t="shared" ref="S127" si="91">((N127-G127)/G127)</f>
        <v>1.4198782961460505E-2</v>
      </c>
      <c r="T127" s="81">
        <f t="shared" ref="T127" si="92">((O127-H127)/H127)</f>
        <v>0</v>
      </c>
      <c r="U127" s="81">
        <f t="shared" ref="U127" si="93">P127-I127</f>
        <v>1.1338999999999998E-2</v>
      </c>
      <c r="V127" s="83">
        <f t="shared" ref="V127" si="94">Q127-J127</f>
        <v>1.9884999999999986E-2</v>
      </c>
    </row>
    <row r="128" spans="1:22">
      <c r="A128" s="138">
        <v>105</v>
      </c>
      <c r="B128" s="119" t="s">
        <v>157</v>
      </c>
      <c r="C128" s="120" t="s">
        <v>21</v>
      </c>
      <c r="D128" s="4">
        <v>6100798516.8800001</v>
      </c>
      <c r="E128" s="3">
        <f t="shared" si="88"/>
        <v>0.14755085451986311</v>
      </c>
      <c r="F128" s="4">
        <v>649.57569999999998</v>
      </c>
      <c r="G128" s="4">
        <v>669.16089999999997</v>
      </c>
      <c r="H128" s="62">
        <v>21194</v>
      </c>
      <c r="I128" s="6">
        <v>-5.1000000000000004E-3</v>
      </c>
      <c r="J128" s="6">
        <v>0.24959999999999999</v>
      </c>
      <c r="K128" s="4">
        <v>6139961751.6400003</v>
      </c>
      <c r="L128" s="16">
        <f t="shared" si="89"/>
        <v>0.14807879683854624</v>
      </c>
      <c r="M128" s="4">
        <v>653.41409999999996</v>
      </c>
      <c r="N128" s="4">
        <v>673.11500000000001</v>
      </c>
      <c r="O128" s="62">
        <v>21191</v>
      </c>
      <c r="P128" s="6">
        <v>0.30809999999999998</v>
      </c>
      <c r="Q128" s="6">
        <v>0.25219999999999998</v>
      </c>
      <c r="R128" s="81">
        <f t="shared" ref="R128:R151" si="95">((K128-D128)/D128)</f>
        <v>6.4193620968863987E-3</v>
      </c>
      <c r="S128" s="81">
        <f t="shared" ref="S128:S151" si="96">((N128-G128)/G128)</f>
        <v>5.9090422049465829E-3</v>
      </c>
      <c r="T128" s="81">
        <f t="shared" ref="T128:T151" si="97">((O128-H128)/H128)</f>
        <v>-1.4154949514013401E-4</v>
      </c>
      <c r="U128" s="81">
        <f t="shared" ref="U128:U151" si="98">P128-I128</f>
        <v>0.31319999999999998</v>
      </c>
      <c r="V128" s="83">
        <f t="shared" ref="V128:V151" si="99">Q128-J128</f>
        <v>2.5999999999999912E-3</v>
      </c>
    </row>
    <row r="129" spans="1:24">
      <c r="A129" s="132">
        <v>106</v>
      </c>
      <c r="B129" s="119" t="s">
        <v>158</v>
      </c>
      <c r="C129" s="120" t="s">
        <v>91</v>
      </c>
      <c r="D129" s="4">
        <v>3249583233.54</v>
      </c>
      <c r="E129" s="3">
        <f t="shared" si="88"/>
        <v>7.8592791028190903E-2</v>
      </c>
      <c r="F129" s="4">
        <v>18.2103</v>
      </c>
      <c r="G129" s="4">
        <v>18.417999999999999</v>
      </c>
      <c r="H129" s="60">
        <v>6272</v>
      </c>
      <c r="I129" s="5">
        <v>6.4000000000000003E-3</v>
      </c>
      <c r="J129" s="5">
        <v>0.31430000000000002</v>
      </c>
      <c r="K129" s="4">
        <v>3277189806.8800001</v>
      </c>
      <c r="L129" s="16">
        <f t="shared" si="89"/>
        <v>7.9036701406929435E-2</v>
      </c>
      <c r="M129" s="4">
        <v>18.2607</v>
      </c>
      <c r="N129" s="4">
        <v>18.4695</v>
      </c>
      <c r="O129" s="60">
        <v>6271</v>
      </c>
      <c r="P129" s="5">
        <v>1.43E-2</v>
      </c>
      <c r="Q129" s="5">
        <v>0.318</v>
      </c>
      <c r="R129" s="81">
        <f t="shared" si="95"/>
        <v>8.4954196756875707E-3</v>
      </c>
      <c r="S129" s="81">
        <f t="shared" si="96"/>
        <v>2.7961776522967079E-3</v>
      </c>
      <c r="T129" s="81">
        <f t="shared" si="97"/>
        <v>-1.5943877551020407E-4</v>
      </c>
      <c r="U129" s="81">
        <f t="shared" si="98"/>
        <v>7.9000000000000008E-3</v>
      </c>
      <c r="V129" s="83">
        <f t="shared" si="99"/>
        <v>3.6999999999999811E-3</v>
      </c>
    </row>
    <row r="130" spans="1:24">
      <c r="A130" s="140">
        <v>107</v>
      </c>
      <c r="B130" s="119" t="s">
        <v>159</v>
      </c>
      <c r="C130" s="120" t="s">
        <v>101</v>
      </c>
      <c r="D130" s="2">
        <v>1272637728.2993147</v>
      </c>
      <c r="E130" s="3">
        <f t="shared" si="88"/>
        <v>3.0779378106853612E-2</v>
      </c>
      <c r="F130" s="4">
        <v>2.9868999999999999</v>
      </c>
      <c r="G130" s="4">
        <v>3.0596999999999999</v>
      </c>
      <c r="H130" s="60">
        <v>2754</v>
      </c>
      <c r="I130" s="5">
        <v>0.17960000000000001</v>
      </c>
      <c r="J130" s="5">
        <v>0.3427</v>
      </c>
      <c r="K130" s="2">
        <v>1272637728.2993147</v>
      </c>
      <c r="L130" s="16">
        <f t="shared" si="89"/>
        <v>3.0692481686480793E-2</v>
      </c>
      <c r="M130" s="4">
        <v>2.9868999999999999</v>
      </c>
      <c r="N130" s="4">
        <v>3.0596999999999999</v>
      </c>
      <c r="O130" s="60">
        <v>2754</v>
      </c>
      <c r="P130" s="5">
        <v>0.17960000000000001</v>
      </c>
      <c r="Q130" s="5">
        <v>0.3427</v>
      </c>
      <c r="R130" s="81">
        <f t="shared" si="95"/>
        <v>0</v>
      </c>
      <c r="S130" s="81">
        <f t="shared" si="96"/>
        <v>0</v>
      </c>
      <c r="T130" s="81">
        <f t="shared" si="97"/>
        <v>0</v>
      </c>
      <c r="U130" s="81">
        <f t="shared" si="98"/>
        <v>0</v>
      </c>
      <c r="V130" s="83">
        <f t="shared" si="99"/>
        <v>0</v>
      </c>
    </row>
    <row r="131" spans="1:24">
      <c r="A131" s="140">
        <v>108</v>
      </c>
      <c r="B131" s="119" t="s">
        <v>160</v>
      </c>
      <c r="C131" s="120" t="s">
        <v>56</v>
      </c>
      <c r="D131" s="2">
        <v>2947325968.1331401</v>
      </c>
      <c r="E131" s="3">
        <f t="shared" si="88"/>
        <v>7.1282548332546672E-2</v>
      </c>
      <c r="F131" s="4">
        <v>5510.7467296185996</v>
      </c>
      <c r="G131" s="4">
        <v>5551.3187467696598</v>
      </c>
      <c r="H131" s="60">
        <v>847</v>
      </c>
      <c r="I131" s="5">
        <v>0.50948083099521602</v>
      </c>
      <c r="J131" s="5">
        <v>0.33042903212356312</v>
      </c>
      <c r="K131" s="2">
        <v>3029183358.1908798</v>
      </c>
      <c r="L131" s="16">
        <f t="shared" si="89"/>
        <v>7.3055475787685731E-2</v>
      </c>
      <c r="M131" s="4">
        <v>5625.8886801814397</v>
      </c>
      <c r="N131" s="4">
        <v>5667.4575259276398</v>
      </c>
      <c r="O131" s="60">
        <v>849</v>
      </c>
      <c r="P131" s="5">
        <v>1.0894767213813901</v>
      </c>
      <c r="Q131" s="5">
        <v>0.35241901720959079</v>
      </c>
      <c r="R131" s="81">
        <f t="shared" si="95"/>
        <v>2.7773443094789026E-2</v>
      </c>
      <c r="S131" s="81">
        <f t="shared" si="96"/>
        <v>2.0920935088723155E-2</v>
      </c>
      <c r="T131" s="81">
        <f t="shared" si="97"/>
        <v>2.3612750885478157E-3</v>
      </c>
      <c r="U131" s="81">
        <f t="shared" si="98"/>
        <v>0.57999589038617405</v>
      </c>
      <c r="V131" s="83">
        <f t="shared" si="99"/>
        <v>2.1989985086027675E-2</v>
      </c>
    </row>
    <row r="132" spans="1:24">
      <c r="A132" s="140">
        <v>109</v>
      </c>
      <c r="B132" s="119" t="s">
        <v>161</v>
      </c>
      <c r="C132" s="120" t="s">
        <v>58</v>
      </c>
      <c r="D132" s="4">
        <v>442464833.41000003</v>
      </c>
      <c r="E132" s="3">
        <f t="shared" si="88"/>
        <v>1.0701232647496483E-2</v>
      </c>
      <c r="F132" s="4">
        <v>164.48</v>
      </c>
      <c r="G132" s="4">
        <v>165.62</v>
      </c>
      <c r="H132" s="60">
        <v>633</v>
      </c>
      <c r="I132" s="5">
        <v>6.7999999999999996E-3</v>
      </c>
      <c r="J132" s="5">
        <v>0.27910000000000001</v>
      </c>
      <c r="K132" s="4">
        <v>452526228.73000002</v>
      </c>
      <c r="L132" s="16">
        <f t="shared" si="89"/>
        <v>1.0913673765202976E-2</v>
      </c>
      <c r="M132" s="4">
        <v>167.36</v>
      </c>
      <c r="N132" s="4">
        <v>168.53</v>
      </c>
      <c r="O132" s="60">
        <v>635</v>
      </c>
      <c r="P132" s="5">
        <v>1.7500000000000002E-2</v>
      </c>
      <c r="Q132" s="5">
        <v>0.3</v>
      </c>
      <c r="R132" s="81">
        <f t="shared" si="95"/>
        <v>2.2739423701672645E-2</v>
      </c>
      <c r="S132" s="81">
        <f t="shared" si="96"/>
        <v>1.75703417461659E-2</v>
      </c>
      <c r="T132" s="81">
        <f t="shared" si="97"/>
        <v>3.1595576619273301E-3</v>
      </c>
      <c r="U132" s="81">
        <f t="shared" si="98"/>
        <v>1.0700000000000001E-2</v>
      </c>
      <c r="V132" s="83">
        <f t="shared" si="99"/>
        <v>2.0899999999999974E-2</v>
      </c>
    </row>
    <row r="133" spans="1:24">
      <c r="A133" s="140">
        <v>110</v>
      </c>
      <c r="B133" s="119" t="s">
        <v>162</v>
      </c>
      <c r="C133" s="120" t="s">
        <v>60</v>
      </c>
      <c r="D133" s="4">
        <v>3734808.11</v>
      </c>
      <c r="E133" s="3">
        <f t="shared" si="88"/>
        <v>9.0328196640730696E-5</v>
      </c>
      <c r="F133" s="4">
        <v>102.747</v>
      </c>
      <c r="G133" s="4">
        <v>102.99</v>
      </c>
      <c r="H133" s="60">
        <v>0</v>
      </c>
      <c r="I133" s="5">
        <v>0</v>
      </c>
      <c r="J133" s="5">
        <v>0</v>
      </c>
      <c r="K133" s="4">
        <v>3734808.11</v>
      </c>
      <c r="L133" s="16">
        <f t="shared" si="89"/>
        <v>9.0073181840900684E-5</v>
      </c>
      <c r="M133" s="4">
        <v>102.747</v>
      </c>
      <c r="N133" s="4">
        <v>102.99</v>
      </c>
      <c r="O133" s="60">
        <v>0</v>
      </c>
      <c r="P133" s="5">
        <v>0</v>
      </c>
      <c r="Q133" s="5">
        <v>0</v>
      </c>
      <c r="R133" s="81">
        <f t="shared" si="95"/>
        <v>0</v>
      </c>
      <c r="S133" s="81">
        <f t="shared" si="96"/>
        <v>0</v>
      </c>
      <c r="T133" s="81" t="e">
        <f t="shared" si="97"/>
        <v>#DIV/0!</v>
      </c>
      <c r="U133" s="81">
        <f t="shared" si="98"/>
        <v>0</v>
      </c>
      <c r="V133" s="83">
        <f t="shared" si="99"/>
        <v>0</v>
      </c>
    </row>
    <row r="134" spans="1:24">
      <c r="A134" s="140">
        <v>111</v>
      </c>
      <c r="B134" s="119" t="s">
        <v>163</v>
      </c>
      <c r="C134" s="120" t="s">
        <v>105</v>
      </c>
      <c r="D134" s="4">
        <v>166996883.25999999</v>
      </c>
      <c r="E134" s="3">
        <f t="shared" si="88"/>
        <v>4.0389029008235785E-3</v>
      </c>
      <c r="F134" s="4">
        <v>1.4713000000000001</v>
      </c>
      <c r="G134" s="4">
        <v>1.4853000000000001</v>
      </c>
      <c r="H134" s="60">
        <v>268</v>
      </c>
      <c r="I134" s="5">
        <v>1.4200041359343718E-2</v>
      </c>
      <c r="J134" s="5">
        <v>0.22485847485847477</v>
      </c>
      <c r="K134" s="4">
        <v>171372936.84999999</v>
      </c>
      <c r="L134" s="16">
        <f t="shared" si="89"/>
        <v>4.1330384985961812E-3</v>
      </c>
      <c r="M134" s="4">
        <v>1.5067999999999999</v>
      </c>
      <c r="N134" s="4">
        <v>1.5212000000000001</v>
      </c>
      <c r="O134" s="60">
        <v>269</v>
      </c>
      <c r="P134" s="5">
        <v>2.4128321892204152E-2</v>
      </c>
      <c r="Q134" s="5">
        <v>0.25441225441225424</v>
      </c>
      <c r="R134" s="81">
        <f t="shared" si="95"/>
        <v>2.6204402768325079E-2</v>
      </c>
      <c r="S134" s="81">
        <f t="shared" si="96"/>
        <v>2.4170201306133468E-2</v>
      </c>
      <c r="T134" s="81">
        <f t="shared" si="97"/>
        <v>3.7313432835820895E-3</v>
      </c>
      <c r="U134" s="81">
        <f t="shared" si="98"/>
        <v>9.928280532860434E-3</v>
      </c>
      <c r="V134" s="83">
        <f t="shared" si="99"/>
        <v>2.9553779553779469E-2</v>
      </c>
    </row>
    <row r="135" spans="1:24">
      <c r="A135" s="140">
        <v>112</v>
      </c>
      <c r="B135" s="119" t="s">
        <v>164</v>
      </c>
      <c r="C135" s="120" t="s">
        <v>25</v>
      </c>
      <c r="D135" s="9">
        <v>130262118.12</v>
      </c>
      <c r="E135" s="3">
        <f t="shared" si="88"/>
        <v>3.1504542867615897E-3</v>
      </c>
      <c r="F135" s="4">
        <v>128.53149999999999</v>
      </c>
      <c r="G135" s="4">
        <v>129.03540000000001</v>
      </c>
      <c r="H135" s="60">
        <v>82</v>
      </c>
      <c r="I135" s="5">
        <v>5.7600000000000001E-4</v>
      </c>
      <c r="J135" s="5">
        <v>0.2409</v>
      </c>
      <c r="K135" s="9">
        <v>130262118.12</v>
      </c>
      <c r="L135" s="16">
        <f t="shared" si="89"/>
        <v>3.1415599160203294E-3</v>
      </c>
      <c r="M135" s="4">
        <v>128.53149999999999</v>
      </c>
      <c r="N135" s="4">
        <v>129.03540000000001</v>
      </c>
      <c r="O135" s="60">
        <v>82</v>
      </c>
      <c r="P135" s="5">
        <v>5.7600000000000001E-4</v>
      </c>
      <c r="Q135" s="5">
        <v>0.2409</v>
      </c>
      <c r="R135" s="81">
        <f t="shared" si="95"/>
        <v>0</v>
      </c>
      <c r="S135" s="81">
        <f t="shared" si="96"/>
        <v>0</v>
      </c>
      <c r="T135" s="81">
        <f t="shared" si="97"/>
        <v>0</v>
      </c>
      <c r="U135" s="81">
        <f t="shared" si="98"/>
        <v>0</v>
      </c>
      <c r="V135" s="83">
        <f t="shared" si="99"/>
        <v>0</v>
      </c>
    </row>
    <row r="136" spans="1:24">
      <c r="A136" s="140">
        <v>113</v>
      </c>
      <c r="B136" s="119" t="s">
        <v>165</v>
      </c>
      <c r="C136" s="120" t="s">
        <v>64</v>
      </c>
      <c r="D136" s="9">
        <v>182459968.69</v>
      </c>
      <c r="E136" s="3">
        <f t="shared" si="88"/>
        <v>4.4128853331883459E-3</v>
      </c>
      <c r="F136" s="4">
        <v>115.38</v>
      </c>
      <c r="G136" s="4">
        <v>117.51</v>
      </c>
      <c r="H136" s="60">
        <v>29</v>
      </c>
      <c r="I136" s="5">
        <v>2.8E-3</v>
      </c>
      <c r="J136" s="5">
        <v>0.11990000000000001</v>
      </c>
      <c r="K136" s="9">
        <v>182925818.47999999</v>
      </c>
      <c r="L136" s="16">
        <f t="shared" si="89"/>
        <v>4.4116618648299523E-3</v>
      </c>
      <c r="M136" s="4">
        <v>115.67</v>
      </c>
      <c r="N136" s="4">
        <v>117.88</v>
      </c>
      <c r="O136" s="60">
        <v>29</v>
      </c>
      <c r="P136" s="5">
        <v>0.1231</v>
      </c>
      <c r="Q136" s="5">
        <v>3.2000000000000002E-3</v>
      </c>
      <c r="R136" s="81">
        <f t="shared" si="95"/>
        <v>2.5531616241339589E-3</v>
      </c>
      <c r="S136" s="81">
        <f t="shared" si="96"/>
        <v>3.1486681984511135E-3</v>
      </c>
      <c r="T136" s="81">
        <f t="shared" si="97"/>
        <v>0</v>
      </c>
      <c r="U136" s="81">
        <f t="shared" si="98"/>
        <v>0.1203</v>
      </c>
      <c r="V136" s="83">
        <f t="shared" si="99"/>
        <v>-0.11670000000000001</v>
      </c>
    </row>
    <row r="137" spans="1:24" ht="15.75" customHeight="1">
      <c r="A137" s="140">
        <v>114</v>
      </c>
      <c r="B137" s="119" t="s">
        <v>166</v>
      </c>
      <c r="C137" s="120" t="s">
        <v>67</v>
      </c>
      <c r="D137" s="2">
        <v>468779232.25999999</v>
      </c>
      <c r="E137" s="3">
        <f t="shared" si="88"/>
        <v>1.1337659506333258E-2</v>
      </c>
      <c r="F137" s="4">
        <v>1.2676000000000001</v>
      </c>
      <c r="G137" s="4">
        <v>1.2803</v>
      </c>
      <c r="H137" s="60">
        <v>103</v>
      </c>
      <c r="I137" s="5">
        <v>-6.3071586250387248E-4</v>
      </c>
      <c r="J137" s="5">
        <v>0.2581181003137622</v>
      </c>
      <c r="K137" s="2">
        <v>468779232.25999999</v>
      </c>
      <c r="L137" s="16">
        <f t="shared" si="89"/>
        <v>1.1305650996509375E-2</v>
      </c>
      <c r="M137" s="4">
        <v>1.2676000000000001</v>
      </c>
      <c r="N137" s="4">
        <v>1.2803</v>
      </c>
      <c r="O137" s="60">
        <v>103</v>
      </c>
      <c r="P137" s="5">
        <v>-6.3071586250387248E-4</v>
      </c>
      <c r="Q137" s="5">
        <v>0.2581181003137622</v>
      </c>
      <c r="R137" s="81">
        <f t="shared" si="95"/>
        <v>0</v>
      </c>
      <c r="S137" s="81">
        <f t="shared" si="96"/>
        <v>0</v>
      </c>
      <c r="T137" s="81">
        <f t="shared" si="97"/>
        <v>0</v>
      </c>
      <c r="U137" s="81">
        <f t="shared" si="98"/>
        <v>0</v>
      </c>
      <c r="V137" s="83">
        <f t="shared" si="99"/>
        <v>0</v>
      </c>
      <c r="X137" s="109"/>
    </row>
    <row r="138" spans="1:24">
      <c r="A138" s="131">
        <v>115</v>
      </c>
      <c r="B138" s="119" t="s">
        <v>167</v>
      </c>
      <c r="C138" s="120" t="s">
        <v>27</v>
      </c>
      <c r="D138" s="4">
        <v>6916956963.1700001</v>
      </c>
      <c r="E138" s="3">
        <f t="shared" si="88"/>
        <v>0.167290053551022</v>
      </c>
      <c r="F138" s="4">
        <v>261.24</v>
      </c>
      <c r="G138" s="4">
        <v>263.48</v>
      </c>
      <c r="H138" s="60">
        <v>5469</v>
      </c>
      <c r="I138" s="5">
        <v>6.1000000000000004E-3</v>
      </c>
      <c r="J138" s="5">
        <v>0.41510000000000002</v>
      </c>
      <c r="K138" s="4">
        <v>7032842469.9300003</v>
      </c>
      <c r="L138" s="16">
        <f t="shared" si="89"/>
        <v>0.16961259588043845</v>
      </c>
      <c r="M138" s="4">
        <v>264.82</v>
      </c>
      <c r="N138" s="4">
        <v>267.11</v>
      </c>
      <c r="O138" s="60">
        <v>5471</v>
      </c>
      <c r="P138" s="5">
        <v>1.37E-2</v>
      </c>
      <c r="Q138" s="5">
        <v>0.43309999999999998</v>
      </c>
      <c r="R138" s="81">
        <f t="shared" si="95"/>
        <v>1.6753827929976102E-2</v>
      </c>
      <c r="S138" s="81">
        <f t="shared" si="96"/>
        <v>1.3777136784575662E-2</v>
      </c>
      <c r="T138" s="81">
        <f t="shared" si="97"/>
        <v>3.6569756811117204E-4</v>
      </c>
      <c r="U138" s="81">
        <f t="shared" si="98"/>
        <v>7.6E-3</v>
      </c>
      <c r="V138" s="83">
        <f t="shared" si="99"/>
        <v>1.799999999999996E-2</v>
      </c>
    </row>
    <row r="139" spans="1:24">
      <c r="A139" s="132">
        <v>116</v>
      </c>
      <c r="B139" s="119" t="s">
        <v>168</v>
      </c>
      <c r="C139" s="120" t="s">
        <v>72</v>
      </c>
      <c r="D139" s="4">
        <v>2439013019.52</v>
      </c>
      <c r="E139" s="3">
        <f t="shared" si="88"/>
        <v>5.8988746181260945E-2</v>
      </c>
      <c r="F139" s="4">
        <v>1.6994</v>
      </c>
      <c r="G139" s="4">
        <v>1.7292000000000001</v>
      </c>
      <c r="H139" s="60">
        <v>10316</v>
      </c>
      <c r="I139" s="5">
        <v>6.1999999999999998E-3</v>
      </c>
      <c r="J139" s="5">
        <v>0.32090000000000002</v>
      </c>
      <c r="K139" s="4">
        <v>2463002903.04</v>
      </c>
      <c r="L139" s="16">
        <f t="shared" si="89"/>
        <v>5.9400778253153201E-2</v>
      </c>
      <c r="M139" s="4">
        <v>1.7162999999999999</v>
      </c>
      <c r="N139" s="4">
        <v>1.7461</v>
      </c>
      <c r="O139" s="60">
        <v>10315</v>
      </c>
      <c r="P139" s="5">
        <v>9.9000000000000008E-3</v>
      </c>
      <c r="Q139" s="5">
        <v>0.33389999999999997</v>
      </c>
      <c r="R139" s="81">
        <f t="shared" si="95"/>
        <v>9.8358980981254514E-3</v>
      </c>
      <c r="S139" s="81">
        <f t="shared" si="96"/>
        <v>9.7733055748322421E-3</v>
      </c>
      <c r="T139" s="81">
        <f t="shared" si="97"/>
        <v>-9.6936797208220236E-5</v>
      </c>
      <c r="U139" s="81">
        <f t="shared" si="98"/>
        <v>3.700000000000001E-3</v>
      </c>
      <c r="V139" s="83">
        <f t="shared" si="99"/>
        <v>1.2999999999999956E-2</v>
      </c>
    </row>
    <row r="140" spans="1:24">
      <c r="A140" s="134">
        <v>117</v>
      </c>
      <c r="B140" s="119" t="s">
        <v>169</v>
      </c>
      <c r="C140" s="120" t="s">
        <v>74</v>
      </c>
      <c r="D140" s="4">
        <v>183670646.64915165</v>
      </c>
      <c r="E140" s="3">
        <f t="shared" si="88"/>
        <v>4.4421661833798295E-3</v>
      </c>
      <c r="F140" s="4">
        <v>114.48879767624999</v>
      </c>
      <c r="G140" s="4">
        <v>119.95726949009703</v>
      </c>
      <c r="H140" s="60">
        <v>60</v>
      </c>
      <c r="I140" s="5">
        <v>2.2864000000000001E-4</v>
      </c>
      <c r="J140" s="5">
        <v>5.7730946750277123E-2</v>
      </c>
      <c r="K140" s="4">
        <v>183670646.64915165</v>
      </c>
      <c r="L140" s="16">
        <f t="shared" si="89"/>
        <v>4.4296250482504318E-3</v>
      </c>
      <c r="M140" s="4">
        <v>116.561444647755</v>
      </c>
      <c r="N140" s="4">
        <v>122.07339708912514</v>
      </c>
      <c r="O140" s="60">
        <v>60</v>
      </c>
      <c r="P140" s="5">
        <v>1.8103491464431354E-2</v>
      </c>
      <c r="Q140" s="5">
        <v>7.6883068274227861E-2</v>
      </c>
      <c r="R140" s="81">
        <f t="shared" si="95"/>
        <v>0</v>
      </c>
      <c r="S140" s="81">
        <f t="shared" si="96"/>
        <v>1.7640678285052155E-2</v>
      </c>
      <c r="T140" s="81">
        <f t="shared" si="97"/>
        <v>0</v>
      </c>
      <c r="U140" s="81">
        <f t="shared" si="98"/>
        <v>1.7874851464431355E-2</v>
      </c>
      <c r="V140" s="83">
        <f t="shared" si="99"/>
        <v>1.9152121523950738E-2</v>
      </c>
    </row>
    <row r="141" spans="1:24" ht="13.5" customHeight="1">
      <c r="A141" s="138">
        <v>118</v>
      </c>
      <c r="B141" s="119" t="s">
        <v>241</v>
      </c>
      <c r="C141" s="120" t="s">
        <v>32</v>
      </c>
      <c r="D141" s="2">
        <v>2569270370.1487002</v>
      </c>
      <c r="E141" s="3">
        <f t="shared" si="88"/>
        <v>6.2139085163867964E-2</v>
      </c>
      <c r="F141" s="4">
        <v>3.5325000000000002</v>
      </c>
      <c r="G141" s="4">
        <v>3.6006</v>
      </c>
      <c r="H141" s="60">
        <v>2268</v>
      </c>
      <c r="I141" s="5">
        <v>-2.4790878723462972E-2</v>
      </c>
      <c r="J141" s="5">
        <v>0.14483406792844189</v>
      </c>
      <c r="K141" s="2">
        <v>2595906660.5556002</v>
      </c>
      <c r="L141" s="16">
        <f t="shared" si="89"/>
        <v>6.2606047162682699E-2</v>
      </c>
      <c r="M141" s="4">
        <v>3.5758999999999999</v>
      </c>
      <c r="N141" s="4">
        <v>3.6459000000000001</v>
      </c>
      <c r="O141" s="60">
        <v>2274</v>
      </c>
      <c r="P141" s="5">
        <v>1.228591648973798E-2</v>
      </c>
      <c r="Q141" s="5">
        <v>0.15889940368161781</v>
      </c>
      <c r="R141" s="81">
        <f t="shared" si="95"/>
        <v>1.0367258625785776E-2</v>
      </c>
      <c r="S141" s="81">
        <f t="shared" si="96"/>
        <v>1.2581236460589935E-2</v>
      </c>
      <c r="T141" s="81">
        <f t="shared" si="97"/>
        <v>2.6455026455026454E-3</v>
      </c>
      <c r="U141" s="81">
        <f t="shared" si="98"/>
        <v>3.7076795213200953E-2</v>
      </c>
      <c r="V141" s="83">
        <f t="shared" si="99"/>
        <v>1.4065335753175923E-2</v>
      </c>
    </row>
    <row r="142" spans="1:24">
      <c r="A142" s="138">
        <v>119</v>
      </c>
      <c r="B142" s="119" t="s">
        <v>170</v>
      </c>
      <c r="C142" s="120" t="s">
        <v>114</v>
      </c>
      <c r="D142" s="2">
        <v>175235353.69</v>
      </c>
      <c r="E142" s="3">
        <f t="shared" si="88"/>
        <v>4.2381544165915165E-3</v>
      </c>
      <c r="F142" s="4">
        <v>174.72325900000001</v>
      </c>
      <c r="G142" s="4">
        <v>180.23189500000001</v>
      </c>
      <c r="H142" s="60">
        <v>138</v>
      </c>
      <c r="I142" s="5">
        <v>5.5999999999999999E-3</v>
      </c>
      <c r="J142" s="5">
        <v>0.19689999999999999</v>
      </c>
      <c r="K142" s="2">
        <v>176865170.72</v>
      </c>
      <c r="L142" s="16">
        <f t="shared" si="89"/>
        <v>4.2654959008280894E-3</v>
      </c>
      <c r="M142" s="4">
        <v>176.34831299999999</v>
      </c>
      <c r="N142" s="4">
        <v>181.959811</v>
      </c>
      <c r="O142" s="60">
        <v>139</v>
      </c>
      <c r="P142" s="5">
        <v>8.3999999999999995E-3</v>
      </c>
      <c r="Q142" s="5">
        <v>0.2084</v>
      </c>
      <c r="R142" s="81">
        <f t="shared" si="95"/>
        <v>9.3007318196944889E-3</v>
      </c>
      <c r="S142" s="81">
        <f t="shared" si="96"/>
        <v>9.5871821133545389E-3</v>
      </c>
      <c r="T142" s="81">
        <f t="shared" si="97"/>
        <v>7.246376811594203E-3</v>
      </c>
      <c r="U142" s="81">
        <f t="shared" si="98"/>
        <v>2.7999999999999995E-3</v>
      </c>
      <c r="V142" s="83">
        <f t="shared" si="99"/>
        <v>1.150000000000001E-2</v>
      </c>
    </row>
    <row r="143" spans="1:24">
      <c r="A143" s="138">
        <v>120</v>
      </c>
      <c r="B143" s="119" t="s">
        <v>171</v>
      </c>
      <c r="C143" s="120" t="s">
        <v>29</v>
      </c>
      <c r="D143" s="2">
        <v>1550880624.8</v>
      </c>
      <c r="E143" s="3">
        <f t="shared" si="88"/>
        <v>3.7508821314847604E-2</v>
      </c>
      <c r="F143" s="4">
        <v>552.22</v>
      </c>
      <c r="G143" s="4">
        <v>552.22</v>
      </c>
      <c r="H143" s="60">
        <v>818</v>
      </c>
      <c r="I143" s="5">
        <v>1.248E-3</v>
      </c>
      <c r="J143" s="5">
        <v>0.34751300000000002</v>
      </c>
      <c r="K143" s="2">
        <v>1545020162.47</v>
      </c>
      <c r="L143" s="16">
        <f t="shared" ref="L143:L150" si="100">(K143/$K$151)</f>
        <v>3.7261588264575728E-2</v>
      </c>
      <c r="M143" s="4">
        <v>552.22</v>
      </c>
      <c r="N143" s="4">
        <v>552.22</v>
      </c>
      <c r="O143" s="60">
        <v>818</v>
      </c>
      <c r="P143" s="5">
        <v>-3.8E-3</v>
      </c>
      <c r="Q143" s="5">
        <v>0.34239999999999998</v>
      </c>
      <c r="R143" s="81">
        <f t="shared" si="95"/>
        <v>-3.7787965342307912E-3</v>
      </c>
      <c r="S143" s="81">
        <f t="shared" si="96"/>
        <v>0</v>
      </c>
      <c r="T143" s="81">
        <f t="shared" si="97"/>
        <v>0</v>
      </c>
      <c r="U143" s="81">
        <f t="shared" si="98"/>
        <v>-5.0480000000000004E-3</v>
      </c>
      <c r="V143" s="83">
        <f t="shared" si="99"/>
        <v>-5.1130000000000342E-3</v>
      </c>
    </row>
    <row r="144" spans="1:24">
      <c r="A144" s="134">
        <v>121</v>
      </c>
      <c r="B144" s="119" t="s">
        <v>172</v>
      </c>
      <c r="C144" s="120" t="s">
        <v>80</v>
      </c>
      <c r="D144" s="2">
        <v>26219020.989999998</v>
      </c>
      <c r="E144" s="3">
        <f t="shared" si="88"/>
        <v>6.3412009772897428E-4</v>
      </c>
      <c r="F144" s="4">
        <v>1.58</v>
      </c>
      <c r="G144" s="4">
        <v>1.58</v>
      </c>
      <c r="H144" s="60">
        <v>8</v>
      </c>
      <c r="I144" s="5">
        <v>1.9970000000000001E-3</v>
      </c>
      <c r="J144" s="5">
        <v>0.30562699999999998</v>
      </c>
      <c r="K144" s="2">
        <v>26543174.739999998</v>
      </c>
      <c r="L144" s="16">
        <f t="shared" si="100"/>
        <v>6.4014753491333236E-4</v>
      </c>
      <c r="M144" s="4">
        <v>1.6</v>
      </c>
      <c r="N144" s="4">
        <v>1.6</v>
      </c>
      <c r="O144" s="60">
        <v>8</v>
      </c>
      <c r="P144" s="5">
        <v>1.2363000000000001E-2</v>
      </c>
      <c r="Q144" s="5">
        <v>0.32176900000000003</v>
      </c>
      <c r="R144" s="81">
        <f t="shared" si="95"/>
        <v>1.2363304874107736E-2</v>
      </c>
      <c r="S144" s="81">
        <f t="shared" si="96"/>
        <v>1.2658227848101276E-2</v>
      </c>
      <c r="T144" s="81">
        <f t="shared" si="97"/>
        <v>0</v>
      </c>
      <c r="U144" s="81">
        <f t="shared" si="98"/>
        <v>1.0366E-2</v>
      </c>
      <c r="V144" s="83">
        <f t="shared" si="99"/>
        <v>1.6142000000000045E-2</v>
      </c>
    </row>
    <row r="145" spans="1:22">
      <c r="A145" s="136">
        <v>122</v>
      </c>
      <c r="B145" s="119" t="s">
        <v>173</v>
      </c>
      <c r="C145" s="120" t="s">
        <v>38</v>
      </c>
      <c r="D145" s="4">
        <v>215014833.28</v>
      </c>
      <c r="E145" s="3">
        <f t="shared" si="88"/>
        <v>5.200240967986376E-3</v>
      </c>
      <c r="F145" s="4">
        <v>2.2000000000000002</v>
      </c>
      <c r="G145" s="4">
        <v>2.2400000000000002</v>
      </c>
      <c r="H145" s="60">
        <v>115</v>
      </c>
      <c r="I145" s="5">
        <v>1.1000000000000001E-3</v>
      </c>
      <c r="J145" s="5">
        <v>0.39750000000000002</v>
      </c>
      <c r="K145" s="4">
        <v>221069600.75</v>
      </c>
      <c r="L145" s="16">
        <f t="shared" si="100"/>
        <v>5.3315837819175307E-3</v>
      </c>
      <c r="M145" s="4">
        <v>2.25</v>
      </c>
      <c r="N145" s="4">
        <v>2.2999999999999998</v>
      </c>
      <c r="O145" s="60">
        <v>115</v>
      </c>
      <c r="P145" s="5">
        <v>1.1999999999999999E-3</v>
      </c>
      <c r="Q145" s="5">
        <v>0.43099999999999999</v>
      </c>
      <c r="R145" s="81">
        <f t="shared" si="95"/>
        <v>2.8159766364189695E-2</v>
      </c>
      <c r="S145" s="81">
        <f t="shared" si="96"/>
        <v>2.6785714285714107E-2</v>
      </c>
      <c r="T145" s="81">
        <v>1.1200000000000001</v>
      </c>
      <c r="U145" s="81">
        <f t="shared" si="98"/>
        <v>9.9999999999999829E-5</v>
      </c>
      <c r="V145" s="83">
        <f t="shared" si="99"/>
        <v>3.3499999999999974E-2</v>
      </c>
    </row>
    <row r="146" spans="1:22">
      <c r="A146" s="135">
        <v>123</v>
      </c>
      <c r="B146" s="119" t="s">
        <v>174</v>
      </c>
      <c r="C146" s="120" t="s">
        <v>42</v>
      </c>
      <c r="D146" s="2">
        <v>2200542789.6399999</v>
      </c>
      <c r="E146" s="3">
        <f t="shared" si="88"/>
        <v>5.3221224749601392E-2</v>
      </c>
      <c r="F146" s="4">
        <v>4836.0600000000004</v>
      </c>
      <c r="G146" s="4">
        <v>4878.7</v>
      </c>
      <c r="H146" s="60">
        <v>3616</v>
      </c>
      <c r="I146" s="5">
        <v>8.2000000000000007E-3</v>
      </c>
      <c r="J146" s="5">
        <v>0.32679999999999998</v>
      </c>
      <c r="K146" s="2">
        <v>2249912564.2600002</v>
      </c>
      <c r="L146" s="3">
        <f t="shared" si="100"/>
        <v>5.4261632072636297E-2</v>
      </c>
      <c r="M146" s="4">
        <v>4898.57</v>
      </c>
      <c r="N146" s="4">
        <v>4941.71</v>
      </c>
      <c r="O146" s="60">
        <v>3641</v>
      </c>
      <c r="P146" s="5">
        <v>1.29E-2</v>
      </c>
      <c r="Q146" s="5">
        <v>0.34389999999999998</v>
      </c>
      <c r="R146" s="81">
        <f t="shared" si="95"/>
        <v>2.243527135778944E-2</v>
      </c>
      <c r="S146" s="81">
        <f t="shared" si="96"/>
        <v>1.291532580400521E-2</v>
      </c>
      <c r="T146" s="81">
        <f t="shared" si="97"/>
        <v>6.9137168141592924E-3</v>
      </c>
      <c r="U146" s="81">
        <f t="shared" si="98"/>
        <v>4.6999999999999993E-3</v>
      </c>
      <c r="V146" s="83">
        <f t="shared" si="99"/>
        <v>1.7100000000000004E-2</v>
      </c>
    </row>
    <row r="147" spans="1:22">
      <c r="A147" s="131">
        <v>124</v>
      </c>
      <c r="B147" s="119" t="s">
        <v>175</v>
      </c>
      <c r="C147" s="120" t="s">
        <v>45</v>
      </c>
      <c r="D147" s="4">
        <v>1598844818.3299999</v>
      </c>
      <c r="E147" s="3">
        <f t="shared" si="88"/>
        <v>3.866885925449208E-2</v>
      </c>
      <c r="F147" s="4">
        <v>1.7774000000000001</v>
      </c>
      <c r="G147" s="4">
        <v>1.7891999999999999</v>
      </c>
      <c r="H147" s="60">
        <v>1934</v>
      </c>
      <c r="I147" s="5">
        <v>-1.2999999999999999E-3</v>
      </c>
      <c r="J147" s="5">
        <v>0.39739999999999998</v>
      </c>
      <c r="K147" s="4">
        <v>1616044344.6800001</v>
      </c>
      <c r="L147" s="16">
        <f t="shared" si="100"/>
        <v>3.8974493959027211E-2</v>
      </c>
      <c r="M147" s="4">
        <v>1.7961</v>
      </c>
      <c r="N147" s="4">
        <v>1.8081</v>
      </c>
      <c r="O147" s="60">
        <v>1934</v>
      </c>
      <c r="P147" s="5">
        <v>1.0500000000000001E-2</v>
      </c>
      <c r="Q147" s="5">
        <v>0.38319999999999999</v>
      </c>
      <c r="R147" s="81">
        <f t="shared" si="95"/>
        <v>1.0757470739383651E-2</v>
      </c>
      <c r="S147" s="81">
        <f t="shared" si="96"/>
        <v>1.0563380281690219E-2</v>
      </c>
      <c r="T147" s="81">
        <f t="shared" si="97"/>
        <v>0</v>
      </c>
      <c r="U147" s="81">
        <f t="shared" si="98"/>
        <v>1.1800000000000001E-2</v>
      </c>
      <c r="V147" s="83">
        <f t="shared" si="99"/>
        <v>-1.419999999999999E-2</v>
      </c>
    </row>
    <row r="148" spans="1:22">
      <c r="A148" s="131">
        <v>125</v>
      </c>
      <c r="B148" s="119" t="s">
        <v>176</v>
      </c>
      <c r="C148" s="120" t="s">
        <v>45</v>
      </c>
      <c r="D148" s="4">
        <v>846946231.47000003</v>
      </c>
      <c r="E148" s="3">
        <f t="shared" si="88"/>
        <v>2.0483816969206481E-2</v>
      </c>
      <c r="F148" s="4">
        <v>1.3680000000000001</v>
      </c>
      <c r="G148" s="4">
        <v>1.3774</v>
      </c>
      <c r="H148" s="60">
        <v>459</v>
      </c>
      <c r="I148" s="5">
        <v>8.6E-3</v>
      </c>
      <c r="J148" s="5">
        <v>0.29170000000000001</v>
      </c>
      <c r="K148" s="4">
        <v>860790060.72000003</v>
      </c>
      <c r="L148" s="16">
        <f t="shared" si="100"/>
        <v>2.0759861653527497E-2</v>
      </c>
      <c r="M148" s="4">
        <v>1.3900999999999999</v>
      </c>
      <c r="N148" s="4">
        <v>1.3997999999999999</v>
      </c>
      <c r="O148" s="60">
        <v>459</v>
      </c>
      <c r="P148" s="5">
        <v>1.6199999999999999E-2</v>
      </c>
      <c r="Q148" s="5">
        <v>0.29089999999999999</v>
      </c>
      <c r="R148" s="81">
        <f t="shared" si="95"/>
        <v>1.6345582205344954E-2</v>
      </c>
      <c r="S148" s="81">
        <f t="shared" si="96"/>
        <v>1.6262523595179306E-2</v>
      </c>
      <c r="T148" s="81">
        <f t="shared" si="97"/>
        <v>0</v>
      </c>
      <c r="U148" s="81">
        <f t="shared" si="98"/>
        <v>7.5999999999999991E-3</v>
      </c>
      <c r="V148" s="83">
        <f t="shared" si="99"/>
        <v>-8.0000000000002292E-4</v>
      </c>
    </row>
    <row r="149" spans="1:22">
      <c r="A149" s="138">
        <v>126</v>
      </c>
      <c r="B149" s="119" t="s">
        <v>177</v>
      </c>
      <c r="C149" s="120" t="s">
        <v>87</v>
      </c>
      <c r="D149" s="4">
        <v>7162898834.0299997</v>
      </c>
      <c r="E149" s="3">
        <f t="shared" si="88"/>
        <v>0.17323828034579331</v>
      </c>
      <c r="F149" s="4">
        <v>350.99</v>
      </c>
      <c r="G149" s="4">
        <v>354.69</v>
      </c>
      <c r="H149" s="60">
        <v>29</v>
      </c>
      <c r="I149" s="5">
        <v>6.88E-2</v>
      </c>
      <c r="J149" s="5">
        <v>0.8488</v>
      </c>
      <c r="K149" s="4">
        <v>6855874612.6599998</v>
      </c>
      <c r="L149" s="16">
        <f t="shared" si="100"/>
        <v>0.16534462346568557</v>
      </c>
      <c r="M149" s="4">
        <v>335.77</v>
      </c>
      <c r="N149" s="4">
        <v>339.58</v>
      </c>
      <c r="O149" s="60">
        <v>29</v>
      </c>
      <c r="P149" s="5">
        <v>-4.2900000000000001E-2</v>
      </c>
      <c r="Q149" s="5">
        <v>0.77229999999999999</v>
      </c>
      <c r="R149" s="81">
        <f t="shared" si="95"/>
        <v>-4.2863124062477019E-2</v>
      </c>
      <c r="S149" s="81">
        <f t="shared" si="96"/>
        <v>-4.2600580788857915E-2</v>
      </c>
      <c r="T149" s="81">
        <f t="shared" si="97"/>
        <v>0</v>
      </c>
      <c r="U149" s="81">
        <f t="shared" si="98"/>
        <v>-0.11169999999999999</v>
      </c>
      <c r="V149" s="83">
        <f t="shared" si="99"/>
        <v>-7.6500000000000012E-2</v>
      </c>
    </row>
    <row r="150" spans="1:22">
      <c r="A150" s="128">
        <v>127</v>
      </c>
      <c r="B150" s="119" t="s">
        <v>178</v>
      </c>
      <c r="C150" s="120" t="s">
        <v>40</v>
      </c>
      <c r="D150" s="2">
        <v>280721032.12</v>
      </c>
      <c r="E150" s="3">
        <f t="shared" si="88"/>
        <v>6.7893781537612221E-3</v>
      </c>
      <c r="F150" s="4">
        <v>199.69</v>
      </c>
      <c r="G150" s="4">
        <v>202.79</v>
      </c>
      <c r="H150" s="60">
        <v>734</v>
      </c>
      <c r="I150" s="5">
        <v>1.37E-2</v>
      </c>
      <c r="J150" s="5">
        <v>0.44450000000000001</v>
      </c>
      <c r="K150" s="2">
        <v>288938337.35000002</v>
      </c>
      <c r="L150" s="16">
        <f t="shared" si="100"/>
        <v>6.9683889063135987E-3</v>
      </c>
      <c r="M150" s="4">
        <v>208.72</v>
      </c>
      <c r="N150" s="4">
        <v>212.02</v>
      </c>
      <c r="O150" s="60">
        <v>734</v>
      </c>
      <c r="P150" s="5">
        <v>2.0400000000000001E-2</v>
      </c>
      <c r="Q150" s="5">
        <v>0.44640000000000002</v>
      </c>
      <c r="R150" s="81">
        <f t="shared" si="95"/>
        <v>2.9272139561268649E-2</v>
      </c>
      <c r="S150" s="81">
        <f t="shared" si="96"/>
        <v>4.5515064845406669E-2</v>
      </c>
      <c r="T150" s="81">
        <f t="shared" si="97"/>
        <v>0</v>
      </c>
      <c r="U150" s="81">
        <f t="shared" si="98"/>
        <v>6.7000000000000011E-3</v>
      </c>
      <c r="V150" s="83">
        <f t="shared" si="99"/>
        <v>1.9000000000000128E-3</v>
      </c>
    </row>
    <row r="151" spans="1:22">
      <c r="A151" s="84"/>
      <c r="B151" s="19"/>
      <c r="C151" s="71" t="s">
        <v>46</v>
      </c>
      <c r="D151" s="72">
        <f>SUM(D127:D150)</f>
        <v>41347090375.940308</v>
      </c>
      <c r="E151" s="104">
        <f>(D151/$D$177)</f>
        <v>1.8361053880946013E-2</v>
      </c>
      <c r="F151" s="30"/>
      <c r="G151" s="36"/>
      <c r="H151" s="65">
        <f>SUM(H127:H150)</f>
        <v>69959</v>
      </c>
      <c r="I151" s="37"/>
      <c r="J151" s="37"/>
      <c r="K151" s="72">
        <f>SUM(K127:K150)</f>
        <v>41464152077.994957</v>
      </c>
      <c r="L151" s="104">
        <f>(K151/$K$177)</f>
        <v>1.9932729998194551E-2</v>
      </c>
      <c r="M151" s="30"/>
      <c r="N151" s="36"/>
      <c r="O151" s="65">
        <f>SUM(O127:O150)</f>
        <v>69993</v>
      </c>
      <c r="P151" s="37"/>
      <c r="Q151" s="37"/>
      <c r="R151" s="81">
        <f t="shared" si="95"/>
        <v>2.8311956413447424E-3</v>
      </c>
      <c r="S151" s="81" t="e">
        <f t="shared" si="96"/>
        <v>#DIV/0!</v>
      </c>
      <c r="T151" s="81">
        <f t="shared" si="97"/>
        <v>4.8599894223759629E-4</v>
      </c>
      <c r="U151" s="81">
        <f t="shared" si="98"/>
        <v>0</v>
      </c>
      <c r="V151" s="83">
        <f t="shared" si="99"/>
        <v>0</v>
      </c>
    </row>
    <row r="152" spans="1:22" ht="8.25" customHeight="1">
      <c r="A152" s="144"/>
      <c r="B152" s="144"/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</row>
    <row r="153" spans="1:22" ht="15" customHeight="1">
      <c r="A153" s="142" t="s">
        <v>179</v>
      </c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</row>
    <row r="154" spans="1:22">
      <c r="A154" s="138">
        <v>128</v>
      </c>
      <c r="B154" s="119" t="s">
        <v>180</v>
      </c>
      <c r="C154" s="120" t="s">
        <v>21</v>
      </c>
      <c r="D154" s="17">
        <v>749401100.59000003</v>
      </c>
      <c r="E154" s="3">
        <f>(D154/$D$157)</f>
        <v>0.1746045936933964</v>
      </c>
      <c r="F154" s="17">
        <v>53.62</v>
      </c>
      <c r="G154" s="17">
        <v>55.236600000000003</v>
      </c>
      <c r="H154" s="62">
        <v>1414</v>
      </c>
      <c r="I154" s="6">
        <v>-1.4200000000000001E-2</v>
      </c>
      <c r="J154" s="6">
        <v>0.18859999999999999</v>
      </c>
      <c r="K154" s="17">
        <v>750314910.75</v>
      </c>
      <c r="L154" s="16">
        <f>(K154/$K$157)</f>
        <v>0.17300738370772445</v>
      </c>
      <c r="M154" s="17">
        <v>53.743000000000002</v>
      </c>
      <c r="N154" s="17">
        <v>55.363399999999999</v>
      </c>
      <c r="O154" s="62">
        <v>1416</v>
      </c>
      <c r="P154" s="6">
        <v>0.1197</v>
      </c>
      <c r="Q154" s="6">
        <v>0.18770000000000001</v>
      </c>
      <c r="R154" s="81">
        <f t="shared" ref="R154" si="101">((K154-D154)/D154)</f>
        <v>1.2193872670863816E-3</v>
      </c>
      <c r="S154" s="81">
        <f t="shared" ref="S154" si="102">((N154-G154)/G154)</f>
        <v>2.2955793803383228E-3</v>
      </c>
      <c r="T154" s="81">
        <f t="shared" ref="T154" si="103">((O154-H154)/H154)</f>
        <v>1.4144271570014145E-3</v>
      </c>
      <c r="U154" s="81">
        <f t="shared" ref="U154" si="104">P154-I154</f>
        <v>0.13389999999999999</v>
      </c>
      <c r="V154" s="83">
        <f t="shared" ref="V154" si="105">Q154-J154</f>
        <v>-8.9999999999998415E-4</v>
      </c>
    </row>
    <row r="155" spans="1:22">
      <c r="A155" s="132">
        <v>129</v>
      </c>
      <c r="B155" s="119" t="s">
        <v>181</v>
      </c>
      <c r="C155" s="120" t="s">
        <v>182</v>
      </c>
      <c r="D155" s="99">
        <v>785678504.67999995</v>
      </c>
      <c r="E155" s="3">
        <f>(D155/$D$157)</f>
        <v>0.1830569450395563</v>
      </c>
      <c r="F155" s="17">
        <v>21.5913</v>
      </c>
      <c r="G155" s="17">
        <v>21.822500000000002</v>
      </c>
      <c r="H155" s="60">
        <v>1505</v>
      </c>
      <c r="I155" s="5">
        <v>6.6E-3</v>
      </c>
      <c r="J155" s="5">
        <v>0.36699999999999999</v>
      </c>
      <c r="K155" s="99">
        <v>792560953.5</v>
      </c>
      <c r="L155" s="16">
        <f>(K155/$K$157)</f>
        <v>0.18274846338435832</v>
      </c>
      <c r="M155" s="17">
        <v>21.675899999999999</v>
      </c>
      <c r="N155" s="17">
        <v>21.9087</v>
      </c>
      <c r="O155" s="60">
        <v>1506</v>
      </c>
      <c r="P155" s="5">
        <v>1.41E-2</v>
      </c>
      <c r="Q155" s="5">
        <v>0.37180000000000002</v>
      </c>
      <c r="R155" s="81">
        <f t="shared" ref="R155:R157" si="106">((K155-D155)/D155)</f>
        <v>8.7598792368682836E-3</v>
      </c>
      <c r="S155" s="81">
        <f t="shared" ref="S155:S157" si="107">((N155-G155)/G155)</f>
        <v>3.9500515522968519E-3</v>
      </c>
      <c r="T155" s="81">
        <f t="shared" ref="T155:T157" si="108">((O155-H155)/H155)</f>
        <v>6.6445182724252495E-4</v>
      </c>
      <c r="U155" s="81">
        <f t="shared" ref="U155:U157" si="109">P155-I155</f>
        <v>7.4999999999999997E-3</v>
      </c>
      <c r="V155" s="83">
        <f t="shared" ref="V155:V157" si="110">Q155-J155</f>
        <v>4.8000000000000265E-3</v>
      </c>
    </row>
    <row r="156" spans="1:22">
      <c r="A156" s="135">
        <v>130</v>
      </c>
      <c r="B156" s="119" t="s">
        <v>183</v>
      </c>
      <c r="C156" s="120" t="s">
        <v>42</v>
      </c>
      <c r="D156" s="9">
        <v>2756909996.71</v>
      </c>
      <c r="E156" s="3">
        <f>(D156/$D$157)</f>
        <v>0.6423384612670473</v>
      </c>
      <c r="F156" s="17">
        <v>1.99</v>
      </c>
      <c r="G156" s="17">
        <v>2.02</v>
      </c>
      <c r="H156" s="60">
        <v>17806</v>
      </c>
      <c r="I156" s="5">
        <v>5.0000000000000001E-3</v>
      </c>
      <c r="J156" s="5">
        <v>0.40279999999999999</v>
      </c>
      <c r="K156" s="9">
        <v>2794019444.3200002</v>
      </c>
      <c r="L156" s="16">
        <f>(K156/$K$157)</f>
        <v>0.64424415290791737</v>
      </c>
      <c r="M156" s="17">
        <v>2.02</v>
      </c>
      <c r="N156" s="17">
        <v>2.04</v>
      </c>
      <c r="O156" s="60">
        <v>17815</v>
      </c>
      <c r="P156" s="5">
        <v>9.9000000000000008E-3</v>
      </c>
      <c r="Q156" s="5">
        <v>0.41670000000000001</v>
      </c>
      <c r="R156" s="81">
        <f t="shared" si="106"/>
        <v>1.3460521980871791E-2</v>
      </c>
      <c r="S156" s="81">
        <f t="shared" si="107"/>
        <v>9.9009900990099098E-3</v>
      </c>
      <c r="T156" s="81">
        <f t="shared" si="108"/>
        <v>5.0544760193193302E-4</v>
      </c>
      <c r="U156" s="81">
        <f t="shared" si="109"/>
        <v>4.9000000000000007E-3</v>
      </c>
      <c r="V156" s="83">
        <f t="shared" si="110"/>
        <v>1.3900000000000023E-2</v>
      </c>
    </row>
    <row r="157" spans="1:22">
      <c r="A157" s="75"/>
      <c r="B157" s="19"/>
      <c r="C157" s="66" t="s">
        <v>46</v>
      </c>
      <c r="D157" s="72">
        <f>SUM(D154:D156)</f>
        <v>4291989601.98</v>
      </c>
      <c r="E157" s="104">
        <f>(D157/$D$177)</f>
        <v>1.9059491640618892E-3</v>
      </c>
      <c r="F157" s="30"/>
      <c r="G157" s="36"/>
      <c r="H157" s="65">
        <f>SUM(H154:H156)</f>
        <v>20725</v>
      </c>
      <c r="I157" s="37"/>
      <c r="J157" s="37"/>
      <c r="K157" s="72">
        <f>SUM(K154:K156)</f>
        <v>4336895308.5699997</v>
      </c>
      <c r="L157" s="104">
        <f>(K157/$K$177)</f>
        <v>2.0848409742843738E-3</v>
      </c>
      <c r="M157" s="30"/>
      <c r="N157" s="36"/>
      <c r="O157" s="65">
        <f>SUM(O154:O156)</f>
        <v>20737</v>
      </c>
      <c r="P157" s="37"/>
      <c r="Q157" s="37"/>
      <c r="R157" s="81">
        <f t="shared" si="106"/>
        <v>1.046267832738541E-2</v>
      </c>
      <c r="S157" s="81" t="e">
        <f t="shared" si="107"/>
        <v>#DIV/0!</v>
      </c>
      <c r="T157" s="81">
        <f t="shared" si="108"/>
        <v>5.7901085645355849E-4</v>
      </c>
      <c r="U157" s="81">
        <f t="shared" si="109"/>
        <v>0</v>
      </c>
      <c r="V157" s="83">
        <f t="shared" si="110"/>
        <v>0</v>
      </c>
    </row>
    <row r="158" spans="1:22" ht="6" customHeight="1">
      <c r="A158" s="144"/>
      <c r="B158" s="144"/>
      <c r="C158" s="144"/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</row>
    <row r="159" spans="1:22" ht="15" customHeight="1">
      <c r="A159" s="142" t="s">
        <v>184</v>
      </c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</row>
    <row r="160" spans="1:22">
      <c r="A160" s="143" t="s">
        <v>233</v>
      </c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</row>
    <row r="161" spans="1:24">
      <c r="A161" s="131">
        <v>131</v>
      </c>
      <c r="B161" s="119" t="s">
        <v>185</v>
      </c>
      <c r="C161" s="120" t="s">
        <v>186</v>
      </c>
      <c r="D161" s="13">
        <v>3659837010.8699999</v>
      </c>
      <c r="E161" s="3">
        <f>(D161/$D$176)</f>
        <v>8.0392308538332499E-2</v>
      </c>
      <c r="F161" s="18">
        <v>1.78</v>
      </c>
      <c r="G161" s="18">
        <v>1.81</v>
      </c>
      <c r="H161" s="61">
        <v>14968</v>
      </c>
      <c r="I161" s="12">
        <v>1.6000000000000001E-3</v>
      </c>
      <c r="J161" s="12">
        <v>0.15790000000000001</v>
      </c>
      <c r="K161" s="13">
        <v>3715144899.6599998</v>
      </c>
      <c r="L161" s="3">
        <f>(K161/$K$176)</f>
        <v>8.1205984372956327E-2</v>
      </c>
      <c r="M161" s="18">
        <v>1.8</v>
      </c>
      <c r="N161" s="18">
        <v>1.84</v>
      </c>
      <c r="O161" s="61">
        <v>14971</v>
      </c>
      <c r="P161" s="12">
        <v>3.0999999999999999E-3</v>
      </c>
      <c r="Q161" s="12">
        <v>0.1741</v>
      </c>
      <c r="R161" s="81">
        <f t="shared" ref="R161" si="111">((K161-D161)/D161)</f>
        <v>1.5112118005728464E-2</v>
      </c>
      <c r="S161" s="81">
        <f t="shared" ref="S161:S162" si="112">((N161-G161)/G161)</f>
        <v>1.6574585635359129E-2</v>
      </c>
      <c r="T161" s="81">
        <f t="shared" ref="T161" si="113">((O161-H161)/H161)</f>
        <v>2.0042757883484769E-4</v>
      </c>
      <c r="U161" s="81">
        <f t="shared" ref="U161" si="114">P161-I161</f>
        <v>1.4999999999999998E-3</v>
      </c>
      <c r="V161" s="83">
        <f t="shared" ref="V161" si="115">Q161-J161</f>
        <v>1.6199999999999992E-2</v>
      </c>
    </row>
    <row r="162" spans="1:24">
      <c r="A162" s="135">
        <v>132</v>
      </c>
      <c r="B162" s="119" t="s">
        <v>187</v>
      </c>
      <c r="C162" s="120" t="s">
        <v>42</v>
      </c>
      <c r="D162" s="13">
        <v>526936691.64999998</v>
      </c>
      <c r="E162" s="3">
        <f>(D162/$D$176)</f>
        <v>1.1574738702701122E-2</v>
      </c>
      <c r="F162" s="18">
        <v>365.59</v>
      </c>
      <c r="G162" s="18">
        <v>369.98</v>
      </c>
      <c r="H162" s="61">
        <v>1313</v>
      </c>
      <c r="I162" s="12">
        <v>-1.1000000000000001E-3</v>
      </c>
      <c r="J162" s="12">
        <v>0.39360000000000001</v>
      </c>
      <c r="K162" s="13">
        <v>537031474</v>
      </c>
      <c r="L162" s="3">
        <f>(K162/$K$176)</f>
        <v>1.1738484140799135E-2</v>
      </c>
      <c r="M162" s="18">
        <v>367.37</v>
      </c>
      <c r="N162" s="18">
        <v>371.85</v>
      </c>
      <c r="O162" s="61">
        <v>1319</v>
      </c>
      <c r="P162" s="12">
        <v>5.1000000000000004E-3</v>
      </c>
      <c r="Q162" s="12">
        <v>0.40060000000000001</v>
      </c>
      <c r="R162" s="81">
        <f t="shared" ref="R162" si="116">((K162-D162)/D162)</f>
        <v>1.9157486107847552E-2</v>
      </c>
      <c r="S162" s="81">
        <f t="shared" si="112"/>
        <v>5.0543272609330355E-3</v>
      </c>
      <c r="T162" s="81">
        <f t="shared" ref="T162" si="117">((O162-H162)/H162)</f>
        <v>4.56968773800457E-3</v>
      </c>
      <c r="U162" s="81">
        <f t="shared" ref="U162" si="118">P162-I162</f>
        <v>6.2000000000000006E-3</v>
      </c>
      <c r="V162" s="83">
        <f t="shared" ref="V162" si="119">Q162-J162</f>
        <v>7.0000000000000062E-3</v>
      </c>
    </row>
    <row r="163" spans="1:24" ht="6" customHeight="1">
      <c r="A163" s="144"/>
      <c r="B163" s="144"/>
      <c r="C163" s="144"/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</row>
    <row r="164" spans="1:24" ht="15" customHeight="1">
      <c r="A164" s="143" t="s">
        <v>232</v>
      </c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</row>
    <row r="165" spans="1:24">
      <c r="A165" s="128">
        <v>133</v>
      </c>
      <c r="B165" s="119" t="s">
        <v>188</v>
      </c>
      <c r="C165" s="120" t="s">
        <v>189</v>
      </c>
      <c r="D165" s="2">
        <v>405287451.23000002</v>
      </c>
      <c r="E165" s="3">
        <f t="shared" ref="E165:E175" si="120">(D165/$D$176)</f>
        <v>8.9025805600701606E-3</v>
      </c>
      <c r="F165" s="2">
        <v>1026.17</v>
      </c>
      <c r="G165" s="2">
        <v>1026.17</v>
      </c>
      <c r="H165" s="60">
        <v>21</v>
      </c>
      <c r="I165" s="5">
        <v>2.8999999999999998E-3</v>
      </c>
      <c r="J165" s="5">
        <v>9.9000000000000005E-2</v>
      </c>
      <c r="K165" s="2">
        <v>406213472.52999997</v>
      </c>
      <c r="L165" s="3">
        <f t="shared" ref="L165:L175" si="121">(K165/$K$176)</f>
        <v>8.8790520405743478E-3</v>
      </c>
      <c r="M165" s="2">
        <v>1028.21</v>
      </c>
      <c r="N165" s="2">
        <v>1028.21</v>
      </c>
      <c r="O165" s="60">
        <v>21</v>
      </c>
      <c r="P165" s="5">
        <v>2.5999999999999999E-3</v>
      </c>
      <c r="Q165" s="5">
        <v>0.1008</v>
      </c>
      <c r="R165" s="81">
        <f t="shared" ref="R165" si="122">((K165-D165)/D165)</f>
        <v>2.2848506589325328E-3</v>
      </c>
      <c r="S165" s="81">
        <f t="shared" ref="S165" si="123">((N165-G165)/G165)</f>
        <v>1.9879747020473833E-3</v>
      </c>
      <c r="T165" s="81">
        <f t="shared" ref="T165" si="124">((O165-H165)/H165)</f>
        <v>0</v>
      </c>
      <c r="U165" s="81">
        <f t="shared" ref="U165" si="125">P165-I165</f>
        <v>-2.9999999999999992E-4</v>
      </c>
      <c r="V165" s="83">
        <f t="shared" ref="V165" si="126">Q165-J165</f>
        <v>1.799999999999996E-3</v>
      </c>
      <c r="X165" s="70"/>
    </row>
    <row r="166" spans="1:24">
      <c r="A166" s="134">
        <v>134</v>
      </c>
      <c r="B166" s="119" t="s">
        <v>190</v>
      </c>
      <c r="C166" s="120" t="s">
        <v>58</v>
      </c>
      <c r="D166" s="2">
        <v>54170476.539999999</v>
      </c>
      <c r="E166" s="3">
        <f t="shared" si="120"/>
        <v>1.1899135537287104E-3</v>
      </c>
      <c r="F166" s="17">
        <v>108.64</v>
      </c>
      <c r="G166" s="17">
        <v>108.64</v>
      </c>
      <c r="H166" s="60">
        <v>60</v>
      </c>
      <c r="I166" s="5">
        <v>1.6999999999999999E-3</v>
      </c>
      <c r="J166" s="5">
        <v>0.1104</v>
      </c>
      <c r="K166" s="2">
        <v>57938955.149999999</v>
      </c>
      <c r="L166" s="3">
        <f t="shared" si="121"/>
        <v>1.266435095688167E-3</v>
      </c>
      <c r="M166" s="17">
        <v>109</v>
      </c>
      <c r="N166" s="17">
        <v>109</v>
      </c>
      <c r="O166" s="60">
        <v>62</v>
      </c>
      <c r="P166" s="5">
        <v>1.6000000000000001E-3</v>
      </c>
      <c r="Q166" s="5">
        <v>0.1099</v>
      </c>
      <c r="R166" s="81">
        <f t="shared" ref="R166:R177" si="127">((K166-D166)/D166)</f>
        <v>6.9567019725538484E-2</v>
      </c>
      <c r="S166" s="81">
        <f t="shared" ref="S166:S176" si="128">((N166-G166)/G166)</f>
        <v>3.3136966126656796E-3</v>
      </c>
      <c r="T166" s="81">
        <f t="shared" ref="T166:T176" si="129">((O166-H166)/H166)</f>
        <v>3.3333333333333333E-2</v>
      </c>
      <c r="U166" s="81">
        <f t="shared" ref="U166:U176" si="130">P166-I166</f>
        <v>-9.9999999999999829E-5</v>
      </c>
      <c r="V166" s="83">
        <f t="shared" ref="V166:V176" si="131">Q166-J166</f>
        <v>-5.0000000000000044E-4</v>
      </c>
    </row>
    <row r="167" spans="1:24">
      <c r="A167" s="138">
        <v>135</v>
      </c>
      <c r="B167" s="139" t="s">
        <v>191</v>
      </c>
      <c r="C167" s="120" t="s">
        <v>64</v>
      </c>
      <c r="D167" s="9">
        <v>54319096.439999998</v>
      </c>
      <c r="E167" s="3">
        <f t="shared" si="120"/>
        <v>1.1931781518024088E-3</v>
      </c>
      <c r="F167" s="17">
        <v>103.8</v>
      </c>
      <c r="G167" s="17">
        <v>110.9</v>
      </c>
      <c r="H167" s="60">
        <v>10</v>
      </c>
      <c r="I167" s="5">
        <v>1.2999999999999999E-3</v>
      </c>
      <c r="J167" s="5">
        <v>8.2900000000000001E-2</v>
      </c>
      <c r="K167" s="9">
        <v>54375696.030000001</v>
      </c>
      <c r="L167" s="3">
        <f t="shared" si="121"/>
        <v>1.1885490448797597E-3</v>
      </c>
      <c r="M167" s="17">
        <v>103.9</v>
      </c>
      <c r="N167" s="17">
        <v>111.16</v>
      </c>
      <c r="O167" s="60">
        <v>12</v>
      </c>
      <c r="P167" s="5">
        <v>8.4699999999999998E-2</v>
      </c>
      <c r="Q167" s="5">
        <v>1.8E-3</v>
      </c>
      <c r="R167" s="81">
        <f t="shared" si="127"/>
        <v>1.0419832749339374E-3</v>
      </c>
      <c r="S167" s="81">
        <f t="shared" si="128"/>
        <v>2.344454463480531E-3</v>
      </c>
      <c r="T167" s="81">
        <f t="shared" si="129"/>
        <v>0.2</v>
      </c>
      <c r="U167" s="81">
        <f t="shared" si="130"/>
        <v>8.3400000000000002E-2</v>
      </c>
      <c r="V167" s="83">
        <f t="shared" si="131"/>
        <v>-8.1100000000000005E-2</v>
      </c>
    </row>
    <row r="168" spans="1:24">
      <c r="A168" s="131">
        <v>136</v>
      </c>
      <c r="B168" s="119" t="s">
        <v>192</v>
      </c>
      <c r="C168" s="120" t="s">
        <v>27</v>
      </c>
      <c r="D168" s="2">
        <v>8112601201.4700003</v>
      </c>
      <c r="E168" s="3">
        <f t="shared" si="120"/>
        <v>0.1782021267340502</v>
      </c>
      <c r="F168" s="17">
        <v>132.63999999999999</v>
      </c>
      <c r="G168" s="17">
        <v>132.63999999999999</v>
      </c>
      <c r="H168" s="60">
        <v>618</v>
      </c>
      <c r="I168" s="5">
        <v>2.5000000000000001E-3</v>
      </c>
      <c r="J168" s="5">
        <v>0.1338</v>
      </c>
      <c r="K168" s="2">
        <v>8263898859.3199997</v>
      </c>
      <c r="L168" s="3">
        <f t="shared" si="121"/>
        <v>0.18063307347475108</v>
      </c>
      <c r="M168" s="17">
        <v>132.97999999999999</v>
      </c>
      <c r="N168" s="17">
        <v>132.97999999999999</v>
      </c>
      <c r="O168" s="60">
        <v>620</v>
      </c>
      <c r="P168" s="5">
        <v>2.5999999999999999E-3</v>
      </c>
      <c r="Q168" s="5">
        <v>0.13220000000000001</v>
      </c>
      <c r="R168" s="81">
        <f t="shared" si="127"/>
        <v>1.8649709765418316E-2</v>
      </c>
      <c r="S168" s="81">
        <f t="shared" si="128"/>
        <v>2.5633293124246339E-3</v>
      </c>
      <c r="T168" s="81">
        <f t="shared" si="129"/>
        <v>3.2362459546925568E-3</v>
      </c>
      <c r="U168" s="81">
        <f t="shared" si="130"/>
        <v>9.9999999999999829E-5</v>
      </c>
      <c r="V168" s="83">
        <f t="shared" si="131"/>
        <v>-1.5999999999999903E-3</v>
      </c>
    </row>
    <row r="169" spans="1:24">
      <c r="A169" s="137">
        <v>137</v>
      </c>
      <c r="B169" s="119" t="s">
        <v>251</v>
      </c>
      <c r="C169" s="120" t="s">
        <v>56</v>
      </c>
      <c r="D169" s="2">
        <v>204422998.99470001</v>
      </c>
      <c r="E169" s="3">
        <f t="shared" ref="E169" si="132">(D169/$D$151)</f>
        <v>4.9440721737859664E-3</v>
      </c>
      <c r="F169" s="4">
        <v>1021.66081106247</v>
      </c>
      <c r="G169" s="4">
        <v>1021.66081106247</v>
      </c>
      <c r="H169" s="60">
        <v>6</v>
      </c>
      <c r="I169" s="5">
        <v>0.11910852031870003</v>
      </c>
      <c r="J169" s="5">
        <v>0.11910852031870003</v>
      </c>
      <c r="K169" s="2">
        <v>204888627.74420199</v>
      </c>
      <c r="L169" s="16">
        <f t="shared" ref="L169" si="133">(K169/$K$151)</f>
        <v>4.9413437264749097E-3</v>
      </c>
      <c r="M169" s="4">
        <v>1023.9879202831</v>
      </c>
      <c r="N169" s="4">
        <v>1023.9879202831</v>
      </c>
      <c r="O169" s="60">
        <v>6</v>
      </c>
      <c r="P169" s="5">
        <v>0.11876948037279615</v>
      </c>
      <c r="Q169" s="5">
        <v>0.11876948037279615</v>
      </c>
      <c r="R169" s="81">
        <f t="shared" si="127"/>
        <v>2.2777708564682858E-3</v>
      </c>
      <c r="S169" s="81">
        <f t="shared" si="128"/>
        <v>2.2777708564645839E-3</v>
      </c>
      <c r="T169" s="81">
        <f t="shared" si="129"/>
        <v>0</v>
      </c>
      <c r="U169" s="81">
        <f t="shared" si="130"/>
        <v>-3.3903994590388231E-4</v>
      </c>
      <c r="V169" s="83">
        <f t="shared" si="131"/>
        <v>-3.3903994590388231E-4</v>
      </c>
    </row>
    <row r="170" spans="1:24">
      <c r="A170" s="131">
        <v>138</v>
      </c>
      <c r="B170" s="119" t="s">
        <v>193</v>
      </c>
      <c r="C170" s="120" t="s">
        <v>186</v>
      </c>
      <c r="D170" s="2">
        <v>17738946594.830002</v>
      </c>
      <c r="E170" s="3">
        <f t="shared" si="120"/>
        <v>0.38965529436448215</v>
      </c>
      <c r="F170" s="7">
        <v>1207.22</v>
      </c>
      <c r="G170" s="7">
        <v>1207.22</v>
      </c>
      <c r="H170" s="60">
        <v>7347</v>
      </c>
      <c r="I170" s="5">
        <v>2.3999999999999998E-3</v>
      </c>
      <c r="J170" s="5">
        <v>0.1027</v>
      </c>
      <c r="K170" s="2">
        <v>17830271302.639999</v>
      </c>
      <c r="L170" s="3">
        <f t="shared" si="121"/>
        <v>0.3897357362562805</v>
      </c>
      <c r="M170" s="7">
        <v>1210.1300000000001</v>
      </c>
      <c r="N170" s="7">
        <v>1210.1300000000001</v>
      </c>
      <c r="O170" s="60">
        <v>7387</v>
      </c>
      <c r="P170" s="5">
        <v>2.5000000000000001E-3</v>
      </c>
      <c r="Q170" s="5">
        <v>0.1052</v>
      </c>
      <c r="R170" s="81">
        <f t="shared" si="127"/>
        <v>5.1482599218498157E-3</v>
      </c>
      <c r="S170" s="81">
        <f t="shared" si="128"/>
        <v>2.4104968439887359E-3</v>
      </c>
      <c r="T170" s="81">
        <f t="shared" si="129"/>
        <v>5.4443990744521571E-3</v>
      </c>
      <c r="U170" s="81">
        <f t="shared" si="130"/>
        <v>1.0000000000000026E-4</v>
      </c>
      <c r="V170" s="83">
        <f t="shared" si="131"/>
        <v>2.5000000000000022E-3</v>
      </c>
    </row>
    <row r="171" spans="1:24">
      <c r="A171" s="140">
        <v>139</v>
      </c>
      <c r="B171" s="119" t="s">
        <v>194</v>
      </c>
      <c r="C171" s="120" t="s">
        <v>78</v>
      </c>
      <c r="D171" s="2">
        <v>922413234.55999994</v>
      </c>
      <c r="E171" s="3">
        <f t="shared" si="120"/>
        <v>2.0261811969315272E-2</v>
      </c>
      <c r="F171" s="14">
        <v>103.88</v>
      </c>
      <c r="G171" s="14">
        <v>103.88</v>
      </c>
      <c r="H171" s="60">
        <v>524</v>
      </c>
      <c r="I171" s="5">
        <v>2.0999999999999999E-3</v>
      </c>
      <c r="J171" s="5">
        <v>9.7500000000000003E-2</v>
      </c>
      <c r="K171" s="2">
        <v>922413234.55999994</v>
      </c>
      <c r="L171" s="3">
        <f t="shared" si="121"/>
        <v>2.0162194674544887E-2</v>
      </c>
      <c r="M171" s="14">
        <v>103.88</v>
      </c>
      <c r="N171" s="14">
        <v>103.88</v>
      </c>
      <c r="O171" s="60">
        <v>524</v>
      </c>
      <c r="P171" s="5">
        <v>2.0999999999999999E-3</v>
      </c>
      <c r="Q171" s="5">
        <v>9.7500000000000003E-2</v>
      </c>
      <c r="R171" s="81">
        <f t="shared" si="127"/>
        <v>0</v>
      </c>
      <c r="S171" s="81">
        <f t="shared" si="128"/>
        <v>0</v>
      </c>
      <c r="T171" s="81">
        <f t="shared" si="129"/>
        <v>0</v>
      </c>
      <c r="U171" s="81">
        <f t="shared" si="130"/>
        <v>0</v>
      </c>
      <c r="V171" s="83">
        <f t="shared" si="131"/>
        <v>0</v>
      </c>
    </row>
    <row r="172" spans="1:24" ht="15.75" customHeight="1">
      <c r="A172" s="135">
        <v>140</v>
      </c>
      <c r="B172" s="119" t="s">
        <v>195</v>
      </c>
      <c r="C172" s="120" t="s">
        <v>42</v>
      </c>
      <c r="D172" s="2">
        <v>8186947107.7700005</v>
      </c>
      <c r="E172" s="3">
        <f t="shared" si="120"/>
        <v>0.17983521559021509</v>
      </c>
      <c r="F172" s="14">
        <v>127.72</v>
      </c>
      <c r="G172" s="14">
        <v>127.72</v>
      </c>
      <c r="H172" s="60">
        <v>1937</v>
      </c>
      <c r="I172" s="5">
        <v>1.2999999999999999E-3</v>
      </c>
      <c r="J172" s="5">
        <v>5.5399999999999998E-2</v>
      </c>
      <c r="K172" s="2">
        <v>8181112022.1099997</v>
      </c>
      <c r="L172" s="3">
        <f t="shared" si="121"/>
        <v>0.17882351105112207</v>
      </c>
      <c r="M172" s="14">
        <v>127.89</v>
      </c>
      <c r="N172" s="14">
        <v>127.89</v>
      </c>
      <c r="O172" s="60">
        <v>1941</v>
      </c>
      <c r="P172" s="5">
        <v>1.2999999999999999E-3</v>
      </c>
      <c r="Q172" s="5">
        <v>5.6800000000000003E-2</v>
      </c>
      <c r="R172" s="81">
        <f t="shared" si="127"/>
        <v>-7.1273034785614847E-4</v>
      </c>
      <c r="S172" s="81">
        <f t="shared" si="128"/>
        <v>1.3310366426558229E-3</v>
      </c>
      <c r="T172" s="81">
        <f t="shared" si="129"/>
        <v>2.0650490449148169E-3</v>
      </c>
      <c r="U172" s="81">
        <f t="shared" si="130"/>
        <v>0</v>
      </c>
      <c r="V172" s="83">
        <f t="shared" si="131"/>
        <v>1.4000000000000054E-3</v>
      </c>
    </row>
    <row r="173" spans="1:24">
      <c r="A173" s="131">
        <v>141</v>
      </c>
      <c r="B173" s="119" t="s">
        <v>196</v>
      </c>
      <c r="C173" s="120" t="s">
        <v>45</v>
      </c>
      <c r="D173" s="2">
        <v>5277239006.6999998</v>
      </c>
      <c r="E173" s="3">
        <f t="shared" si="120"/>
        <v>0.11592030606748224</v>
      </c>
      <c r="F173" s="14">
        <v>1.1728000000000001</v>
      </c>
      <c r="G173" s="14">
        <v>1.1728000000000001</v>
      </c>
      <c r="H173" s="60">
        <v>580</v>
      </c>
      <c r="I173" s="5">
        <v>9.8000000000000004E-2</v>
      </c>
      <c r="J173" s="5">
        <v>0.1148</v>
      </c>
      <c r="K173" s="2">
        <v>5191490670.75</v>
      </c>
      <c r="L173" s="3">
        <f t="shared" si="121"/>
        <v>0.11347608819237573</v>
      </c>
      <c r="M173" s="14">
        <v>1.1749000000000001</v>
      </c>
      <c r="N173" s="14">
        <v>1.1749000000000001</v>
      </c>
      <c r="O173" s="60">
        <v>586</v>
      </c>
      <c r="P173" s="5">
        <v>9.7699999999999995E-2</v>
      </c>
      <c r="Q173" s="5">
        <v>0.1148</v>
      </c>
      <c r="R173" s="81">
        <f t="shared" si="127"/>
        <v>-1.6248711843661702E-2</v>
      </c>
      <c r="S173" s="81">
        <f t="shared" si="128"/>
        <v>1.7905866302864858E-3</v>
      </c>
      <c r="T173" s="81">
        <f t="shared" si="129"/>
        <v>1.0344827586206896E-2</v>
      </c>
      <c r="U173" s="81">
        <f t="shared" si="130"/>
        <v>-3.0000000000000859E-4</v>
      </c>
      <c r="V173" s="83">
        <f t="shared" si="131"/>
        <v>0</v>
      </c>
    </row>
    <row r="174" spans="1:24">
      <c r="A174" s="135">
        <v>142</v>
      </c>
      <c r="B174" s="119" t="s">
        <v>197</v>
      </c>
      <c r="C174" s="120" t="s">
        <v>198</v>
      </c>
      <c r="D174" s="2">
        <v>339215080.16000003</v>
      </c>
      <c r="E174" s="3">
        <f t="shared" ref="E174" si="134">(D174/$D$176)</f>
        <v>7.4512289219664856E-3</v>
      </c>
      <c r="F174" s="18">
        <v>98.946100000000001</v>
      </c>
      <c r="G174" s="18">
        <v>98.996200000000002</v>
      </c>
      <c r="H174" s="61">
        <v>147</v>
      </c>
      <c r="I174" s="5">
        <v>7.8399999999999997E-4</v>
      </c>
      <c r="J174" s="5">
        <v>-1.0540000000000001E-2</v>
      </c>
      <c r="K174" s="2">
        <v>339935080.16000003</v>
      </c>
      <c r="L174" s="3">
        <f t="shared" ref="L174" si="135">(K174/$K$176)</f>
        <v>7.4303327468651171E-3</v>
      </c>
      <c r="M174" s="18">
        <v>99.369500000000002</v>
      </c>
      <c r="N174" s="18">
        <v>99.421400000000006</v>
      </c>
      <c r="O174" s="61">
        <v>151</v>
      </c>
      <c r="P174" s="5">
        <v>4.3E-3</v>
      </c>
      <c r="Q174" s="5">
        <v>-6.3E-3</v>
      </c>
      <c r="R174" s="81">
        <f t="shared" ref="R174" si="136">((K174-D174)/D174)</f>
        <v>2.122547145192933E-3</v>
      </c>
      <c r="S174" s="81">
        <f t="shared" ref="S174" si="137">((N174-G174)/G174)</f>
        <v>4.2951143579248877E-3</v>
      </c>
      <c r="T174" s="81">
        <f t="shared" ref="T174" si="138">((O174-H174)/H174)</f>
        <v>2.7210884353741496E-2</v>
      </c>
      <c r="U174" s="81">
        <f t="shared" ref="U174" si="139">P174-I174</f>
        <v>3.516E-3</v>
      </c>
      <c r="V174" s="83">
        <f t="shared" ref="V174" si="140">Q174-J174</f>
        <v>4.2400000000000007E-3</v>
      </c>
    </row>
    <row r="175" spans="1:24">
      <c r="A175" s="135">
        <v>143</v>
      </c>
      <c r="B175" s="119" t="s">
        <v>245</v>
      </c>
      <c r="C175" s="120" t="s">
        <v>198</v>
      </c>
      <c r="D175" s="2">
        <v>42380000</v>
      </c>
      <c r="E175" s="3">
        <f t="shared" si="120"/>
        <v>9.3092288693059271E-4</v>
      </c>
      <c r="F175" s="18">
        <v>100.11150000000001</v>
      </c>
      <c r="G175" s="18">
        <v>100.11150000000001</v>
      </c>
      <c r="H175" s="61">
        <v>51</v>
      </c>
      <c r="I175" s="5">
        <v>-6.0000000000000002E-5</v>
      </c>
      <c r="J175" s="5">
        <v>1.1150000000000001E-3</v>
      </c>
      <c r="K175" s="2">
        <v>44930000</v>
      </c>
      <c r="L175" s="3">
        <f t="shared" si="121"/>
        <v>9.8208413841700663E-4</v>
      </c>
      <c r="M175" s="18">
        <v>100.1481</v>
      </c>
      <c r="N175" s="18">
        <v>100.1481</v>
      </c>
      <c r="O175" s="61">
        <v>53</v>
      </c>
      <c r="P175" s="5">
        <v>4.3100000000000001E-4</v>
      </c>
      <c r="Q175" s="5">
        <v>1.4809999999999999E-3</v>
      </c>
      <c r="R175" s="81">
        <f t="shared" si="127"/>
        <v>6.0169891458235016E-2</v>
      </c>
      <c r="S175" s="81">
        <f t="shared" si="128"/>
        <v>3.6559236451349603E-4</v>
      </c>
      <c r="T175" s="81">
        <f t="shared" si="129"/>
        <v>3.9215686274509803E-2</v>
      </c>
      <c r="U175" s="81">
        <f t="shared" si="130"/>
        <v>4.9100000000000001E-4</v>
      </c>
      <c r="V175" s="83">
        <f t="shared" si="131"/>
        <v>3.6599999999999979E-4</v>
      </c>
    </row>
    <row r="176" spans="1:24">
      <c r="A176" s="85"/>
      <c r="B176" s="19"/>
      <c r="C176" s="66" t="s">
        <v>46</v>
      </c>
      <c r="D176" s="59">
        <f>SUM(D161:D175)</f>
        <v>45524715951.214706</v>
      </c>
      <c r="E176" s="104">
        <f>(D176/$D$177)</f>
        <v>2.0216217269339261E-2</v>
      </c>
      <c r="F176" s="30"/>
      <c r="G176" s="34"/>
      <c r="H176" s="68">
        <f>SUM(H161:H175)</f>
        <v>27582</v>
      </c>
      <c r="I176" s="35"/>
      <c r="J176" s="35"/>
      <c r="K176" s="59">
        <f>SUM(K161:K175)</f>
        <v>45749644294.654205</v>
      </c>
      <c r="L176" s="104">
        <f>(K176/$K$177)</f>
        <v>2.1992860375474502E-2</v>
      </c>
      <c r="M176" s="30"/>
      <c r="N176" s="34"/>
      <c r="O176" s="68">
        <f>SUM(O161:O175)</f>
        <v>27653</v>
      </c>
      <c r="P176" s="35"/>
      <c r="Q176" s="35"/>
      <c r="R176" s="81">
        <f t="shared" si="127"/>
        <v>4.9407961969611652E-3</v>
      </c>
      <c r="S176" s="81" t="e">
        <f t="shared" si="128"/>
        <v>#DIV/0!</v>
      </c>
      <c r="T176" s="81">
        <f t="shared" si="129"/>
        <v>2.5741425567399026E-3</v>
      </c>
      <c r="U176" s="81">
        <f t="shared" si="130"/>
        <v>0</v>
      </c>
      <c r="V176" s="83">
        <f t="shared" si="131"/>
        <v>0</v>
      </c>
    </row>
    <row r="177" spans="1:22">
      <c r="A177" s="86"/>
      <c r="B177" s="38"/>
      <c r="C177" s="67" t="s">
        <v>199</v>
      </c>
      <c r="D177" s="69">
        <f>SUM(D22,D55,D89,D116,D124,D151,D157,D176)</f>
        <v>2251890912364.666</v>
      </c>
      <c r="E177" s="39"/>
      <c r="F177" s="39"/>
      <c r="G177" s="40"/>
      <c r="H177" s="69">
        <f>SUM(H22,H55,H89,H116,H124,H151,H157,H176)</f>
        <v>767517</v>
      </c>
      <c r="I177" s="41"/>
      <c r="J177" s="41"/>
      <c r="K177" s="69">
        <f>SUM(K22,K55,K89,K116,K124,K151,K157,K176)</f>
        <v>2080204371491.0432</v>
      </c>
      <c r="L177" s="39"/>
      <c r="M177" s="39"/>
      <c r="N177" s="40"/>
      <c r="O177" s="69">
        <f>SUM(O22,O55,O89,O116,O124,O151,O157,O176)</f>
        <v>777050</v>
      </c>
      <c r="P177" s="42"/>
      <c r="Q177" s="69"/>
      <c r="R177" s="25">
        <f t="shared" si="127"/>
        <v>-7.6241055874832833E-2</v>
      </c>
      <c r="S177" s="25"/>
      <c r="T177" s="25"/>
      <c r="U177" s="25"/>
      <c r="V177" s="25"/>
    </row>
    <row r="178" spans="1:22" ht="6.75" customHeight="1">
      <c r="A178" s="144"/>
      <c r="B178" s="144"/>
      <c r="C178" s="144"/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9"/>
    </row>
    <row r="179" spans="1:22" ht="15.75">
      <c r="A179" s="142" t="s">
        <v>200</v>
      </c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</row>
    <row r="180" spans="1:22">
      <c r="A180" s="128">
        <v>1</v>
      </c>
      <c r="B180" s="119" t="s">
        <v>201</v>
      </c>
      <c r="C180" s="120" t="s">
        <v>202</v>
      </c>
      <c r="D180" s="2">
        <v>92548651821</v>
      </c>
      <c r="E180" s="3">
        <f>(D180/$D$182)</f>
        <v>0.97827226454934602</v>
      </c>
      <c r="F180" s="14">
        <v>108.4</v>
      </c>
      <c r="G180" s="14">
        <v>108.4</v>
      </c>
      <c r="H180" s="64">
        <v>0</v>
      </c>
      <c r="I180" s="20">
        <v>0</v>
      </c>
      <c r="J180" s="20">
        <v>0.13800000000000001</v>
      </c>
      <c r="K180" s="2">
        <v>92548651821</v>
      </c>
      <c r="L180" s="3">
        <f>(K180/$K$182)</f>
        <v>0.97820642372305799</v>
      </c>
      <c r="M180" s="14">
        <v>108.4</v>
      </c>
      <c r="N180" s="14">
        <v>108.4</v>
      </c>
      <c r="O180" s="64">
        <v>0</v>
      </c>
      <c r="P180" s="20">
        <v>0</v>
      </c>
      <c r="Q180" s="20">
        <v>0.13800000000000001</v>
      </c>
      <c r="R180" s="81">
        <f t="shared" ref="R180:R181" si="141">((K180-D180)/D180)</f>
        <v>0</v>
      </c>
      <c r="S180" s="81">
        <f t="shared" ref="S180:S181" si="142">((N180-G180)/G180)</f>
        <v>0</v>
      </c>
      <c r="T180" s="81" t="e">
        <f t="shared" ref="T180:T181" si="143">((O180-H180)/H180)</f>
        <v>#DIV/0!</v>
      </c>
      <c r="U180" s="81">
        <f t="shared" ref="U180:U181" si="144">P180-I180</f>
        <v>0</v>
      </c>
      <c r="V180" s="83">
        <f t="shared" ref="V180:V181" si="145">Q180-J180</f>
        <v>0</v>
      </c>
    </row>
    <row r="181" spans="1:22">
      <c r="A181" s="131">
        <v>2</v>
      </c>
      <c r="B181" s="119" t="s">
        <v>203</v>
      </c>
      <c r="C181" s="120" t="s">
        <v>45</v>
      </c>
      <c r="D181" s="2">
        <v>2055534738.0799999</v>
      </c>
      <c r="E181" s="3">
        <f>(D181/$D$182)</f>
        <v>2.1727735450653922E-2</v>
      </c>
      <c r="F181" s="21">
        <v>1000000</v>
      </c>
      <c r="G181" s="21">
        <v>1000000</v>
      </c>
      <c r="H181" s="64">
        <v>0</v>
      </c>
      <c r="I181" s="20">
        <v>0.16600000000000001</v>
      </c>
      <c r="J181" s="20">
        <v>0.16600000000000001</v>
      </c>
      <c r="K181" s="2">
        <v>2061902328.46</v>
      </c>
      <c r="L181" s="3">
        <f>(K181/$K$182)</f>
        <v>2.1793576276941916E-2</v>
      </c>
      <c r="M181" s="21">
        <v>1000000</v>
      </c>
      <c r="N181" s="21">
        <v>1000000</v>
      </c>
      <c r="O181" s="64">
        <v>0</v>
      </c>
      <c r="P181" s="20">
        <v>0.16600000000000001</v>
      </c>
      <c r="Q181" s="20">
        <v>0.16600000000000001</v>
      </c>
      <c r="R181" s="81">
        <f t="shared" si="141"/>
        <v>3.0977780438523985E-3</v>
      </c>
      <c r="S181" s="81">
        <f t="shared" si="142"/>
        <v>0</v>
      </c>
      <c r="T181" s="81" t="e">
        <f t="shared" si="143"/>
        <v>#DIV/0!</v>
      </c>
      <c r="U181" s="81">
        <f t="shared" si="144"/>
        <v>0</v>
      </c>
      <c r="V181" s="83">
        <f t="shared" si="145"/>
        <v>0</v>
      </c>
    </row>
    <row r="182" spans="1:22">
      <c r="A182" s="38"/>
      <c r="B182" s="38"/>
      <c r="C182" s="67" t="s">
        <v>204</v>
      </c>
      <c r="D182" s="73">
        <f>SUM(D180:D181)</f>
        <v>94604186559.080002</v>
      </c>
      <c r="E182" s="24"/>
      <c r="F182" s="22"/>
      <c r="G182" s="22"/>
      <c r="H182" s="73">
        <f>SUM(H180:H181)</f>
        <v>0</v>
      </c>
      <c r="I182" s="23"/>
      <c r="J182" s="23"/>
      <c r="K182" s="73">
        <f>SUM(K180:K181)</f>
        <v>94610554149.460007</v>
      </c>
      <c r="L182" s="24"/>
      <c r="M182" s="22"/>
      <c r="N182" s="22"/>
      <c r="O182" s="23"/>
      <c r="P182" s="23"/>
      <c r="Q182" s="73"/>
      <c r="R182" s="25">
        <f>((K182-D182)/D182)</f>
        <v>6.7307701821719526E-5</v>
      </c>
      <c r="S182" s="26"/>
      <c r="T182" s="26"/>
      <c r="U182" s="25">
        <f t="shared" ref="U182:V182" si="146">O182-H182</f>
        <v>0</v>
      </c>
      <c r="V182" s="87">
        <f t="shared" si="146"/>
        <v>0</v>
      </c>
    </row>
    <row r="183" spans="1:22" ht="8.25" customHeight="1">
      <c r="A183" s="141"/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</row>
    <row r="184" spans="1:22" ht="15.75">
      <c r="A184" s="142" t="s">
        <v>205</v>
      </c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</row>
    <row r="185" spans="1:22">
      <c r="A185" s="134">
        <v>1</v>
      </c>
      <c r="B185" s="119" t="s">
        <v>206</v>
      </c>
      <c r="C185" s="120" t="s">
        <v>74</v>
      </c>
      <c r="D185" s="27">
        <v>726452518.43999994</v>
      </c>
      <c r="E185" s="10">
        <f t="shared" ref="E185:E196" si="147">(D185/$D$197)</f>
        <v>7.3603714768910117E-2</v>
      </c>
      <c r="F185" s="21">
        <v>164.27403011562251</v>
      </c>
      <c r="G185" s="21">
        <v>167.25049348221478</v>
      </c>
      <c r="H185" s="63">
        <v>103</v>
      </c>
      <c r="I185" s="28">
        <v>1.8483320000000001E-5</v>
      </c>
      <c r="J185" s="28">
        <v>0.34112197008427225</v>
      </c>
      <c r="K185" s="27">
        <v>726452518.43999994</v>
      </c>
      <c r="L185" s="10">
        <f t="shared" ref="L185:L196" si="148">(K185/$K$197)</f>
        <v>7.2507657082084134E-2</v>
      </c>
      <c r="M185" s="21">
        <v>166.23107036684576</v>
      </c>
      <c r="N185" s="21">
        <v>169.2078849913664</v>
      </c>
      <c r="O185" s="63">
        <v>103</v>
      </c>
      <c r="P185" s="28">
        <v>1.1913266204315986E-2</v>
      </c>
      <c r="Q185" s="28">
        <v>0.35709911312634302</v>
      </c>
      <c r="R185" s="81">
        <f t="shared" ref="R185" si="149">((K185-D185)/D185)</f>
        <v>0</v>
      </c>
      <c r="S185" s="81">
        <f t="shared" ref="S185" si="150">((N185-G185)/G185)</f>
        <v>1.1703352668192675E-2</v>
      </c>
      <c r="T185" s="81">
        <f t="shared" ref="T185" si="151">((O185-H185)/H185)</f>
        <v>0</v>
      </c>
      <c r="U185" s="81">
        <f t="shared" ref="U185" si="152">P185-I185</f>
        <v>1.1894782884315986E-2</v>
      </c>
      <c r="V185" s="83">
        <f t="shared" ref="V185" si="153">Q185-J185</f>
        <v>1.5977143042070763E-2</v>
      </c>
    </row>
    <row r="186" spans="1:22">
      <c r="A186" s="131">
        <v>2</v>
      </c>
      <c r="B186" s="119" t="s">
        <v>207</v>
      </c>
      <c r="C186" s="120" t="s">
        <v>186</v>
      </c>
      <c r="D186" s="27">
        <v>735646200.54999995</v>
      </c>
      <c r="E186" s="10">
        <f t="shared" si="147"/>
        <v>7.453521288960438E-2</v>
      </c>
      <c r="F186" s="21">
        <v>20.92</v>
      </c>
      <c r="G186" s="21">
        <v>23.13</v>
      </c>
      <c r="H186" s="63">
        <v>138</v>
      </c>
      <c r="I186" s="28">
        <v>-2.5999999999999999E-3</v>
      </c>
      <c r="J186" s="28">
        <v>0.41880000000000001</v>
      </c>
      <c r="K186" s="27">
        <v>737955879.85000002</v>
      </c>
      <c r="L186" s="10">
        <f t="shared" si="148"/>
        <v>7.3655814412722467E-2</v>
      </c>
      <c r="M186" s="21">
        <v>20.99</v>
      </c>
      <c r="N186" s="21">
        <v>23.2</v>
      </c>
      <c r="O186" s="63">
        <v>176</v>
      </c>
      <c r="P186" s="28">
        <v>3.0999999999999999E-3</v>
      </c>
      <c r="Q186" s="28">
        <v>0.42330000000000001</v>
      </c>
      <c r="R186" s="81">
        <f t="shared" ref="R186:R197" si="154">((K186-D186)/D186)</f>
        <v>3.1396604757467088E-3</v>
      </c>
      <c r="S186" s="81">
        <f t="shared" ref="S186:S197" si="155">((N186-G186)/G186)</f>
        <v>3.0263726761781359E-3</v>
      </c>
      <c r="T186" s="81">
        <f t="shared" ref="T186:T197" si="156">((O186-H186)/H186)</f>
        <v>0.27536231884057971</v>
      </c>
      <c r="U186" s="81">
        <f t="shared" ref="U186:U197" si="157">P186-I186</f>
        <v>5.7000000000000002E-3</v>
      </c>
      <c r="V186" s="83">
        <f t="shared" ref="V186:V197" si="158">Q186-J186</f>
        <v>4.500000000000004E-3</v>
      </c>
    </row>
    <row r="187" spans="1:22">
      <c r="A187" s="140">
        <v>3</v>
      </c>
      <c r="B187" s="119" t="s">
        <v>208</v>
      </c>
      <c r="C187" s="120" t="s">
        <v>36</v>
      </c>
      <c r="D187" s="27">
        <v>290451969.20999998</v>
      </c>
      <c r="E187" s="10">
        <f t="shared" si="147"/>
        <v>2.94284118412989E-2</v>
      </c>
      <c r="F187" s="21">
        <v>21.671476999999999</v>
      </c>
      <c r="G187" s="21">
        <v>22.020752000000002</v>
      </c>
      <c r="H187" s="63">
        <v>65</v>
      </c>
      <c r="I187" s="28">
        <v>2.6301656073155044E-2</v>
      </c>
      <c r="J187" s="28">
        <v>0.53066567928668329</v>
      </c>
      <c r="K187" s="27">
        <v>290451969.20999998</v>
      </c>
      <c r="L187" s="10">
        <f t="shared" si="148"/>
        <v>2.899018345688914E-2</v>
      </c>
      <c r="M187" s="21">
        <v>21.671476999999999</v>
      </c>
      <c r="N187" s="21">
        <v>22.020752000000002</v>
      </c>
      <c r="O187" s="63">
        <v>65</v>
      </c>
      <c r="P187" s="28">
        <v>2.6301656073155044E-2</v>
      </c>
      <c r="Q187" s="28">
        <v>0.53066567928668329</v>
      </c>
      <c r="R187" s="81">
        <f t="shared" si="154"/>
        <v>0</v>
      </c>
      <c r="S187" s="81">
        <f t="shared" si="155"/>
        <v>0</v>
      </c>
      <c r="T187" s="81">
        <f t="shared" si="156"/>
        <v>0</v>
      </c>
      <c r="U187" s="81">
        <f t="shared" si="157"/>
        <v>0</v>
      </c>
      <c r="V187" s="83">
        <f t="shared" si="158"/>
        <v>0</v>
      </c>
    </row>
    <row r="188" spans="1:22">
      <c r="A188" s="140">
        <v>4</v>
      </c>
      <c r="B188" s="119" t="s">
        <v>209</v>
      </c>
      <c r="C188" s="120" t="s">
        <v>36</v>
      </c>
      <c r="D188" s="27">
        <v>456364986.06</v>
      </c>
      <c r="E188" s="10">
        <f t="shared" si="147"/>
        <v>4.6238614929176823E-2</v>
      </c>
      <c r="F188" s="21">
        <v>34.245952000000003</v>
      </c>
      <c r="G188" s="21">
        <v>34.653163999999997</v>
      </c>
      <c r="H188" s="63">
        <v>61</v>
      </c>
      <c r="I188" s="28">
        <v>4.340359206384381E-2</v>
      </c>
      <c r="J188" s="28">
        <v>0.9638159750771782</v>
      </c>
      <c r="K188" s="27">
        <v>456364986.06</v>
      </c>
      <c r="L188" s="10">
        <f t="shared" si="148"/>
        <v>4.5550060153369258E-2</v>
      </c>
      <c r="M188" s="21">
        <v>34.245952000000003</v>
      </c>
      <c r="N188" s="21">
        <v>34.653163999999997</v>
      </c>
      <c r="O188" s="63">
        <v>61</v>
      </c>
      <c r="P188" s="28">
        <v>4.340359206384381E-2</v>
      </c>
      <c r="Q188" s="28">
        <v>0.9638159750771782</v>
      </c>
      <c r="R188" s="81">
        <f t="shared" si="154"/>
        <v>0</v>
      </c>
      <c r="S188" s="81">
        <f t="shared" si="155"/>
        <v>0</v>
      </c>
      <c r="T188" s="81">
        <f t="shared" si="156"/>
        <v>0</v>
      </c>
      <c r="U188" s="81">
        <f t="shared" si="157"/>
        <v>0</v>
      </c>
      <c r="V188" s="83">
        <f t="shared" si="158"/>
        <v>0</v>
      </c>
    </row>
    <row r="189" spans="1:22">
      <c r="A189" s="134">
        <v>5</v>
      </c>
      <c r="B189" s="119" t="s">
        <v>210</v>
      </c>
      <c r="C189" s="120" t="s">
        <v>211</v>
      </c>
      <c r="D189" s="27">
        <v>664897072.52999997</v>
      </c>
      <c r="E189" s="10">
        <f t="shared" si="147"/>
        <v>6.7366955492526776E-2</v>
      </c>
      <c r="F189" s="21">
        <v>16200</v>
      </c>
      <c r="G189" s="21">
        <v>17750</v>
      </c>
      <c r="H189" s="63">
        <v>223</v>
      </c>
      <c r="I189" s="28">
        <v>-7.0000000000000007E-2</v>
      </c>
      <c r="J189" s="28">
        <v>0.92</v>
      </c>
      <c r="K189" s="27">
        <v>678425425.90999997</v>
      </c>
      <c r="L189" s="10">
        <f t="shared" si="148"/>
        <v>6.7714044468154738E-2</v>
      </c>
      <c r="M189" s="21">
        <v>16400</v>
      </c>
      <c r="N189" s="21">
        <v>18000</v>
      </c>
      <c r="O189" s="63">
        <v>215</v>
      </c>
      <c r="P189" s="28">
        <v>0.02</v>
      </c>
      <c r="Q189" s="28">
        <v>0.96</v>
      </c>
      <c r="R189" s="81">
        <f t="shared" si="154"/>
        <v>2.0346537740831457E-2</v>
      </c>
      <c r="S189" s="81">
        <f t="shared" si="155"/>
        <v>1.4084507042253521E-2</v>
      </c>
      <c r="T189" s="81">
        <f t="shared" si="156"/>
        <v>-3.5874439461883408E-2</v>
      </c>
      <c r="U189" s="81">
        <f t="shared" si="157"/>
        <v>9.0000000000000011E-2</v>
      </c>
      <c r="V189" s="83">
        <f t="shared" si="158"/>
        <v>3.9999999999999925E-2</v>
      </c>
    </row>
    <row r="190" spans="1:22">
      <c r="A190" s="135">
        <v>6</v>
      </c>
      <c r="B190" s="119" t="s">
        <v>212</v>
      </c>
      <c r="C190" s="120" t="s">
        <v>213</v>
      </c>
      <c r="D190" s="27">
        <v>933263029.51999998</v>
      </c>
      <c r="E190" s="10">
        <f t="shared" si="147"/>
        <v>9.4557626390598684E-2</v>
      </c>
      <c r="F190" s="21">
        <v>460</v>
      </c>
      <c r="G190" s="21">
        <v>460</v>
      </c>
      <c r="H190" s="63">
        <v>46</v>
      </c>
      <c r="I190" s="28">
        <v>7.3000000000000001E-3</v>
      </c>
      <c r="J190" s="28">
        <v>0.63119999999999998</v>
      </c>
      <c r="K190" s="27">
        <v>946205873.78999996</v>
      </c>
      <c r="L190" s="10">
        <f t="shared" si="148"/>
        <v>9.4441369923457141E-2</v>
      </c>
      <c r="M190" s="21">
        <v>460</v>
      </c>
      <c r="N190" s="21">
        <v>460</v>
      </c>
      <c r="O190" s="63">
        <v>46</v>
      </c>
      <c r="P190" s="28">
        <v>-7.3000000000000001E-3</v>
      </c>
      <c r="Q190" s="28">
        <v>0.61960000000000004</v>
      </c>
      <c r="R190" s="81">
        <f t="shared" si="154"/>
        <v>1.3868377789117824E-2</v>
      </c>
      <c r="S190" s="81">
        <f t="shared" si="155"/>
        <v>0</v>
      </c>
      <c r="T190" s="81">
        <f t="shared" si="156"/>
        <v>0</v>
      </c>
      <c r="U190" s="81">
        <f t="shared" si="157"/>
        <v>-1.46E-2</v>
      </c>
      <c r="V190" s="83">
        <f t="shared" si="158"/>
        <v>-1.1599999999999944E-2</v>
      </c>
    </row>
    <row r="191" spans="1:22">
      <c r="A191" s="135">
        <v>7</v>
      </c>
      <c r="B191" s="119" t="s">
        <v>214</v>
      </c>
      <c r="C191" s="120" t="s">
        <v>213</v>
      </c>
      <c r="D191" s="27">
        <v>621663353.42999995</v>
      </c>
      <c r="E191" s="10">
        <f t="shared" si="147"/>
        <v>6.2986542116207245E-2</v>
      </c>
      <c r="F191" s="21">
        <v>600</v>
      </c>
      <c r="G191" s="21">
        <v>600</v>
      </c>
      <c r="H191" s="63">
        <v>377</v>
      </c>
      <c r="I191" s="28">
        <v>1.6000000000000001E-3</v>
      </c>
      <c r="J191" s="28">
        <v>0.45440000000000003</v>
      </c>
      <c r="K191" s="27">
        <v>630708225.07000005</v>
      </c>
      <c r="L191" s="10">
        <f t="shared" si="148"/>
        <v>6.2951362327753557E-2</v>
      </c>
      <c r="M191" s="21">
        <v>702</v>
      </c>
      <c r="N191" s="21">
        <v>702</v>
      </c>
      <c r="O191" s="63">
        <v>377</v>
      </c>
      <c r="P191" s="28">
        <v>-1.6000000000000001E-3</v>
      </c>
      <c r="Q191" s="28">
        <v>0.4521</v>
      </c>
      <c r="R191" s="81">
        <f t="shared" si="154"/>
        <v>1.4549468920912625E-2</v>
      </c>
      <c r="S191" s="81">
        <f t="shared" si="155"/>
        <v>0.17</v>
      </c>
      <c r="T191" s="81">
        <f t="shared" si="156"/>
        <v>0</v>
      </c>
      <c r="U191" s="81">
        <f t="shared" si="157"/>
        <v>-3.2000000000000002E-3</v>
      </c>
      <c r="V191" s="83">
        <f t="shared" si="158"/>
        <v>-2.3000000000000242E-3</v>
      </c>
    </row>
    <row r="192" spans="1:22">
      <c r="A192" s="131">
        <v>8</v>
      </c>
      <c r="B192" s="119" t="s">
        <v>215</v>
      </c>
      <c r="C192" s="120" t="s">
        <v>216</v>
      </c>
      <c r="D192" s="27">
        <v>258289485.59</v>
      </c>
      <c r="E192" s="10">
        <f t="shared" si="147"/>
        <v>2.6169729118703668E-2</v>
      </c>
      <c r="F192" s="21">
        <v>11.38</v>
      </c>
      <c r="G192" s="21">
        <v>11.48</v>
      </c>
      <c r="H192" s="63">
        <v>50</v>
      </c>
      <c r="I192" s="28">
        <v>0</v>
      </c>
      <c r="J192" s="28">
        <v>0.95069999999999999</v>
      </c>
      <c r="K192" s="27">
        <v>258742421.24000001</v>
      </c>
      <c r="L192" s="10">
        <f t="shared" si="148"/>
        <v>2.5825234651461394E-2</v>
      </c>
      <c r="M192" s="21">
        <v>11.41</v>
      </c>
      <c r="N192" s="21">
        <v>11.51</v>
      </c>
      <c r="O192" s="63">
        <v>50</v>
      </c>
      <c r="P192" s="28">
        <v>0</v>
      </c>
      <c r="Q192" s="28">
        <v>0.95069999999999999</v>
      </c>
      <c r="R192" s="81">
        <f t="shared" si="154"/>
        <v>1.7535969339417118E-3</v>
      </c>
      <c r="S192" s="81">
        <f t="shared" si="155"/>
        <v>2.6132404181184112E-3</v>
      </c>
      <c r="T192" s="81">
        <f t="shared" si="156"/>
        <v>0</v>
      </c>
      <c r="U192" s="81">
        <f t="shared" si="157"/>
        <v>0</v>
      </c>
      <c r="V192" s="83">
        <f t="shared" si="158"/>
        <v>0</v>
      </c>
    </row>
    <row r="193" spans="1:22">
      <c r="A193" s="131">
        <v>9</v>
      </c>
      <c r="B193" s="119" t="s">
        <v>217</v>
      </c>
      <c r="C193" s="120" t="s">
        <v>216</v>
      </c>
      <c r="D193" s="29">
        <v>648804571.84000003</v>
      </c>
      <c r="E193" s="10">
        <f t="shared" si="147"/>
        <v>6.5736473388550043E-2</v>
      </c>
      <c r="F193" s="21">
        <v>7.98</v>
      </c>
      <c r="G193" s="21">
        <v>8.08</v>
      </c>
      <c r="H193" s="63">
        <v>81</v>
      </c>
      <c r="I193" s="28">
        <v>6.25E-2</v>
      </c>
      <c r="J193" s="28">
        <v>0.77780000000000005</v>
      </c>
      <c r="K193" s="29">
        <v>693348647.75</v>
      </c>
      <c r="L193" s="10">
        <f t="shared" si="148"/>
        <v>6.9203540098314031E-2</v>
      </c>
      <c r="M193" s="21">
        <v>8.5399999999999991</v>
      </c>
      <c r="N193" s="21">
        <v>8.64</v>
      </c>
      <c r="O193" s="63">
        <v>84</v>
      </c>
      <c r="P193" s="28">
        <v>6.88E-2</v>
      </c>
      <c r="Q193" s="28">
        <v>1.018</v>
      </c>
      <c r="R193" s="81">
        <f t="shared" si="154"/>
        <v>6.8655613482614092E-2</v>
      </c>
      <c r="S193" s="81">
        <f t="shared" si="155"/>
        <v>6.9306930693069368E-2</v>
      </c>
      <c r="T193" s="81">
        <f t="shared" si="156"/>
        <v>3.7037037037037035E-2</v>
      </c>
      <c r="U193" s="81">
        <f t="shared" si="157"/>
        <v>6.3E-3</v>
      </c>
      <c r="V193" s="83">
        <f t="shared" si="158"/>
        <v>0.24019999999999997</v>
      </c>
    </row>
    <row r="194" spans="1:22" ht="15" customHeight="1">
      <c r="A194" s="131">
        <v>10</v>
      </c>
      <c r="B194" s="119" t="s">
        <v>218</v>
      </c>
      <c r="C194" s="120" t="s">
        <v>216</v>
      </c>
      <c r="D194" s="27">
        <v>470148906.81999999</v>
      </c>
      <c r="E194" s="10">
        <f t="shared" si="147"/>
        <v>4.7635193158673442E-2</v>
      </c>
      <c r="F194" s="21">
        <v>132.55000000000001</v>
      </c>
      <c r="G194" s="21">
        <v>134.55000000000001</v>
      </c>
      <c r="H194" s="63">
        <v>50</v>
      </c>
      <c r="I194" s="28">
        <v>0</v>
      </c>
      <c r="J194" s="28">
        <v>2.4500000000000001E-2</v>
      </c>
      <c r="K194" s="27">
        <v>480224670.32999998</v>
      </c>
      <c r="L194" s="10">
        <f t="shared" si="148"/>
        <v>4.7931509403281718E-2</v>
      </c>
      <c r="M194" s="21">
        <v>135.41</v>
      </c>
      <c r="N194" s="21">
        <v>137.41</v>
      </c>
      <c r="O194" s="63">
        <v>50</v>
      </c>
      <c r="P194" s="28">
        <v>-4.1200000000000001E-2</v>
      </c>
      <c r="Q194" s="28">
        <v>-1.77E-2</v>
      </c>
      <c r="R194" s="81">
        <f t="shared" si="154"/>
        <v>2.1431004866416869E-2</v>
      </c>
      <c r="S194" s="81">
        <f t="shared" si="155"/>
        <v>2.1256038647342882E-2</v>
      </c>
      <c r="T194" s="81">
        <f t="shared" si="156"/>
        <v>0</v>
      </c>
      <c r="U194" s="81">
        <f t="shared" si="157"/>
        <v>-4.1200000000000001E-2</v>
      </c>
      <c r="V194" s="83">
        <f t="shared" si="158"/>
        <v>-4.2200000000000001E-2</v>
      </c>
    </row>
    <row r="195" spans="1:22">
      <c r="A195" s="131">
        <v>11</v>
      </c>
      <c r="B195" s="119" t="s">
        <v>219</v>
      </c>
      <c r="C195" s="120" t="s">
        <v>216</v>
      </c>
      <c r="D195" s="27">
        <v>3780433225.8299999</v>
      </c>
      <c r="E195" s="10">
        <f t="shared" si="147"/>
        <v>0.38303112976252135</v>
      </c>
      <c r="F195" s="21">
        <v>26.55</v>
      </c>
      <c r="G195" s="21">
        <v>26.75</v>
      </c>
      <c r="H195" s="63">
        <v>211</v>
      </c>
      <c r="I195" s="28">
        <v>-4.2599999999999999E-2</v>
      </c>
      <c r="J195" s="28">
        <v>0.40489999999999998</v>
      </c>
      <c r="K195" s="27">
        <v>3836187347.2399998</v>
      </c>
      <c r="L195" s="10">
        <f t="shared" si="148"/>
        <v>0.38289213625911805</v>
      </c>
      <c r="M195" s="21">
        <v>26.55</v>
      </c>
      <c r="N195" s="21">
        <v>26.75</v>
      </c>
      <c r="O195" s="63">
        <v>212</v>
      </c>
      <c r="P195" s="28">
        <v>0</v>
      </c>
      <c r="Q195" s="28">
        <v>0.40489999999999998</v>
      </c>
      <c r="R195" s="81">
        <f t="shared" si="154"/>
        <v>1.4748077291527599E-2</v>
      </c>
      <c r="S195" s="81">
        <f t="shared" si="155"/>
        <v>0</v>
      </c>
      <c r="T195" s="81">
        <f t="shared" si="156"/>
        <v>4.7393364928909956E-3</v>
      </c>
      <c r="U195" s="81">
        <f t="shared" si="157"/>
        <v>4.2599999999999999E-2</v>
      </c>
      <c r="V195" s="83">
        <f t="shared" si="158"/>
        <v>0</v>
      </c>
    </row>
    <row r="196" spans="1:22">
      <c r="A196" s="131">
        <v>12</v>
      </c>
      <c r="B196" s="119" t="s">
        <v>220</v>
      </c>
      <c r="C196" s="120" t="s">
        <v>216</v>
      </c>
      <c r="D196" s="29">
        <v>283365311.77999997</v>
      </c>
      <c r="E196" s="10">
        <f t="shared" si="147"/>
        <v>2.8710396143228498E-2</v>
      </c>
      <c r="F196" s="21">
        <v>26.87</v>
      </c>
      <c r="G196" s="21">
        <v>27.07</v>
      </c>
      <c r="H196" s="63">
        <v>45</v>
      </c>
      <c r="I196" s="28">
        <v>-4.2200000000000001E-2</v>
      </c>
      <c r="J196" s="28">
        <v>0.1255</v>
      </c>
      <c r="K196" s="29">
        <v>283908618.75</v>
      </c>
      <c r="L196" s="10">
        <f t="shared" si="148"/>
        <v>2.8337087763394393E-2</v>
      </c>
      <c r="M196" s="21">
        <v>26.93</v>
      </c>
      <c r="N196" s="21">
        <v>27.13</v>
      </c>
      <c r="O196" s="63">
        <v>46</v>
      </c>
      <c r="P196" s="28">
        <v>0</v>
      </c>
      <c r="Q196" s="28">
        <v>0.1255</v>
      </c>
      <c r="R196" s="81">
        <f t="shared" si="154"/>
        <v>1.9173376112523008E-3</v>
      </c>
      <c r="S196" s="81">
        <f t="shared" si="155"/>
        <v>2.2164758034724317E-3</v>
      </c>
      <c r="T196" s="81">
        <f t="shared" si="156"/>
        <v>2.2222222222222223E-2</v>
      </c>
      <c r="U196" s="81">
        <f t="shared" si="157"/>
        <v>4.2200000000000001E-2</v>
      </c>
      <c r="V196" s="83">
        <f t="shared" si="158"/>
        <v>0</v>
      </c>
    </row>
    <row r="197" spans="1:22">
      <c r="A197" s="43"/>
      <c r="B197" s="43"/>
      <c r="C197" s="74" t="s">
        <v>221</v>
      </c>
      <c r="D197" s="73">
        <f>SUM(D185:D196)</f>
        <v>9869780631.6000004</v>
      </c>
      <c r="E197" s="24"/>
      <c r="F197" s="24"/>
      <c r="G197" s="22"/>
      <c r="H197" s="73">
        <f>SUM(H185:H196)</f>
        <v>1450</v>
      </c>
      <c r="I197" s="23"/>
      <c r="J197" s="23"/>
      <c r="K197" s="73">
        <f>SUM(K185:K196)</f>
        <v>10018976583.639999</v>
      </c>
      <c r="L197" s="24"/>
      <c r="M197" s="24"/>
      <c r="N197" s="22"/>
      <c r="O197" s="73">
        <f>SUM(O185:O196)</f>
        <v>1485</v>
      </c>
      <c r="P197" s="23"/>
      <c r="Q197" s="23"/>
      <c r="R197" s="81">
        <f t="shared" si="154"/>
        <v>1.5116440537930447E-2</v>
      </c>
      <c r="S197" s="81" t="e">
        <f t="shared" si="155"/>
        <v>#DIV/0!</v>
      </c>
      <c r="T197" s="81">
        <f t="shared" si="156"/>
        <v>2.4137931034482758E-2</v>
      </c>
      <c r="U197" s="81">
        <f t="shared" si="157"/>
        <v>0</v>
      </c>
      <c r="V197" s="83">
        <f t="shared" si="158"/>
        <v>0</v>
      </c>
    </row>
    <row r="198" spans="1:22">
      <c r="A198" s="88"/>
      <c r="B198" s="88"/>
      <c r="C198" s="89" t="s">
        <v>222</v>
      </c>
      <c r="D198" s="90">
        <f>SUM(D177,D182,D197)</f>
        <v>2356364879555.3462</v>
      </c>
      <c r="E198" s="91"/>
      <c r="F198" s="91"/>
      <c r="G198" s="92"/>
      <c r="H198" s="90">
        <f>SUM(H177,H182,H197)</f>
        <v>768967</v>
      </c>
      <c r="I198" s="93"/>
      <c r="J198" s="93"/>
      <c r="K198" s="90">
        <f>SUM(K177,K182,K197)</f>
        <v>2184833902224.1431</v>
      </c>
      <c r="L198" s="91"/>
      <c r="M198" s="91"/>
      <c r="N198" s="92"/>
      <c r="O198" s="90">
        <f>SUM(O177,O182,O197)</f>
        <v>778535</v>
      </c>
      <c r="P198" s="94"/>
      <c r="Q198" s="90"/>
      <c r="R198" s="95"/>
      <c r="S198" s="96"/>
      <c r="T198" s="96"/>
      <c r="U198" s="97"/>
      <c r="V198" s="97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:K48 D47:D48" name="Yield_2_1_2_3_1_2"/>
    <protectedRange password="CADF" sqref="K53 D53" name="Yield_2_1_2_4_1_2"/>
    <protectedRange password="CADF" sqref="O53:Q53 H53:J53" name="Yield_1_1_1_1_1_2"/>
    <protectedRange password="CADF" sqref="O47:Q48 H47:J48" name="Yield_1_1_2_1_1_1_1_1_2"/>
    <protectedRange password="CADF" sqref="K79 D79" name="Yield_2_1_2_1_1_2"/>
    <protectedRange password="CADF" sqref="O79:Q79 H79:J79" name="Yield_1_1_2_1_2_1_2"/>
    <protectedRange password="CADF" sqref="M79:N79 F79:G79" name="Fund Name_2_2_1_1_2"/>
    <protectedRange password="CADF" sqref="N77 G77" name="BidOffer Prices_2_1_1_1_1_1_1_1_1_1_2"/>
    <protectedRange password="CADF" sqref="K98:K99 D98:D99" name="Yield_2_1_2_6_3_2"/>
    <protectedRange password="CADF" sqref="K141 K149:K150 D141 D149:D150" name="Fund Name_1_1_1_2_2"/>
    <protectedRange password="CADF" sqref="O141:Q141 O149:Q150 H141:J141 H149:J150" name="Yield_1_1_2_2_2"/>
    <protectedRange password="CADF" sqref="M141:N141 M149:N150 F141:G141 F149:G150" name="Fund Name_1_1_1_1_2_2"/>
  </protectedRanges>
  <mergeCells count="31">
    <mergeCell ref="A90:V90"/>
    <mergeCell ref="A1:V1"/>
    <mergeCell ref="U2:V2"/>
    <mergeCell ref="A4:V4"/>
    <mergeCell ref="A5:V5"/>
    <mergeCell ref="A23:V23"/>
    <mergeCell ref="A24:V24"/>
    <mergeCell ref="A56:V56"/>
    <mergeCell ref="A57:V57"/>
    <mergeCell ref="R2:T2"/>
    <mergeCell ref="K2:Q2"/>
    <mergeCell ref="D2:J2"/>
    <mergeCell ref="A159:V159"/>
    <mergeCell ref="A91:V91"/>
    <mergeCell ref="A92:V92"/>
    <mergeCell ref="A105:V105"/>
    <mergeCell ref="A106:V106"/>
    <mergeCell ref="A117:V117"/>
    <mergeCell ref="A118:V118"/>
    <mergeCell ref="A125:V125"/>
    <mergeCell ref="A126:V126"/>
    <mergeCell ref="A152:V152"/>
    <mergeCell ref="A153:V153"/>
    <mergeCell ref="A158:V158"/>
    <mergeCell ref="A183:V183"/>
    <mergeCell ref="A184:V184"/>
    <mergeCell ref="A160:V160"/>
    <mergeCell ref="A163:V163"/>
    <mergeCell ref="A164:V164"/>
    <mergeCell ref="A178:U178"/>
    <mergeCell ref="A179:V17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/>
  <cols>
    <col min="1" max="1" width="34" customWidth="1"/>
    <col min="2" max="2" width="17.5703125" customWidth="1"/>
    <col min="3" max="3" width="17.42578125" customWidth="1"/>
  </cols>
  <sheetData>
    <row r="1" spans="1:3">
      <c r="A1" s="103"/>
      <c r="B1" s="103"/>
      <c r="C1" s="103"/>
    </row>
    <row r="2" spans="1:3">
      <c r="A2" s="103"/>
      <c r="B2" s="103"/>
      <c r="C2" s="103"/>
    </row>
    <row r="3" spans="1:3">
      <c r="A3" s="103"/>
      <c r="B3" s="103"/>
      <c r="C3" s="103"/>
    </row>
    <row r="4" spans="1:3" ht="33" customHeight="1">
      <c r="A4" s="111" t="s">
        <v>223</v>
      </c>
      <c r="B4" s="112" t="s">
        <v>252</v>
      </c>
      <c r="C4" s="112" t="s">
        <v>255</v>
      </c>
    </row>
    <row r="5" spans="1:3" ht="19.5" customHeight="1">
      <c r="A5" s="113" t="s">
        <v>15</v>
      </c>
      <c r="B5" s="47">
        <f>23062133182.5075/1000000000</f>
        <v>23.062133182507498</v>
      </c>
      <c r="C5" s="47">
        <f>23529063102.0226/1000000000</f>
        <v>23.529063102022597</v>
      </c>
    </row>
    <row r="6" spans="1:3" ht="16.5">
      <c r="A6" s="114" t="s">
        <v>47</v>
      </c>
      <c r="B6" s="48">
        <f>866516570168.817/1000000000</f>
        <v>866.516570168817</v>
      </c>
      <c r="C6" s="48">
        <f>854204297161.977/1000000000</f>
        <v>854.20429716197702</v>
      </c>
    </row>
    <row r="7" spans="1:3" ht="16.5">
      <c r="A7" s="114" t="s">
        <v>224</v>
      </c>
      <c r="B7" s="47">
        <f>288458901847.26/1000000000</f>
        <v>288.45890184725999</v>
      </c>
      <c r="C7" s="47">
        <f>285507286565.077/1000000000</f>
        <v>285.50728656507704</v>
      </c>
    </row>
    <row r="8" spans="1:3" ht="16.5">
      <c r="A8" s="114" t="s">
        <v>129</v>
      </c>
      <c r="B8" s="48">
        <f>882093775634.849/1000000000</f>
        <v>882.09377563484895</v>
      </c>
      <c r="C8" s="48">
        <f>728772585155.994/1000000000</f>
        <v>728.77258515599397</v>
      </c>
    </row>
    <row r="9" spans="1:3" ht="16.5">
      <c r="A9" s="114" t="s">
        <v>225</v>
      </c>
      <c r="B9" s="47">
        <f>96484505230.9469/1000000000</f>
        <v>96.484505230946894</v>
      </c>
      <c r="C9" s="47">
        <f>96640447824.7536/1000000000</f>
        <v>96.640447824753608</v>
      </c>
    </row>
    <row r="10" spans="1:3" ht="16.5">
      <c r="A10" s="114" t="s">
        <v>155</v>
      </c>
      <c r="B10" s="49">
        <f>41347090375.9403/1000000000</f>
        <v>41.347090375940297</v>
      </c>
      <c r="C10" s="49">
        <f>41464152077.995/1000000000</f>
        <v>41.464152077995003</v>
      </c>
    </row>
    <row r="11" spans="1:3" ht="16.5">
      <c r="A11" s="114" t="s">
        <v>179</v>
      </c>
      <c r="B11" s="47">
        <f>4291989601.98/1000000000</f>
        <v>4.2919896019800001</v>
      </c>
      <c r="C11" s="47">
        <f>4336895308.57/1000000000</f>
        <v>4.3368953085699999</v>
      </c>
    </row>
    <row r="12" spans="1:3" ht="16.5">
      <c r="A12" s="114" t="s">
        <v>226</v>
      </c>
      <c r="B12" s="47">
        <f>45524715951.2147/1000000000</f>
        <v>45.524715951214702</v>
      </c>
      <c r="C12" s="47">
        <f>45749644294.6542/1000000000</f>
        <v>45.749644294654196</v>
      </c>
    </row>
    <row r="13" spans="1:3">
      <c r="A13" s="103"/>
      <c r="B13" s="103"/>
      <c r="C13" s="103"/>
    </row>
    <row r="16" spans="1:3" ht="16.5">
      <c r="B16" s="125"/>
      <c r="C16" s="47"/>
    </row>
    <row r="17" spans="1:3" ht="16.5">
      <c r="B17" s="121"/>
      <c r="C17" s="48"/>
    </row>
    <row r="18" spans="1:3" ht="16.5">
      <c r="A18" s="100"/>
      <c r="B18" s="126"/>
      <c r="C18" s="47"/>
    </row>
    <row r="19" spans="1:3" ht="16.5">
      <c r="A19" s="101"/>
      <c r="B19" s="121"/>
      <c r="C19" s="48"/>
    </row>
    <row r="20" spans="1:3" ht="16.5">
      <c r="A20" s="101"/>
      <c r="B20" s="126"/>
      <c r="C20" s="47"/>
    </row>
    <row r="21" spans="1:3" ht="16.5">
      <c r="A21" s="101"/>
      <c r="B21" s="121"/>
      <c r="C21" s="49"/>
    </row>
    <row r="22" spans="1:3" ht="16.5">
      <c r="A22" s="101"/>
      <c r="B22" s="127"/>
      <c r="C22" s="47"/>
    </row>
    <row r="23" spans="1:3" ht="16.5">
      <c r="A23" s="101"/>
      <c r="B23" s="121"/>
      <c r="C23" s="47"/>
    </row>
    <row r="24" spans="1:3" ht="16.5">
      <c r="A24" s="101"/>
      <c r="B24" s="121"/>
      <c r="C24" s="121"/>
    </row>
    <row r="25" spans="1:3" ht="16.5">
      <c r="A25" s="101"/>
      <c r="B25" s="110"/>
      <c r="C25" s="110"/>
    </row>
    <row r="26" spans="1:3" ht="16.5">
      <c r="A26" s="101"/>
      <c r="B26" s="110"/>
      <c r="C26" s="110"/>
    </row>
    <row r="27" spans="1:3">
      <c r="B27" s="105"/>
      <c r="C27" s="105"/>
    </row>
    <row r="28" spans="1:3">
      <c r="B28" s="105"/>
      <c r="C28" s="105"/>
    </row>
  </sheetData>
  <sheetProtection algorithmName="SHA-512" hashValue="inw8nwYEjLZxxKYYVCs+KRd/IMooPcqdehwlLr+szLTnjiY07Ur3Ix/9zQ4ZIRedOJN48VK2t+wrzxeJ+jnzWw==" saltValue="8wLLJxQ9WgqAVJR8XaUaBA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Q1" sqref="Q1"/>
    </sheetView>
  </sheetViews>
  <sheetFormatPr defaultRowHeight="15"/>
  <cols>
    <col min="1" max="1" width="26.7109375" customWidth="1"/>
    <col min="2" max="2" width="17.42578125" customWidth="1"/>
  </cols>
  <sheetData>
    <row r="1" spans="1:2" ht="16.5">
      <c r="A1" s="111" t="s">
        <v>223</v>
      </c>
      <c r="B1" s="115">
        <v>45275</v>
      </c>
    </row>
    <row r="2" spans="1:2" ht="16.5">
      <c r="A2" s="114" t="s">
        <v>179</v>
      </c>
      <c r="B2" s="47">
        <v>4336895308.5699997</v>
      </c>
    </row>
    <row r="3" spans="1:2" ht="16.5">
      <c r="A3" s="114" t="s">
        <v>15</v>
      </c>
      <c r="B3" s="47">
        <v>23529063102.022598</v>
      </c>
    </row>
    <row r="4" spans="1:2" ht="16.5">
      <c r="A4" s="114" t="s">
        <v>155</v>
      </c>
      <c r="B4" s="49">
        <v>41464152077.994957</v>
      </c>
    </row>
    <row r="5" spans="1:2" ht="16.5">
      <c r="A5" s="114" t="s">
        <v>226</v>
      </c>
      <c r="B5" s="47">
        <v>45749644294.654205</v>
      </c>
    </row>
    <row r="6" spans="1:2" ht="16.5">
      <c r="A6" s="114" t="s">
        <v>225</v>
      </c>
      <c r="B6" s="47">
        <v>96640447824.753601</v>
      </c>
    </row>
    <row r="7" spans="1:2" ht="16.5">
      <c r="A7" s="114" t="s">
        <v>224</v>
      </c>
      <c r="B7" s="47">
        <v>285507286565.07678</v>
      </c>
    </row>
    <row r="8" spans="1:2" ht="16.5">
      <c r="A8" s="114" t="s">
        <v>129</v>
      </c>
      <c r="B8" s="48">
        <v>728772585155.99414</v>
      </c>
    </row>
    <row r="9" spans="1:2" ht="16.5">
      <c r="A9" s="114" t="s">
        <v>47</v>
      </c>
      <c r="B9" s="48">
        <v>854204297161.97668</v>
      </c>
    </row>
    <row r="12" spans="1:2" ht="16.5">
      <c r="A12" s="114"/>
    </row>
    <row r="14" spans="1:2" ht="16.5">
      <c r="A14" s="102"/>
      <c r="B14" s="47"/>
    </row>
    <row r="15" spans="1:2" ht="16.5">
      <c r="A15" s="102"/>
      <c r="B15" s="47"/>
    </row>
    <row r="16" spans="1:2" ht="16.5">
      <c r="A16" s="102"/>
      <c r="B16" s="49"/>
    </row>
    <row r="17" spans="1:17" ht="16.5">
      <c r="A17" s="102"/>
      <c r="B17" s="47"/>
    </row>
    <row r="18" spans="1:17" ht="16.5">
      <c r="A18" s="102"/>
      <c r="B18" s="47"/>
    </row>
    <row r="19" spans="1:17" ht="16.5">
      <c r="A19" s="102"/>
      <c r="B19" s="47"/>
    </row>
    <row r="20" spans="1:17" ht="16.5">
      <c r="A20" s="102"/>
      <c r="B20" s="48"/>
    </row>
    <row r="21" spans="1:17" ht="16.5">
      <c r="A21" s="102"/>
      <c r="B21" s="48"/>
    </row>
    <row r="22" spans="1:17" ht="16.5">
      <c r="A22" s="98"/>
      <c r="B22" s="126"/>
    </row>
    <row r="32" spans="1:17" ht="16.5" customHeight="1">
      <c r="A32" s="154" t="s">
        <v>256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22"/>
    </row>
    <row r="33" spans="1:17" ht="15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22"/>
    </row>
  </sheetData>
  <sheetProtection algorithmName="SHA-512" hashValue="kugrb4f9P86kzf6++Bpi1kivI696Mb4FF7Icxo8zw8UcFqPqmgQjoIlUY/o2ZQuPbIOjNNIDpJkt5sGZHND1Xw==" saltValue="kk0e49ZOb5ZkcNrlZqVsaQ==" spinCount="100000" sheet="1" objects="1" scenarios="1"/>
  <sortState ref="B14:B21">
    <sortCondition ref="B14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="110" zoomScaleNormal="110" workbookViewId="0">
      <selection activeCell="K1" sqref="K1"/>
    </sheetView>
  </sheetViews>
  <sheetFormatPr defaultRowHeight="15"/>
  <cols>
    <col min="1" max="1" width="10.5703125" customWidth="1"/>
    <col min="2" max="2" width="12.7109375" customWidth="1"/>
    <col min="3" max="3" width="13.28515625" bestFit="1" customWidth="1"/>
    <col min="4" max="4" width="12.7109375" customWidth="1"/>
    <col min="5" max="5" width="13.42578125" customWidth="1"/>
    <col min="6" max="6" width="13.85546875" customWidth="1"/>
    <col min="7" max="7" width="14.85546875" customWidth="1"/>
    <col min="8" max="9" width="13.140625" customWidth="1"/>
  </cols>
  <sheetData>
    <row r="1" spans="1:11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16" t="s">
        <v>234</v>
      </c>
      <c r="B2" s="117">
        <v>45226</v>
      </c>
      <c r="C2" s="117">
        <v>45233</v>
      </c>
      <c r="D2" s="117">
        <v>45240</v>
      </c>
      <c r="E2" s="117">
        <v>45247</v>
      </c>
      <c r="F2" s="117">
        <v>45254</v>
      </c>
      <c r="G2" s="117">
        <v>45261</v>
      </c>
      <c r="H2" s="117">
        <v>45268</v>
      </c>
      <c r="I2" s="117">
        <v>45275</v>
      </c>
      <c r="J2" s="105"/>
      <c r="K2" s="105"/>
    </row>
    <row r="3" spans="1:11">
      <c r="A3" s="116" t="s">
        <v>235</v>
      </c>
      <c r="B3" s="118">
        <v>1992052361749.9485</v>
      </c>
      <c r="C3" s="118">
        <v>1995029350611.7961</v>
      </c>
      <c r="D3" s="118">
        <v>2004454649356.7783</v>
      </c>
      <c r="E3" s="118">
        <v>2019879952817.2942</v>
      </c>
      <c r="F3" s="118">
        <v>2023797867882.8513</v>
      </c>
      <c r="G3" s="118">
        <v>2120381651104.615</v>
      </c>
      <c r="H3" s="118">
        <v>2247779681993.5161</v>
      </c>
      <c r="I3" s="118">
        <v>2080204371491.0432</v>
      </c>
      <c r="J3" s="105"/>
      <c r="K3" s="105"/>
    </row>
    <row r="4" spans="1:11">
      <c r="A4" s="98"/>
      <c r="B4" s="98"/>
      <c r="C4" s="98"/>
      <c r="D4" s="98"/>
      <c r="E4" s="98"/>
      <c r="F4" s="98"/>
      <c r="G4" s="98"/>
      <c r="H4" s="98"/>
      <c r="I4" s="98"/>
    </row>
    <row r="5" spans="1:11">
      <c r="A5" s="98"/>
      <c r="B5" s="98"/>
      <c r="C5" s="98"/>
      <c r="D5" s="98"/>
      <c r="E5" s="98"/>
      <c r="F5" s="98"/>
      <c r="G5" s="98"/>
      <c r="H5" s="98"/>
      <c r="I5" s="98"/>
    </row>
    <row r="6" spans="1:11">
      <c r="A6" s="98"/>
      <c r="B6" s="98"/>
      <c r="C6" s="98"/>
      <c r="D6" s="98"/>
      <c r="E6" s="98"/>
      <c r="F6" s="98"/>
      <c r="G6" s="98"/>
      <c r="H6" s="98"/>
      <c r="I6" s="98"/>
    </row>
    <row r="7" spans="1:11">
      <c r="A7" s="98"/>
      <c r="B7" s="98"/>
      <c r="C7" s="98"/>
      <c r="D7" s="98"/>
      <c r="E7" s="98"/>
      <c r="F7" s="98"/>
      <c r="G7" s="98"/>
      <c r="H7" s="98"/>
      <c r="I7" s="98"/>
    </row>
    <row r="8" spans="1:11">
      <c r="A8" s="98"/>
      <c r="B8" s="98"/>
      <c r="C8" s="98"/>
      <c r="D8" s="98"/>
      <c r="E8" s="98"/>
      <c r="F8" s="98"/>
      <c r="G8" s="98"/>
      <c r="H8" s="98"/>
      <c r="I8" s="98"/>
    </row>
    <row r="9" spans="1:11">
      <c r="A9" s="98"/>
      <c r="B9" s="98"/>
      <c r="C9" s="98"/>
      <c r="D9" s="98"/>
      <c r="E9" s="98"/>
      <c r="F9" s="98"/>
      <c r="G9" s="98"/>
      <c r="H9" s="98"/>
      <c r="I9" s="98"/>
    </row>
    <row r="10" spans="1:11">
      <c r="A10" s="98"/>
      <c r="B10" s="98"/>
      <c r="C10" s="98"/>
      <c r="D10" s="98"/>
      <c r="E10" s="98"/>
      <c r="F10" s="98"/>
      <c r="G10" s="98"/>
      <c r="H10" s="98"/>
      <c r="I10" s="98"/>
    </row>
    <row r="11" spans="1:11">
      <c r="A11" s="98"/>
      <c r="B11" s="98"/>
      <c r="C11" s="98"/>
      <c r="D11" s="98"/>
      <c r="E11" s="98"/>
      <c r="F11" s="98"/>
      <c r="G11" s="98"/>
      <c r="H11" s="98"/>
      <c r="I11" s="98"/>
    </row>
    <row r="12" spans="1:11">
      <c r="A12" s="98"/>
      <c r="B12" s="98"/>
      <c r="C12" s="98"/>
      <c r="D12" s="98"/>
      <c r="E12" s="98"/>
      <c r="F12" s="98"/>
      <c r="G12" s="98"/>
      <c r="H12" s="98"/>
      <c r="I12" s="98"/>
    </row>
    <row r="13" spans="1:11">
      <c r="A13" s="98"/>
      <c r="B13" s="98"/>
      <c r="C13" s="98"/>
      <c r="D13" s="98"/>
      <c r="E13" s="98"/>
      <c r="F13" s="98"/>
      <c r="G13" s="98"/>
      <c r="H13" s="98"/>
      <c r="I13" s="98"/>
    </row>
    <row r="14" spans="1:11">
      <c r="A14" s="98"/>
      <c r="B14" s="98"/>
      <c r="C14" s="98"/>
      <c r="D14" s="98"/>
      <c r="E14" s="98"/>
      <c r="F14" s="98"/>
      <c r="G14" s="98"/>
      <c r="H14" s="98"/>
      <c r="I14" s="98"/>
    </row>
    <row r="15" spans="1:11">
      <c r="A15" s="98"/>
      <c r="B15" s="98"/>
      <c r="C15" s="98"/>
      <c r="D15" s="98"/>
      <c r="E15" s="98"/>
      <c r="F15" s="98"/>
      <c r="G15" s="98"/>
      <c r="H15" s="98"/>
      <c r="I15" s="98"/>
    </row>
    <row r="16" spans="1:11">
      <c r="A16" s="98"/>
      <c r="B16" s="98"/>
      <c r="C16" s="98"/>
      <c r="D16" s="98"/>
      <c r="E16" s="98"/>
      <c r="F16" s="98"/>
      <c r="G16" s="98"/>
      <c r="H16" s="98"/>
      <c r="I16" s="98"/>
    </row>
    <row r="17" spans="1:9">
      <c r="A17" s="98"/>
      <c r="B17" s="98"/>
      <c r="C17" s="98"/>
      <c r="D17" s="98"/>
      <c r="E17" s="98"/>
      <c r="F17" s="98"/>
      <c r="G17" s="98"/>
      <c r="H17" s="98"/>
      <c r="I17" s="98"/>
    </row>
    <row r="18" spans="1:9">
      <c r="A18" s="98"/>
      <c r="B18" s="98"/>
      <c r="C18" s="98"/>
      <c r="D18" s="98"/>
      <c r="E18" s="98"/>
      <c r="F18" s="98"/>
      <c r="G18" s="98"/>
      <c r="H18" s="98"/>
      <c r="I18" s="98"/>
    </row>
    <row r="19" spans="1:9">
      <c r="A19" s="98"/>
      <c r="B19" s="98"/>
      <c r="C19" s="98"/>
      <c r="D19" s="98"/>
      <c r="E19" s="98"/>
      <c r="F19" s="98"/>
      <c r="G19" s="98"/>
      <c r="H19" s="98"/>
      <c r="I19" s="98"/>
    </row>
    <row r="20" spans="1:9">
      <c r="A20" s="98"/>
      <c r="B20" s="98"/>
      <c r="C20" s="98"/>
      <c r="D20" s="98"/>
      <c r="E20" s="98"/>
      <c r="F20" s="98"/>
      <c r="G20" s="98"/>
      <c r="H20" s="98"/>
      <c r="I20" s="98"/>
    </row>
    <row r="21" spans="1:9">
      <c r="A21" s="98"/>
      <c r="B21" s="98"/>
      <c r="C21" s="98"/>
      <c r="D21" s="98"/>
      <c r="E21" s="98"/>
      <c r="F21" s="98"/>
      <c r="G21" s="98"/>
      <c r="H21" s="98"/>
      <c r="I21" s="98"/>
    </row>
    <row r="22" spans="1:9">
      <c r="A22" s="98"/>
      <c r="B22" s="98"/>
      <c r="C22" s="98"/>
      <c r="D22" s="98"/>
      <c r="E22" s="98"/>
      <c r="F22" s="98"/>
      <c r="G22" s="98"/>
      <c r="H22" s="98"/>
      <c r="I22" s="98"/>
    </row>
    <row r="23" spans="1:9">
      <c r="A23" s="98"/>
      <c r="B23" s="98"/>
      <c r="C23" s="98"/>
      <c r="D23" s="98"/>
      <c r="E23" s="98"/>
      <c r="F23" s="98"/>
      <c r="G23" s="98"/>
      <c r="H23" s="98"/>
      <c r="I23" s="98"/>
    </row>
    <row r="24" spans="1:9">
      <c r="A24" s="98"/>
      <c r="B24" s="98"/>
      <c r="C24" s="98"/>
      <c r="D24" s="98"/>
      <c r="E24" s="98"/>
      <c r="F24" s="98"/>
      <c r="G24" s="98"/>
      <c r="H24" s="98"/>
      <c r="I24" s="98"/>
    </row>
    <row r="25" spans="1:9">
      <c r="A25" s="98"/>
      <c r="B25" s="98"/>
      <c r="C25" s="98"/>
      <c r="D25" s="98"/>
      <c r="E25" s="98"/>
      <c r="F25" s="98"/>
      <c r="G25" s="98"/>
      <c r="H25" s="98"/>
      <c r="I25" s="98"/>
    </row>
    <row r="26" spans="1:9">
      <c r="A26" s="98"/>
      <c r="B26" s="98"/>
      <c r="C26" s="98"/>
      <c r="D26" s="98"/>
      <c r="E26" s="98"/>
      <c r="F26" s="98"/>
      <c r="G26" s="98"/>
      <c r="H26" s="98"/>
      <c r="I26" s="98"/>
    </row>
    <row r="27" spans="1:9">
      <c r="A27" s="98"/>
      <c r="B27" s="98"/>
      <c r="C27" s="98"/>
      <c r="D27" s="98"/>
      <c r="E27" s="98"/>
      <c r="F27" s="98"/>
      <c r="G27" s="98"/>
      <c r="H27" s="98"/>
      <c r="I27" s="98"/>
    </row>
    <row r="28" spans="1:9">
      <c r="A28" s="98"/>
      <c r="B28" s="98"/>
      <c r="C28" s="98"/>
      <c r="D28" s="98"/>
      <c r="E28" s="98"/>
      <c r="F28" s="98"/>
      <c r="G28" s="98"/>
      <c r="H28" s="98"/>
      <c r="I28" s="98"/>
    </row>
    <row r="29" spans="1:9">
      <c r="A29" s="98"/>
      <c r="B29" s="98"/>
      <c r="C29" s="98"/>
      <c r="D29" s="98"/>
      <c r="E29" s="98"/>
      <c r="F29" s="98"/>
      <c r="G29" s="98"/>
      <c r="H29" s="98"/>
      <c r="I29" s="98"/>
    </row>
  </sheetData>
  <sheetProtection algorithmName="SHA-512" hashValue="omGlW9djdBonRYLyawp+7eZZW6jTXx8FCqBM1B3UyuyA2VeiLyFDTFYCR/ACBphppqiAYajuil7TnI8u5G21LA==" saltValue="ES5FRR5K09jr0bbe+QimY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opLeftCell="E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2" ht="16.5">
      <c r="A1" s="44" t="s">
        <v>223</v>
      </c>
      <c r="B1" s="45">
        <v>45219</v>
      </c>
      <c r="C1" s="45">
        <v>45226</v>
      </c>
      <c r="D1" s="45">
        <v>45233</v>
      </c>
      <c r="E1" s="45">
        <v>45240</v>
      </c>
      <c r="F1" s="45">
        <v>45247</v>
      </c>
      <c r="G1" s="45">
        <v>45254</v>
      </c>
      <c r="H1" s="45">
        <v>45261</v>
      </c>
      <c r="I1" s="45">
        <v>45268</v>
      </c>
      <c r="J1" s="45">
        <v>45275</v>
      </c>
    </row>
    <row r="2" spans="1:12" ht="16.5">
      <c r="A2" s="46" t="s">
        <v>15</v>
      </c>
      <c r="B2" s="47">
        <v>22321023691.510902</v>
      </c>
      <c r="C2" s="47">
        <v>22297088298.263195</v>
      </c>
      <c r="D2" s="47">
        <v>22627915820.731602</v>
      </c>
      <c r="E2" s="47">
        <v>22794496005.583801</v>
      </c>
      <c r="F2" s="47">
        <v>22858868495.366501</v>
      </c>
      <c r="G2" s="47">
        <v>22917888550.564899</v>
      </c>
      <c r="H2" s="47">
        <v>23002842288.0406</v>
      </c>
      <c r="I2" s="47">
        <v>23062133182.5075</v>
      </c>
      <c r="J2" s="47">
        <v>23529063102.022598</v>
      </c>
    </row>
    <row r="3" spans="1:12" ht="16.5">
      <c r="A3" s="46" t="s">
        <v>47</v>
      </c>
      <c r="B3" s="48">
        <v>868733209665.15002</v>
      </c>
      <c r="C3" s="48">
        <v>866720174597.19238</v>
      </c>
      <c r="D3" s="48">
        <v>868763948236.72998</v>
      </c>
      <c r="E3" s="48">
        <v>861362592384.79565</v>
      </c>
      <c r="F3" s="48">
        <v>865822924113.04614</v>
      </c>
      <c r="G3" s="48">
        <v>869350685967.34192</v>
      </c>
      <c r="H3" s="48">
        <v>869196903201.49829</v>
      </c>
      <c r="I3" s="48">
        <v>866516570168.81689</v>
      </c>
      <c r="J3" s="48">
        <v>854204297161.97668</v>
      </c>
    </row>
    <row r="4" spans="1:12" ht="16.5">
      <c r="A4" s="46" t="s">
        <v>224</v>
      </c>
      <c r="B4" s="47">
        <v>297314764640.83484</v>
      </c>
      <c r="C4" s="47">
        <v>296829521368.71655</v>
      </c>
      <c r="D4" s="47">
        <v>296477977964.1463</v>
      </c>
      <c r="E4" s="47">
        <v>299518508797.995</v>
      </c>
      <c r="F4" s="47">
        <v>298317775753.20929</v>
      </c>
      <c r="G4" s="47">
        <v>292383213255.36121</v>
      </c>
      <c r="H4" s="47">
        <v>291948133511.51477</v>
      </c>
      <c r="I4" s="47">
        <v>288458901847.26001</v>
      </c>
      <c r="J4" s="47">
        <v>285507286565.07678</v>
      </c>
    </row>
    <row r="5" spans="1:12" ht="16.5">
      <c r="A5" s="46" t="s">
        <v>129</v>
      </c>
      <c r="B5" s="48">
        <v>631778541802.7771</v>
      </c>
      <c r="C5" s="48">
        <v>623939339182.42139</v>
      </c>
      <c r="D5" s="48">
        <v>624424131579.08496</v>
      </c>
      <c r="E5" s="48">
        <v>638339381199.3125</v>
      </c>
      <c r="F5" s="48">
        <v>647350483168.5968</v>
      </c>
      <c r="G5" s="48">
        <v>652996623374.59875</v>
      </c>
      <c r="H5" s="48">
        <v>749487239675.21936</v>
      </c>
      <c r="I5" s="48">
        <v>882093775634.84949</v>
      </c>
      <c r="J5" s="48">
        <v>728772585155.99414</v>
      </c>
    </row>
    <row r="6" spans="1:12" ht="16.5">
      <c r="A6" s="46" t="s">
        <v>225</v>
      </c>
      <c r="B6" s="47">
        <v>93071505879.830002</v>
      </c>
      <c r="C6" s="47">
        <v>93122068013.900009</v>
      </c>
      <c r="D6" s="47">
        <v>93195143675.199997</v>
      </c>
      <c r="E6" s="47">
        <v>93197010128.300003</v>
      </c>
      <c r="F6" s="47">
        <v>95531336334.98999</v>
      </c>
      <c r="G6" s="47">
        <v>95820553466.403229</v>
      </c>
      <c r="H6" s="47">
        <v>96469811252.586914</v>
      </c>
      <c r="I6" s="47">
        <v>96484505230.946899</v>
      </c>
      <c r="J6" s="47">
        <v>96640447824.753601</v>
      </c>
    </row>
    <row r="7" spans="1:12" ht="16.5">
      <c r="A7" s="46" t="s">
        <v>155</v>
      </c>
      <c r="B7" s="49">
        <v>39125729977.492111</v>
      </c>
      <c r="C7" s="49">
        <v>39115203974.124908</v>
      </c>
      <c r="D7" s="49">
        <v>39279784642.423355</v>
      </c>
      <c r="E7" s="49">
        <v>39710985001.751167</v>
      </c>
      <c r="F7" s="49">
        <v>39960778727.195503</v>
      </c>
      <c r="G7" s="49">
        <v>40186047185.191147</v>
      </c>
      <c r="H7" s="49">
        <v>40757011293.125015</v>
      </c>
      <c r="I7" s="49">
        <v>41347090375.940308</v>
      </c>
      <c r="J7" s="49">
        <v>41464152077.994957</v>
      </c>
    </row>
    <row r="8" spans="1:12" ht="16.5">
      <c r="A8" s="46" t="s">
        <v>179</v>
      </c>
      <c r="B8" s="47">
        <v>3851756766.6799998</v>
      </c>
      <c r="C8" s="47">
        <v>3850205746.29</v>
      </c>
      <c r="D8" s="47">
        <v>3928183119.75</v>
      </c>
      <c r="E8" s="47">
        <v>3954911247.46</v>
      </c>
      <c r="F8" s="47">
        <v>3972600047.8899999</v>
      </c>
      <c r="G8" s="47">
        <v>4234494815.8499999</v>
      </c>
      <c r="H8" s="47">
        <v>4265839491.7800002</v>
      </c>
      <c r="I8" s="47">
        <v>4291989601.98</v>
      </c>
      <c r="J8" s="47">
        <v>4336895308.5699997</v>
      </c>
    </row>
    <row r="9" spans="1:12" ht="16.5">
      <c r="A9" s="46" t="s">
        <v>226</v>
      </c>
      <c r="B9" s="47">
        <v>45993634878.969994</v>
      </c>
      <c r="C9" s="47">
        <v>46178760569.040001</v>
      </c>
      <c r="D9" s="47">
        <v>46332265573.729996</v>
      </c>
      <c r="E9" s="47">
        <v>45576764591.580002</v>
      </c>
      <c r="F9" s="47">
        <v>46065186177</v>
      </c>
      <c r="G9" s="47">
        <v>45908361267.540009</v>
      </c>
      <c r="H9" s="47">
        <v>45253870390.850006</v>
      </c>
      <c r="I9" s="47">
        <v>45524715951.214706</v>
      </c>
      <c r="J9" s="47">
        <v>45749644294.654205</v>
      </c>
    </row>
    <row r="10" spans="1:12" ht="15.75">
      <c r="A10" s="50" t="s">
        <v>227</v>
      </c>
      <c r="B10" s="51">
        <f t="shared" ref="B10:F10" si="0">SUM(B2:B9)</f>
        <v>2002190167303.2449</v>
      </c>
      <c r="C10" s="51">
        <f t="shared" si="0"/>
        <v>1992052361749.9485</v>
      </c>
      <c r="D10" s="51">
        <f t="shared" si="0"/>
        <v>1995029350611.7961</v>
      </c>
      <c r="E10" s="51">
        <f t="shared" si="0"/>
        <v>2004454649356.7783</v>
      </c>
      <c r="F10" s="51">
        <f t="shared" si="0"/>
        <v>2019879952817.2942</v>
      </c>
      <c r="G10" s="51">
        <f>SUM(G2:G9)</f>
        <v>2023797867882.8513</v>
      </c>
      <c r="H10" s="51">
        <f>SUM(H2:H9)</f>
        <v>2120381651104.615</v>
      </c>
      <c r="I10" s="51">
        <f>SUM(I2:I9)</f>
        <v>2247779681993.5161</v>
      </c>
      <c r="J10" s="51">
        <f>SUM(J2:J9)</f>
        <v>2080204371491.0432</v>
      </c>
    </row>
    <row r="11" spans="1:12" ht="16.5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2" ht="15.75">
      <c r="A12" s="54" t="s">
        <v>228</v>
      </c>
      <c r="B12" s="55" t="s">
        <v>229</v>
      </c>
      <c r="C12" s="56">
        <f>(B10+C10)/2</f>
        <v>1997121264526.5967</v>
      </c>
      <c r="D12" s="57">
        <f t="shared" ref="D12:J12" si="1">(C10+D10)/2</f>
        <v>1993540856180.8723</v>
      </c>
      <c r="E12" s="57">
        <f t="shared" si="1"/>
        <v>1999741999984.2871</v>
      </c>
      <c r="F12" s="57">
        <f t="shared" si="1"/>
        <v>2012167301087.0361</v>
      </c>
      <c r="G12" s="57">
        <f>(F10+G10)/2</f>
        <v>2021838910350.0728</v>
      </c>
      <c r="H12" s="57">
        <f t="shared" si="1"/>
        <v>2072089759493.7332</v>
      </c>
      <c r="I12" s="57">
        <f t="shared" si="1"/>
        <v>2184080666549.0654</v>
      </c>
      <c r="J12" s="57">
        <f t="shared" si="1"/>
        <v>2163992026742.2798</v>
      </c>
    </row>
    <row r="15" spans="1:12" ht="16.5">
      <c r="A15" s="44" t="s">
        <v>223</v>
      </c>
      <c r="B15" s="45">
        <v>45268</v>
      </c>
      <c r="C15" s="45">
        <v>45275</v>
      </c>
    </row>
    <row r="16" spans="1:12" ht="16.5">
      <c r="A16" s="46" t="s">
        <v>15</v>
      </c>
      <c r="B16" s="47">
        <v>23062133182.5075</v>
      </c>
      <c r="C16" s="47">
        <v>23529063102.022598</v>
      </c>
      <c r="E16" s="118"/>
      <c r="F16" s="118"/>
      <c r="G16" s="118"/>
      <c r="H16" s="118"/>
      <c r="I16" s="118"/>
      <c r="J16" s="118"/>
      <c r="K16" s="118"/>
      <c r="L16" s="118"/>
    </row>
    <row r="17" spans="1:13" ht="16.5">
      <c r="A17" s="46" t="s">
        <v>47</v>
      </c>
      <c r="B17" s="48">
        <v>866516570168.81689</v>
      </c>
      <c r="C17" s="48">
        <v>854204297161.97668</v>
      </c>
    </row>
    <row r="18" spans="1:13" ht="16.5">
      <c r="A18" s="46" t="s">
        <v>224</v>
      </c>
      <c r="B18" s="47">
        <v>288458901847.26001</v>
      </c>
      <c r="C18" s="47">
        <v>285507286565.07678</v>
      </c>
    </row>
    <row r="19" spans="1:13" ht="16.5">
      <c r="A19" s="46" t="s">
        <v>129</v>
      </c>
      <c r="B19" s="48">
        <v>882093775634.84949</v>
      </c>
      <c r="C19" s="48">
        <v>728772585155.99414</v>
      </c>
      <c r="F19" s="118"/>
      <c r="G19" s="118"/>
      <c r="H19" s="118"/>
      <c r="I19" s="118"/>
      <c r="J19" s="118"/>
      <c r="K19" s="118"/>
      <c r="L19" s="118"/>
      <c r="M19" s="118"/>
    </row>
    <row r="20" spans="1:13" ht="16.5">
      <c r="A20" s="46" t="s">
        <v>225</v>
      </c>
      <c r="B20" s="47">
        <v>96484505230.946899</v>
      </c>
      <c r="C20" s="47">
        <v>96640447824.753601</v>
      </c>
      <c r="E20" s="118"/>
      <c r="F20" s="118"/>
      <c r="G20" s="118"/>
      <c r="H20" s="118"/>
      <c r="I20" s="118"/>
      <c r="J20" s="118"/>
      <c r="K20" s="118"/>
      <c r="L20" s="118"/>
    </row>
    <row r="21" spans="1:13" ht="16.5">
      <c r="A21" s="46" t="s">
        <v>155</v>
      </c>
      <c r="B21" s="49">
        <v>41347090375.940308</v>
      </c>
      <c r="C21" s="49">
        <v>41464152077.994957</v>
      </c>
    </row>
    <row r="22" spans="1:13" ht="16.5">
      <c r="A22" s="46" t="s">
        <v>179</v>
      </c>
      <c r="B22" s="47">
        <v>4291989601.98</v>
      </c>
      <c r="C22" s="47">
        <v>4336895308.5699997</v>
      </c>
    </row>
    <row r="23" spans="1:13" ht="16.5">
      <c r="A23" s="46" t="s">
        <v>226</v>
      </c>
      <c r="B23" s="47">
        <v>45524715951.214706</v>
      </c>
      <c r="C23" s="47">
        <v>45749644294.654205</v>
      </c>
    </row>
    <row r="26" spans="1:13">
      <c r="C26" s="118"/>
      <c r="D26" s="118"/>
      <c r="E26" s="118"/>
      <c r="F26" s="118"/>
      <c r="G26" s="118"/>
      <c r="H26" s="118"/>
      <c r="I26" s="118"/>
      <c r="J26" s="118"/>
    </row>
    <row r="28" spans="1:13">
      <c r="C28" s="70"/>
      <c r="D28" s="70"/>
      <c r="E28" s="70"/>
      <c r="F28" s="70"/>
      <c r="G28" s="70"/>
      <c r="H28" s="70"/>
      <c r="I28" s="70"/>
      <c r="J28" s="70"/>
    </row>
  </sheetData>
  <sheetProtection algorithmName="SHA-512" hashValue="g5tZgtMjwt8732Gtw28bTVRHkwbxn9jUzmVh8ioVD7H2FP6Bwj3TElrhK2eeI9X1stf9jNJFDBuMk2ezgnENHQ==" saltValue="ud9ZKszgYCntP3bNfAYvyQ==" spinCount="100000" sheet="1" objects="1" scenario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2023-12-27T07:42:15Z</dcterms:modified>
</cp:coreProperties>
</file>