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M97" i="1" l="1"/>
  <c r="N97" i="1"/>
  <c r="K97" i="1"/>
  <c r="K95" i="1" l="1"/>
  <c r="N95" i="1"/>
  <c r="M95" i="1"/>
  <c r="N113" i="1" l="1"/>
  <c r="M113" i="1"/>
  <c r="N104" i="1" l="1"/>
  <c r="M104" i="1"/>
  <c r="K104" i="1"/>
  <c r="N96" i="1" l="1"/>
  <c r="M96" i="1"/>
  <c r="K96" i="1"/>
  <c r="N94" i="1" l="1"/>
  <c r="M94" i="1"/>
  <c r="V73" i="1" l="1"/>
  <c r="U73" i="1"/>
  <c r="T73" i="1"/>
  <c r="S73" i="1"/>
  <c r="R73" i="1"/>
  <c r="N109" i="1"/>
  <c r="M109" i="1"/>
  <c r="K109" i="1"/>
  <c r="N102" i="1"/>
  <c r="M102" i="1"/>
  <c r="K102" i="1"/>
  <c r="N101" i="1" l="1"/>
  <c r="M101" i="1"/>
  <c r="K101" i="1"/>
  <c r="N103" i="1" l="1"/>
  <c r="M103" i="1"/>
  <c r="K103" i="1"/>
  <c r="G116" i="1"/>
  <c r="F116" i="1"/>
  <c r="G113" i="1"/>
  <c r="F113" i="1"/>
  <c r="G112" i="1"/>
  <c r="F112" i="1"/>
  <c r="G109" i="1"/>
  <c r="F109" i="1"/>
  <c r="D109" i="1"/>
  <c r="G104" i="1"/>
  <c r="F104" i="1"/>
  <c r="G103" i="1"/>
  <c r="F103" i="1"/>
  <c r="G102" i="1"/>
  <c r="F102" i="1"/>
  <c r="G101" i="1"/>
  <c r="F101" i="1"/>
  <c r="G97" i="1"/>
  <c r="F97" i="1"/>
  <c r="G96" i="1"/>
  <c r="F96" i="1"/>
  <c r="G95" i="1"/>
  <c r="F95" i="1"/>
  <c r="G94" i="1"/>
  <c r="F94" i="1"/>
  <c r="D104" i="1"/>
  <c r="D103" i="1"/>
  <c r="D102" i="1"/>
  <c r="D101" i="1"/>
  <c r="D97" i="1"/>
  <c r="D96" i="1"/>
  <c r="D95" i="1"/>
  <c r="V78" i="1" l="1"/>
  <c r="U78" i="1"/>
  <c r="T78" i="1"/>
  <c r="S78" i="1"/>
  <c r="R78" i="1"/>
  <c r="N112" i="1" l="1"/>
  <c r="M112" i="1"/>
  <c r="I10" i="4" l="1"/>
  <c r="H10" i="4"/>
  <c r="G10" i="4"/>
  <c r="F10" i="4"/>
  <c r="E10" i="4"/>
  <c r="D10" i="4"/>
  <c r="C10" i="4"/>
  <c r="B10" i="4"/>
  <c r="V170" i="1" l="1"/>
  <c r="U170" i="1"/>
  <c r="T170" i="1"/>
  <c r="S170" i="1"/>
  <c r="R170" i="1"/>
  <c r="T32" i="1" l="1"/>
  <c r="S21" i="1" l="1"/>
  <c r="T21" i="1"/>
  <c r="V96" i="1" l="1"/>
  <c r="R96" i="1"/>
  <c r="S96" i="1"/>
  <c r="T96" i="1"/>
  <c r="U96" i="1"/>
  <c r="R12" i="1" l="1"/>
  <c r="R48" i="1" l="1"/>
  <c r="V48" i="1"/>
  <c r="U48" i="1"/>
  <c r="T48" i="1"/>
  <c r="S48" i="1"/>
  <c r="V97" i="1" l="1"/>
  <c r="U97" i="1"/>
  <c r="T97" i="1"/>
  <c r="S97" i="1"/>
  <c r="R97" i="1"/>
  <c r="V121" i="1" l="1"/>
  <c r="U121" i="1"/>
  <c r="T121" i="1"/>
  <c r="S121" i="1"/>
  <c r="R121" i="1"/>
  <c r="R70" i="1" l="1"/>
  <c r="V175" i="1" l="1"/>
  <c r="U175" i="1"/>
  <c r="T175" i="1"/>
  <c r="S175" i="1"/>
  <c r="R175" i="1"/>
  <c r="S163" i="1" l="1"/>
  <c r="D158" i="1" l="1"/>
  <c r="D117" i="1"/>
  <c r="E97" i="1" s="1"/>
  <c r="R88" i="1" l="1"/>
  <c r="S88" i="1"/>
  <c r="T88" i="1"/>
  <c r="U88" i="1"/>
  <c r="V88" i="1"/>
  <c r="D198" i="1"/>
  <c r="D177" i="1"/>
  <c r="E175" i="1" s="1"/>
  <c r="D125" i="1"/>
  <c r="E121" i="1" s="1"/>
  <c r="D55" i="1"/>
  <c r="R156" i="1" l="1"/>
  <c r="R80" i="1" l="1"/>
  <c r="S80" i="1"/>
  <c r="T80" i="1"/>
  <c r="V80" i="1"/>
  <c r="U80" i="1"/>
  <c r="D22" i="1" l="1"/>
  <c r="R110" i="1" l="1"/>
  <c r="R19" i="1" l="1"/>
  <c r="R187" i="1" l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S198" i="1"/>
  <c r="U198" i="1"/>
  <c r="V198" i="1"/>
  <c r="V186" i="1"/>
  <c r="U186" i="1"/>
  <c r="T186" i="1"/>
  <c r="S186" i="1"/>
  <c r="R186" i="1"/>
  <c r="V182" i="1"/>
  <c r="U182" i="1"/>
  <c r="T182" i="1"/>
  <c r="S182" i="1"/>
  <c r="R182" i="1"/>
  <c r="V181" i="1"/>
  <c r="U181" i="1"/>
  <c r="T181" i="1"/>
  <c r="S181" i="1"/>
  <c r="R181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4" i="1"/>
  <c r="S174" i="1"/>
  <c r="T174" i="1"/>
  <c r="U174" i="1"/>
  <c r="V174" i="1"/>
  <c r="R176" i="1"/>
  <c r="S176" i="1"/>
  <c r="T176" i="1"/>
  <c r="U176" i="1"/>
  <c r="V176" i="1"/>
  <c r="S177" i="1"/>
  <c r="U177" i="1"/>
  <c r="V177" i="1"/>
  <c r="V166" i="1"/>
  <c r="U166" i="1"/>
  <c r="T166" i="1"/>
  <c r="S166" i="1"/>
  <c r="R166" i="1"/>
  <c r="V163" i="1"/>
  <c r="U163" i="1"/>
  <c r="T163" i="1"/>
  <c r="R163" i="1"/>
  <c r="V162" i="1"/>
  <c r="U162" i="1"/>
  <c r="T162" i="1"/>
  <c r="S162" i="1"/>
  <c r="R162" i="1"/>
  <c r="S156" i="1"/>
  <c r="T156" i="1"/>
  <c r="U156" i="1"/>
  <c r="V156" i="1"/>
  <c r="R157" i="1"/>
  <c r="S157" i="1"/>
  <c r="T157" i="1"/>
  <c r="U157" i="1"/>
  <c r="V157" i="1"/>
  <c r="S158" i="1"/>
  <c r="U158" i="1"/>
  <c r="V158" i="1"/>
  <c r="V155" i="1"/>
  <c r="U155" i="1"/>
  <c r="T155" i="1"/>
  <c r="S155" i="1"/>
  <c r="R155" i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S152" i="1"/>
  <c r="U152" i="1"/>
  <c r="V152" i="1"/>
  <c r="V128" i="1"/>
  <c r="U128" i="1"/>
  <c r="T128" i="1"/>
  <c r="S128" i="1"/>
  <c r="R128" i="1"/>
  <c r="R122" i="1"/>
  <c r="S122" i="1"/>
  <c r="T122" i="1"/>
  <c r="U122" i="1"/>
  <c r="V122" i="1"/>
  <c r="R123" i="1"/>
  <c r="S123" i="1"/>
  <c r="T123" i="1"/>
  <c r="U123" i="1"/>
  <c r="V123" i="1"/>
  <c r="R124" i="1"/>
  <c r="S124" i="1"/>
  <c r="T124" i="1"/>
  <c r="U124" i="1"/>
  <c r="V124" i="1"/>
  <c r="S125" i="1"/>
  <c r="U125" i="1"/>
  <c r="V125" i="1"/>
  <c r="V120" i="1"/>
  <c r="U120" i="1"/>
  <c r="T120" i="1"/>
  <c r="S120" i="1"/>
  <c r="R120" i="1"/>
  <c r="R109" i="1"/>
  <c r="S109" i="1"/>
  <c r="T109" i="1"/>
  <c r="U109" i="1"/>
  <c r="V109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S117" i="1"/>
  <c r="U117" i="1"/>
  <c r="V117" i="1"/>
  <c r="V108" i="1"/>
  <c r="U108" i="1"/>
  <c r="T108" i="1"/>
  <c r="S108" i="1"/>
  <c r="R108" i="1"/>
  <c r="R95" i="1"/>
  <c r="S95" i="1"/>
  <c r="T95" i="1"/>
  <c r="U95" i="1"/>
  <c r="V95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V94" i="1"/>
  <c r="U94" i="1"/>
  <c r="T94" i="1"/>
  <c r="S94" i="1"/>
  <c r="R94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9" i="1"/>
  <c r="S89" i="1"/>
  <c r="T89" i="1"/>
  <c r="U89" i="1"/>
  <c r="V89" i="1"/>
  <c r="S90" i="1"/>
  <c r="U90" i="1"/>
  <c r="V90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1" i="1"/>
  <c r="O177" i="1" l="1"/>
  <c r="O198" i="1"/>
  <c r="K198" i="1"/>
  <c r="H198" i="1"/>
  <c r="K183" i="1"/>
  <c r="H183" i="1"/>
  <c r="D183" i="1"/>
  <c r="H177" i="1"/>
  <c r="K177" i="1"/>
  <c r="H158" i="1"/>
  <c r="O158" i="1"/>
  <c r="K158" i="1"/>
  <c r="O152" i="1"/>
  <c r="K152" i="1"/>
  <c r="L170" i="1" s="1"/>
  <c r="H152" i="1"/>
  <c r="D152" i="1"/>
  <c r="E170" i="1" s="1"/>
  <c r="O125" i="1"/>
  <c r="K125" i="1"/>
  <c r="L121" i="1" s="1"/>
  <c r="H125" i="1"/>
  <c r="T125" i="1" s="1"/>
  <c r="H117" i="1"/>
  <c r="O117" i="1"/>
  <c r="K117" i="1"/>
  <c r="L97" i="1" s="1"/>
  <c r="O90" i="1"/>
  <c r="K90" i="1"/>
  <c r="L73" i="1" s="1"/>
  <c r="H90" i="1"/>
  <c r="D90" i="1"/>
  <c r="E73" i="1" s="1"/>
  <c r="O55" i="1"/>
  <c r="K55" i="1"/>
  <c r="H55" i="1"/>
  <c r="O22" i="1"/>
  <c r="H22" i="1"/>
  <c r="E78" i="1" l="1"/>
  <c r="L78" i="1"/>
  <c r="L52" i="1"/>
  <c r="L35" i="1"/>
  <c r="L196" i="1"/>
  <c r="L197" i="1"/>
  <c r="E48" i="1"/>
  <c r="L47" i="1"/>
  <c r="L49" i="1"/>
  <c r="L48" i="1"/>
  <c r="L50" i="1"/>
  <c r="L94" i="1"/>
  <c r="L108" i="1"/>
  <c r="L143" i="1"/>
  <c r="L148" i="1"/>
  <c r="L173" i="1"/>
  <c r="L175" i="1"/>
  <c r="L83" i="1"/>
  <c r="L61" i="1"/>
  <c r="L147" i="1"/>
  <c r="L96" i="1"/>
  <c r="L25" i="1"/>
  <c r="L38" i="1"/>
  <c r="T177" i="1"/>
  <c r="L87" i="1"/>
  <c r="L88" i="1"/>
  <c r="E80" i="1"/>
  <c r="E88" i="1"/>
  <c r="T198" i="1"/>
  <c r="L80" i="1"/>
  <c r="T55" i="1"/>
  <c r="T158" i="1"/>
  <c r="R158" i="1"/>
  <c r="T90" i="1"/>
  <c r="T152" i="1"/>
  <c r="T22" i="1"/>
  <c r="R125" i="1"/>
  <c r="R198" i="1"/>
  <c r="T117" i="1"/>
  <c r="O178" i="1"/>
  <c r="O199" i="1" s="1"/>
  <c r="R152" i="1"/>
  <c r="L142" i="1"/>
  <c r="R117" i="1"/>
  <c r="R90" i="1"/>
  <c r="L60" i="1"/>
  <c r="L62" i="1"/>
  <c r="L64" i="1"/>
  <c r="L66" i="1"/>
  <c r="L68" i="1"/>
  <c r="L70" i="1"/>
  <c r="L72" i="1"/>
  <c r="L75" i="1"/>
  <c r="L77" i="1"/>
  <c r="L81" i="1"/>
  <c r="L85" i="1"/>
  <c r="L89" i="1"/>
  <c r="L59" i="1"/>
  <c r="L63" i="1"/>
  <c r="L65" i="1"/>
  <c r="L67" i="1"/>
  <c r="L69" i="1"/>
  <c r="L71" i="1"/>
  <c r="L74" i="1"/>
  <c r="L76" i="1"/>
  <c r="L79" i="1"/>
  <c r="L82" i="1"/>
  <c r="L84" i="1"/>
  <c r="L86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E168" i="1"/>
  <c r="E171" i="1"/>
  <c r="E173" i="1"/>
  <c r="E176" i="1"/>
  <c r="E167" i="1"/>
  <c r="E169" i="1"/>
  <c r="E172" i="1"/>
  <c r="E174" i="1"/>
  <c r="R177" i="1"/>
  <c r="H178" i="1"/>
  <c r="H199" i="1" s="1"/>
  <c r="J10" i="4"/>
  <c r="J12" i="4" s="1"/>
  <c r="I12" i="4"/>
  <c r="H12" i="4"/>
  <c r="G12" i="4"/>
  <c r="F12" i="4"/>
  <c r="E12" i="4"/>
  <c r="C12" i="4"/>
  <c r="E194" i="1"/>
  <c r="L195" i="1"/>
  <c r="L194" i="1"/>
  <c r="L192" i="1"/>
  <c r="L191" i="1"/>
  <c r="L190" i="1"/>
  <c r="L188" i="1"/>
  <c r="L187" i="1"/>
  <c r="L186" i="1"/>
  <c r="V183" i="1"/>
  <c r="U183" i="1"/>
  <c r="L181" i="1"/>
  <c r="E181" i="1"/>
  <c r="L174" i="1"/>
  <c r="L167" i="1"/>
  <c r="L163" i="1"/>
  <c r="L155" i="1"/>
  <c r="E157" i="1"/>
  <c r="E151" i="1"/>
  <c r="E148" i="1"/>
  <c r="L141" i="1"/>
  <c r="L139" i="1"/>
  <c r="L136" i="1"/>
  <c r="L133" i="1"/>
  <c r="L131" i="1"/>
  <c r="L128" i="1"/>
  <c r="L123" i="1"/>
  <c r="E124" i="1"/>
  <c r="L124" i="1"/>
  <c r="E87" i="1"/>
  <c r="E86" i="1"/>
  <c r="E84" i="1"/>
  <c r="E82" i="1"/>
  <c r="E79" i="1"/>
  <c r="E76" i="1"/>
  <c r="E74" i="1"/>
  <c r="E71" i="1"/>
  <c r="E69" i="1"/>
  <c r="E67" i="1"/>
  <c r="E65" i="1"/>
  <c r="E63" i="1"/>
  <c r="E61" i="1"/>
  <c r="E59" i="1"/>
  <c r="L51" i="1"/>
  <c r="R55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20" i="1"/>
  <c r="L129" i="1"/>
  <c r="L132" i="1"/>
  <c r="L135" i="1"/>
  <c r="L137" i="1"/>
  <c r="L140" i="1"/>
  <c r="L144" i="1"/>
  <c r="E18" i="1"/>
  <c r="L58" i="1"/>
  <c r="E62" i="1"/>
  <c r="E120" i="1"/>
  <c r="E128" i="1"/>
  <c r="E129" i="1"/>
  <c r="E130" i="1"/>
  <c r="E135" i="1"/>
  <c r="E136" i="1"/>
  <c r="E137" i="1"/>
  <c r="E138" i="1"/>
  <c r="E143" i="1"/>
  <c r="E146" i="1"/>
  <c r="E150" i="1"/>
  <c r="L169" i="1"/>
  <c r="L172" i="1"/>
  <c r="E11" i="1"/>
  <c r="E13" i="1"/>
  <c r="E16" i="1"/>
  <c r="E20" i="1"/>
  <c r="L29" i="1"/>
  <c r="L37" i="1"/>
  <c r="L43" i="1"/>
  <c r="K178" i="1"/>
  <c r="L122" i="1"/>
  <c r="E131" i="1"/>
  <c r="E132" i="1"/>
  <c r="E133" i="1"/>
  <c r="E134" i="1"/>
  <c r="E139" i="1"/>
  <c r="E140" i="1"/>
  <c r="E141" i="1"/>
  <c r="E142" i="1"/>
  <c r="E144" i="1"/>
  <c r="E145" i="1"/>
  <c r="E147" i="1"/>
  <c r="E149" i="1"/>
  <c r="L162" i="1"/>
  <c r="L168" i="1"/>
  <c r="L101" i="1"/>
  <c r="L110" i="1"/>
  <c r="L100" i="1"/>
  <c r="L33" i="1"/>
  <c r="L44" i="1"/>
  <c r="L53" i="1"/>
  <c r="E123" i="1"/>
  <c r="L146" i="1"/>
  <c r="L150" i="1"/>
  <c r="L157" i="1"/>
  <c r="E189" i="1"/>
  <c r="E193" i="1"/>
  <c r="E197" i="1"/>
  <c r="D12" i="4"/>
  <c r="E95" i="1"/>
  <c r="L36" i="1"/>
  <c r="L39" i="1"/>
  <c r="L30" i="1"/>
  <c r="L41" i="1"/>
  <c r="L130" i="1"/>
  <c r="L134" i="1"/>
  <c r="L138" i="1"/>
  <c r="E156" i="1"/>
  <c r="E166" i="1"/>
  <c r="E182" i="1"/>
  <c r="L189" i="1"/>
  <c r="L193" i="1"/>
  <c r="L28" i="1"/>
  <c r="E7" i="1"/>
  <c r="E17" i="1"/>
  <c r="E21" i="1"/>
  <c r="L27" i="1"/>
  <c r="L46" i="1"/>
  <c r="E58" i="1"/>
  <c r="E66" i="1"/>
  <c r="E70" i="1"/>
  <c r="E75" i="1"/>
  <c r="E81" i="1"/>
  <c r="E85" i="1"/>
  <c r="E89" i="1"/>
  <c r="E122" i="1"/>
  <c r="L145" i="1"/>
  <c r="L149" i="1"/>
  <c r="L156" i="1"/>
  <c r="L166" i="1"/>
  <c r="L171" i="1"/>
  <c r="L176" i="1"/>
  <c r="L182" i="1"/>
  <c r="R183" i="1"/>
  <c r="E188" i="1"/>
  <c r="E192" i="1"/>
  <c r="E196" i="1"/>
  <c r="E155" i="1"/>
  <c r="E163" i="1"/>
  <c r="E187" i="1"/>
  <c r="E191" i="1"/>
  <c r="E195" i="1"/>
  <c r="L45" i="1"/>
  <c r="L54" i="1"/>
  <c r="L26" i="1"/>
  <c r="L34" i="1"/>
  <c r="E162" i="1"/>
  <c r="E12" i="1"/>
  <c r="E15" i="1"/>
  <c r="L31" i="1"/>
  <c r="L42" i="1"/>
  <c r="E60" i="1"/>
  <c r="E64" i="1"/>
  <c r="E68" i="1"/>
  <c r="E72" i="1"/>
  <c r="E77" i="1"/>
  <c r="E83" i="1"/>
  <c r="L151" i="1"/>
  <c r="E186" i="1"/>
  <c r="E190" i="1"/>
  <c r="L111" i="1" l="1"/>
  <c r="L95" i="1"/>
  <c r="L98" i="1"/>
  <c r="L104" i="1"/>
  <c r="L113" i="1"/>
  <c r="E109" i="1"/>
  <c r="L99" i="1"/>
  <c r="K199" i="1"/>
  <c r="L22" i="1"/>
  <c r="L152" i="1"/>
  <c r="L55" i="1"/>
  <c r="L125" i="1"/>
  <c r="L90" i="1"/>
  <c r="L117" i="1"/>
  <c r="L177" i="1"/>
  <c r="L158" i="1"/>
  <c r="L103" i="1"/>
  <c r="L102" i="1"/>
  <c r="L116" i="1"/>
  <c r="L112" i="1"/>
  <c r="L114" i="1"/>
  <c r="L105" i="1"/>
  <c r="L115" i="1"/>
  <c r="L109" i="1"/>
  <c r="E115" i="1"/>
  <c r="E112" i="1"/>
  <c r="E105" i="1"/>
  <c r="E102" i="1"/>
  <c r="E99" i="1"/>
  <c r="E104" i="1"/>
  <c r="E100" i="1"/>
  <c r="E110" i="1"/>
  <c r="E101" i="1"/>
  <c r="D178" i="1"/>
  <c r="E116" i="1"/>
  <c r="E94" i="1"/>
  <c r="E103" i="1"/>
  <c r="E98" i="1"/>
  <c r="E114" i="1"/>
  <c r="E113" i="1"/>
  <c r="E111" i="1"/>
  <c r="E108" i="1"/>
  <c r="E117" i="1" l="1"/>
  <c r="R178" i="1"/>
  <c r="E55" i="1"/>
  <c r="E152" i="1"/>
  <c r="D199" i="1"/>
  <c r="E90" i="1"/>
  <c r="E22" i="1"/>
  <c r="E177" i="1"/>
  <c r="E125" i="1"/>
  <c r="E158" i="1"/>
</calcChain>
</file>

<file path=xl/sharedStrings.xml><?xml version="1.0" encoding="utf-8"?>
<sst xmlns="http://schemas.openxmlformats.org/spreadsheetml/2006/main" count="406" uniqueCount="260">
  <si>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</si>
  <si>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</si>
  <si>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</si>
  <si>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</si>
  <si>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</si>
  <si>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</si>
  <si>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</si>
  <si>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</si>
  <si>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</si>
  <si>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</si>
  <si>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</si>
  <si>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</si>
  <si>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</si>
  <si>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</si>
  <si>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</si>
  <si>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</si>
  <si>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</si>
  <si>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</si>
  <si>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</si>
  <si>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</si>
  <si>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</si>
  <si>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</si>
  <si>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</si>
  <si>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</si>
  <si>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</si>
  <si>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</si>
  <si>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</si>
  <si>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</si>
  <si>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</si>
  <si>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</si>
  <si>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</si>
  <si>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</si>
  <si>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</si>
  <si>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</si>
  <si>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</si>
  <si>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</si>
  <si>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</si>
  <si>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</si>
  <si>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</si>
  <si>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</si>
  <si>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</si>
  <si>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</si>
  <si>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</si>
  <si>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</si>
  <si>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</si>
  <si>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</si>
  <si>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</si>
  <si>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</si>
  <si>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</si>
  <si>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</si>
  <si>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</si>
  <si>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</si>
  <si>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</si>
  <si>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</si>
  <si>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</si>
  <si>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</si>
  <si>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</si>
  <si>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</si>
  <si>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</si>
  <si>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</si>
  <si>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</si>
  <si>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</si>
  <si>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</si>
  <si>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</si>
  <si>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</si>
  <si>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</si>
  <si>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</si>
  <si>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</si>
  <si>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</si>
  <si>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</si>
  <si>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</si>
  <si>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</si>
  <si>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</si>
  <si>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</si>
  <si>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</si>
  <si>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</si>
  <si>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</si>
  <si>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</si>
  <si>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</si>
  <si>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</si>
  <si>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</si>
  <si>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</si>
  <si>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</si>
  <si>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</si>
  <si>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</si>
  <si>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</si>
  <si>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</si>
  <si>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</si>
  <si>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</si>
  <si>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</si>
  <si>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</si>
  <si>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</si>
  <si>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</si>
  <si>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</si>
  <si>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</si>
  <si>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</si>
  <si>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</si>
  <si>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</si>
  <si>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</si>
  <si>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</si>
  <si>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</si>
  <si>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</si>
  <si>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</si>
  <si>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</si>
  <si>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</si>
  <si>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</si>
  <si>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</si>
  <si>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</si>
  <si>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</si>
  <si>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</si>
  <si>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</si>
  <si>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</si>
  <si>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</si>
  <si>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</si>
  <si>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</si>
  <si>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</si>
  <si>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</si>
  <si>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</si>
  <si>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</si>
  <si>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</si>
  <si>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</si>
  <si>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</si>
  <si>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</si>
  <si>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</si>
  <si>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</si>
  <si>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</si>
  <si>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</si>
  <si>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</si>
  <si>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</si>
  <si>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</si>
  <si>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</si>
  <si>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</si>
  <si>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</si>
  <si>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</si>
  <si>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</si>
  <si>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</si>
  <si>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</si>
  <si>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</si>
  <si>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</si>
  <si>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</si>
  <si>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</si>
  <si>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</si>
  <si>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</si>
  <si>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</si>
  <si>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</si>
  <si>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</si>
  <si>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</si>
  <si>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</si>
  <si>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</si>
  <si>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</si>
  <si>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</si>
  <si>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</si>
  <si>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</si>
  <si>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</si>
  <si>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</si>
  <si>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</si>
  <si>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</si>
  <si>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</si>
  <si>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</si>
  <si>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</si>
  <si>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</si>
  <si>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</si>
  <si>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</si>
  <si>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</si>
  <si>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</si>
  <si>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</si>
  <si>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</si>
  <si>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</si>
  <si>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</si>
  <si>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</si>
  <si>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</si>
  <si>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</si>
  <si>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</si>
  <si>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</si>
  <si>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</si>
  <si>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</si>
  <si>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</si>
  <si>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</si>
  <si>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</si>
  <si>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</si>
  <si>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</si>
  <si>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</si>
  <si>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</si>
  <si>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</si>
  <si>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</si>
  <si>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</si>
  <si>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</si>
  <si>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</si>
  <si>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</si>
  <si>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</si>
  <si>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</si>
  <si>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</si>
  <si>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</si>
  <si>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</si>
  <si>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</si>
  <si>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</si>
  <si>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</si>
  <si>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</si>
  <si>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</si>
  <si>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</si>
  <si>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</si>
  <si>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</si>
  <si>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</si>
  <si>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</si>
  <si>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</si>
  <si>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</si>
  <si>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</si>
  <si>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</si>
  <si>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</si>
  <si>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</si>
  <si>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</si>
  <si>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</si>
  <si>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</si>
  <si>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</si>
  <si>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</si>
  <si>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</si>
  <si>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</si>
  <si>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</si>
  <si>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</si>
  <si>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</si>
  <si>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</si>
  <si>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</si>
  <si>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</si>
  <si>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</si>
  <si>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</si>
  <si>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</si>
  <si>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</si>
  <si>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</si>
  <si>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</si>
  <si>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</si>
  <si>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</si>
  <si>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</si>
  <si>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</si>
  <si>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</si>
  <si>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</si>
  <si>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</si>
  <si>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</si>
  <si>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</si>
  <si>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</si>
  <si>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</si>
  <si>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</si>
  <si>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</si>
  <si>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</si>
  <si>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</si>
  <si>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</si>
  <si>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</si>
  <si>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</si>
  <si>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</si>
  <si>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</si>
  <si>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</si>
  <si>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NAV, Unit Price and Yield as at Week Ended December 22, 2023</t>
  </si>
  <si>
    <t>Note:</t>
  </si>
  <si>
    <t>Guaranty Trust Fixed Income Fund</t>
  </si>
  <si>
    <t>Norrenberger Turbo Fund (NTF)</t>
  </si>
  <si>
    <t>Week Ended December 22, 2023</t>
  </si>
  <si>
    <t>WEEKLY VALUATION REPORT OF COLLECTIVE INVESTMENT SCHEMES AS AT WEEK ENDED FRIDAY, DECEMBER 29, 2023</t>
  </si>
  <si>
    <t>NAV, Unit Price and Yield as at Week Ended December 29, 2023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</si>
  <si>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29</t>
    </r>
    <r>
      <rPr>
        <vertAlign val="superscript"/>
        <sz val="6"/>
        <color theme="0"/>
        <rFont val="Times New Roman"/>
        <family val="1"/>
      </rPr>
      <t>th</t>
    </r>
    <r>
      <rPr>
        <sz val="6"/>
        <color theme="0"/>
        <rFont val="Times New Roman"/>
        <family val="1"/>
      </rPr>
      <t xml:space="preserve"> December, 2023 = 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>899.893</t>
    </r>
  </si>
  <si>
    <t>Week Ended December 29, 2023</t>
  </si>
  <si>
    <t>The chart above shows that the Money Market Fund has the highest share of the Aggregate Net Asset Value (NAV) at 41.31% , followed by Dollar Fund category (Eurobonds and Fixed Income) with 35.18%, Bond/Fixed Income Fund at 13.48%, Real Estate Investment Trust at 4.53%.  Next is Shari'ah Compliant Fund at 2.16%, Balanced Fund at 1.99%, Equity Fund at 1.14%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</si>
</sst>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vertAlign val="superscript"/>
      <sz val="6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0" fillId="0" borderId="0" xfId="0" applyBorder="1"/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3" fillId="0" borderId="0" xfId="0" applyFont="1" applyBorder="1"/>
    <xf numFmtId="16" fontId="24" fillId="3" borderId="0" xfId="0" applyNumberFormat="1" applyFont="1" applyFill="1" applyBorder="1"/>
    <xf numFmtId="43" fontId="25" fillId="0" borderId="0" xfId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11" fillId="3" borderId="0" xfId="0" applyNumberFormat="1" applyFont="1" applyFill="1" applyBorder="1"/>
    <xf numFmtId="0" fontId="11" fillId="3" borderId="0" xfId="0" applyFont="1" applyFill="1" applyAlignment="1">
      <alignment wrapText="1"/>
    </xf>
    <xf numFmtId="16" fontId="10" fillId="3" borderId="0" xfId="0" applyNumberFormat="1" applyFont="1" applyFill="1" applyBorder="1"/>
    <xf numFmtId="4" fontId="11" fillId="3" borderId="0" xfId="0" applyNumberFormat="1" applyFont="1" applyFill="1" applyBorder="1" applyAlignment="1">
      <alignment horizontal="right"/>
    </xf>
    <xf numFmtId="43" fontId="12" fillId="3" borderId="0" xfId="1" applyFont="1" applyFill="1" applyBorder="1" applyAlignment="1">
      <alignment horizontal="right" vertical="top" wrapText="1"/>
    </xf>
    <xf numFmtId="43" fontId="14" fillId="0" borderId="0" xfId="1" applyNumberFormat="1" applyFont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8" fillId="12" borderId="0" xfId="0" applyFont="1" applyFill="1" applyAlignment="1">
      <alignment horizontal="right" vertical="center"/>
    </xf>
    <xf numFmtId="0" fontId="29" fillId="12" borderId="0" xfId="0" applyFont="1" applyFill="1" applyAlignment="1">
      <alignment horizontal="left"/>
    </xf>
    <xf numFmtId="0" fontId="18" fillId="12" borderId="0" xfId="0" applyFont="1" applyFill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7" fillId="13" borderId="0" xfId="0" applyFont="1" applyFill="1" applyAlignment="1">
      <alignment horizontal="center" wrapText="1"/>
    </xf>
    <xf numFmtId="43" fontId="12" fillId="3" borderId="10" xfId="1" applyFont="1" applyFill="1" applyBorder="1" applyAlignment="1">
      <alignment horizontal="right" vertical="top" wrapText="1"/>
    </xf>
  </cellXfs>
  <cellStyles count="8">
    <cellStyle name="Comma" xfId="1" builtinId="3"/>
    <cellStyle name="Comma 10 13" xfId="3"/>
    <cellStyle name="Comma 2" xfId="7"/>
    <cellStyle name="Comma 3 2" xfId="4"/>
    <cellStyle name="Normal" xfId="0" builtinId="0"/>
    <cellStyle name="Normal 27 2" xfId="6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December 22,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24.230078910482799</c:v>
                </c:pt>
                <c:pt idx="1">
                  <c:v>864.67015018458403</c:v>
                </c:pt>
                <c:pt idx="2">
                  <c:v>287.05787723640998</c:v>
                </c:pt>
                <c:pt idx="3">
                  <c:v>736.65469195529295</c:v>
                </c:pt>
                <c:pt idx="4">
                  <c:v>96.678842690618396</c:v>
                </c:pt>
                <c:pt idx="5" formatCode="_(* #,##0.00_);_(* \(#,##0.00\);_(* &quot;-&quot;??_);_(@_)">
                  <c:v>42.133843027756498</c:v>
                </c:pt>
                <c:pt idx="6">
                  <c:v>4.3624471140400001</c:v>
                </c:pt>
                <c:pt idx="7">
                  <c:v>45.993877873328103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December 29,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24.405214546111697</c:v>
                </c:pt>
                <c:pt idx="1">
                  <c:v>881.60289803337594</c:v>
                </c:pt>
                <c:pt idx="2">
                  <c:v>287.67538927773103</c:v>
                </c:pt>
                <c:pt idx="3">
                  <c:v>750.65828136438199</c:v>
                </c:pt>
                <c:pt idx="4">
                  <c:v>96.685745868738408</c:v>
                </c:pt>
                <c:pt idx="5" formatCode="_(* #,##0.00_);_(* \(#,##0.00\);_(* &quot;-&quot;??_);_(@_)">
                  <c:v>42.555783009607495</c:v>
                </c:pt>
                <c:pt idx="6">
                  <c:v>4.3920419505100003</c:v>
                </c:pt>
                <c:pt idx="7">
                  <c:v>46.069244637507502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29TH DECEMBER, 2023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29-Dec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4392041950.5100002</c:v>
                </c:pt>
                <c:pt idx="1">
                  <c:v>24405214546.111698</c:v>
                </c:pt>
                <c:pt idx="2" formatCode="_(* #,##0.00_);_(* \(#,##0.00\);_(* &quot;-&quot;??_);_(@_)">
                  <c:v>42555783009.607452</c:v>
                </c:pt>
                <c:pt idx="3">
                  <c:v>46069244637.507507</c:v>
                </c:pt>
                <c:pt idx="4">
                  <c:v>96685745868.738373</c:v>
                </c:pt>
                <c:pt idx="5">
                  <c:v>287675389277.73108</c:v>
                </c:pt>
                <c:pt idx="6">
                  <c:v>750658281364.3822</c:v>
                </c:pt>
                <c:pt idx="7">
                  <c:v>881602898033.37561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45240</c:v>
                </c:pt>
                <c:pt idx="1">
                  <c:v>45247</c:v>
                </c:pt>
                <c:pt idx="2">
                  <c:v>45254</c:v>
                </c:pt>
                <c:pt idx="3">
                  <c:v>45261</c:v>
                </c:pt>
                <c:pt idx="4">
                  <c:v>45268</c:v>
                </c:pt>
                <c:pt idx="5">
                  <c:v>45275</c:v>
                </c:pt>
                <c:pt idx="6">
                  <c:v>45282</c:v>
                </c:pt>
                <c:pt idx="7">
                  <c:v>45289</c:v>
                </c:pt>
              </c:numCache>
            </c:numRef>
          </c:cat>
          <c:val>
            <c:numRef>
              <c:f>'NAV Movement'!$B$3:$I$3</c:f>
              <c:numCache>
                <c:formatCode>_(* #,##0.00_);_(* \(#,##0.00\);_(* "-"??_);_(@_)</c:formatCode>
                <c:ptCount val="8"/>
                <c:pt idx="0">
                  <c:v>2004454649356.7783</c:v>
                </c:pt>
                <c:pt idx="1">
                  <c:v>2019879952817.2942</c:v>
                </c:pt>
                <c:pt idx="2">
                  <c:v>2023797867882.8513</c:v>
                </c:pt>
                <c:pt idx="3">
                  <c:v>2120381651104.615</c:v>
                </c:pt>
                <c:pt idx="4">
                  <c:v>2247779681993.5161</c:v>
                </c:pt>
                <c:pt idx="5">
                  <c:v>2080204371491.0432</c:v>
                </c:pt>
                <c:pt idx="6">
                  <c:v>2101781808992.5132</c:v>
                </c:pt>
                <c:pt idx="7">
                  <c:v>2134044598687.9639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173182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0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52" t="s">
        <v>255</v>
      </c>
      <c r="B1" s="153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5"/>
    </row>
    <row r="2" spans="1:25" ht="15" customHeight="1">
      <c r="A2" s="1"/>
      <c r="B2" s="1"/>
      <c r="C2" s="1"/>
      <c r="D2" s="158" t="s">
        <v>250</v>
      </c>
      <c r="E2" s="159"/>
      <c r="F2" s="159"/>
      <c r="G2" s="159"/>
      <c r="H2" s="159"/>
      <c r="I2" s="159"/>
      <c r="J2" s="160"/>
      <c r="K2" s="158" t="s">
        <v>256</v>
      </c>
      <c r="L2" s="159"/>
      <c r="M2" s="159"/>
      <c r="N2" s="159"/>
      <c r="O2" s="159"/>
      <c r="P2" s="159"/>
      <c r="Q2" s="160"/>
      <c r="R2" s="158" t="s">
        <v>0</v>
      </c>
      <c r="S2" s="159"/>
      <c r="T2" s="160"/>
      <c r="U2" s="156" t="s">
        <v>1</v>
      </c>
      <c r="V2" s="156"/>
    </row>
    <row r="3" spans="1:25" ht="25.5">
      <c r="A3" s="82" t="s">
        <v>2</v>
      </c>
      <c r="B3" s="76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</row>
    <row r="5" spans="1:25" ht="15" customHeight="1">
      <c r="A5" s="149" t="s">
        <v>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5">
      <c r="A6" s="133">
        <v>1</v>
      </c>
      <c r="B6" s="119" t="s">
        <v>16</v>
      </c>
      <c r="C6" s="120" t="s">
        <v>17</v>
      </c>
      <c r="D6" s="2">
        <v>807384497.61000001</v>
      </c>
      <c r="E6" s="3">
        <f t="shared" ref="E6:E21" si="0">(D6/$D$22)</f>
        <v>3.3321579372186716E-2</v>
      </c>
      <c r="F6" s="8">
        <v>307.96080000000001</v>
      </c>
      <c r="G6" s="8">
        <v>312.30720000000002</v>
      </c>
      <c r="H6" s="60">
        <v>1726</v>
      </c>
      <c r="I6" s="5">
        <v>1.38E-2</v>
      </c>
      <c r="J6" s="5">
        <v>0.63360000000000005</v>
      </c>
      <c r="K6" s="2">
        <v>821764579.67999995</v>
      </c>
      <c r="L6" s="3">
        <f>(K6/$K$22)</f>
        <v>3.3671680211101673E-2</v>
      </c>
      <c r="M6" s="8">
        <v>309.88549999999998</v>
      </c>
      <c r="N6" s="8">
        <v>314.31610000000001</v>
      </c>
      <c r="O6" s="60">
        <v>1726</v>
      </c>
      <c r="P6" s="5">
        <v>6.1999999999999998E-3</v>
      </c>
      <c r="Q6" s="5">
        <v>0.64390000000000003</v>
      </c>
      <c r="R6" s="80">
        <f>((K6-D6)/D6)</f>
        <v>1.7810698759472721E-2</v>
      </c>
      <c r="S6" s="80">
        <f t="shared" ref="S6" si="1">((N6-G6)/G6)</f>
        <v>6.4324485634656599E-3</v>
      </c>
      <c r="T6" s="80">
        <f>((O6-H6)/H6)</f>
        <v>0</v>
      </c>
      <c r="U6" s="81">
        <f>P6-I6</f>
        <v>-7.6E-3</v>
      </c>
      <c r="V6" s="83">
        <f>Q6-J6</f>
        <v>1.0299999999999976E-2</v>
      </c>
    </row>
    <row r="7" spans="1:25">
      <c r="A7" s="146">
        <v>2</v>
      </c>
      <c r="B7" s="119" t="s">
        <v>18</v>
      </c>
      <c r="C7" s="120" t="s">
        <v>19</v>
      </c>
      <c r="D7" s="4">
        <v>522430018.43000001</v>
      </c>
      <c r="E7" s="3">
        <f t="shared" si="0"/>
        <v>2.1561218201562607E-2</v>
      </c>
      <c r="F7" s="4">
        <v>191.03360000000001</v>
      </c>
      <c r="G7" s="4">
        <v>193.5402</v>
      </c>
      <c r="H7" s="60">
        <v>374</v>
      </c>
      <c r="I7" s="5">
        <v>-6.744E-3</v>
      </c>
      <c r="J7" s="5">
        <v>0.318</v>
      </c>
      <c r="K7" s="4">
        <v>522430018.43000001</v>
      </c>
      <c r="L7" s="3">
        <f t="shared" ref="L7:L21" si="2">(K7/$K$22)</f>
        <v>2.1406491528394897E-2</v>
      </c>
      <c r="M7" s="4">
        <v>191.03360000000001</v>
      </c>
      <c r="N7" s="4">
        <v>193.5402</v>
      </c>
      <c r="O7" s="60">
        <v>374</v>
      </c>
      <c r="P7" s="5">
        <v>-6.744E-3</v>
      </c>
      <c r="Q7" s="5">
        <v>0.318</v>
      </c>
      <c r="R7" s="80">
        <f t="shared" ref="R7:R22" si="3">((K7-D7)/D7)</f>
        <v>0</v>
      </c>
      <c r="S7" s="80">
        <f t="shared" ref="S7:S22" si="4">((N7-G7)/G7)</f>
        <v>0</v>
      </c>
      <c r="T7" s="80">
        <f t="shared" ref="T7:T22" si="5">((O7-H7)/H7)</f>
        <v>0</v>
      </c>
      <c r="U7" s="81">
        <f t="shared" ref="U7:U22" si="6">P7-I7</f>
        <v>0</v>
      </c>
      <c r="V7" s="83">
        <f t="shared" ref="V7:V22" si="7">Q7-J7</f>
        <v>0</v>
      </c>
    </row>
    <row r="8" spans="1:25">
      <c r="A8" s="141">
        <v>3</v>
      </c>
      <c r="B8" s="119" t="s">
        <v>20</v>
      </c>
      <c r="C8" s="120" t="s">
        <v>21</v>
      </c>
      <c r="D8" s="4">
        <v>3283054896.29</v>
      </c>
      <c r="E8" s="3">
        <f t="shared" si="0"/>
        <v>0.13549501462290464</v>
      </c>
      <c r="F8" s="4">
        <v>30.2576</v>
      </c>
      <c r="G8" s="4">
        <v>31.169799999999999</v>
      </c>
      <c r="H8" s="62">
        <v>6340</v>
      </c>
      <c r="I8" s="6">
        <v>0.92859999999999998</v>
      </c>
      <c r="J8" s="6">
        <v>0.37440000000000001</v>
      </c>
      <c r="K8" s="4">
        <v>3301522046.1799998</v>
      </c>
      <c r="L8" s="3">
        <f t="shared" si="2"/>
        <v>0.13527936990441278</v>
      </c>
      <c r="M8" s="4">
        <v>30.4285</v>
      </c>
      <c r="N8" s="4">
        <v>31.3459</v>
      </c>
      <c r="O8" s="62">
        <v>6342</v>
      </c>
      <c r="P8" s="6">
        <v>0.29459999999999997</v>
      </c>
      <c r="Q8" s="6">
        <v>0.37490000000000001</v>
      </c>
      <c r="R8" s="80">
        <f t="shared" si="3"/>
        <v>5.6249896737543374E-3</v>
      </c>
      <c r="S8" s="80">
        <f t="shared" si="4"/>
        <v>5.6496993885107281E-3</v>
      </c>
      <c r="T8" s="80">
        <f t="shared" si="5"/>
        <v>3.1545741324921138E-4</v>
      </c>
      <c r="U8" s="81">
        <f t="shared" si="6"/>
        <v>-0.63400000000000001</v>
      </c>
      <c r="V8" s="83">
        <f t="shared" si="7"/>
        <v>5.0000000000000044E-4</v>
      </c>
      <c r="X8" s="106"/>
      <c r="Y8" s="106"/>
    </row>
    <row r="9" spans="1:25">
      <c r="A9" s="132">
        <v>4</v>
      </c>
      <c r="B9" s="119" t="s">
        <v>22</v>
      </c>
      <c r="C9" s="120" t="s">
        <v>23</v>
      </c>
      <c r="D9" s="4">
        <v>508045377.41000003</v>
      </c>
      <c r="E9" s="3">
        <f t="shared" si="0"/>
        <v>2.0967549436671517E-2</v>
      </c>
      <c r="F9" s="4">
        <v>203.44</v>
      </c>
      <c r="G9" s="4">
        <v>203.44</v>
      </c>
      <c r="H9" s="60">
        <v>1712</v>
      </c>
      <c r="I9" s="5">
        <v>3.4000000000000002E-2</v>
      </c>
      <c r="J9" s="5">
        <v>0.48980000000000001</v>
      </c>
      <c r="K9" s="4">
        <v>514845625.25999999</v>
      </c>
      <c r="L9" s="3">
        <f t="shared" si="2"/>
        <v>2.1095722157543028E-2</v>
      </c>
      <c r="M9" s="4">
        <v>203.73</v>
      </c>
      <c r="N9" s="4">
        <v>203.73</v>
      </c>
      <c r="O9" s="60">
        <v>1717</v>
      </c>
      <c r="P9" s="5">
        <v>1.4E-3</v>
      </c>
      <c r="Q9" s="5">
        <v>0.4919</v>
      </c>
      <c r="R9" s="80">
        <f t="shared" si="3"/>
        <v>1.3385119031428692E-2</v>
      </c>
      <c r="S9" s="80">
        <f t="shared" si="4"/>
        <v>1.4254817145103816E-3</v>
      </c>
      <c r="T9" s="80">
        <f t="shared" si="5"/>
        <v>2.9205607476635513E-3</v>
      </c>
      <c r="U9" s="81">
        <f t="shared" si="6"/>
        <v>-3.2600000000000004E-2</v>
      </c>
      <c r="V9" s="83">
        <f t="shared" si="7"/>
        <v>2.0999999999999908E-3</v>
      </c>
    </row>
    <row r="10" spans="1:25">
      <c r="A10" s="134">
        <v>5</v>
      </c>
      <c r="B10" s="119" t="s">
        <v>24</v>
      </c>
      <c r="C10" s="120" t="s">
        <v>25</v>
      </c>
      <c r="D10" s="7">
        <v>129192393.13</v>
      </c>
      <c r="E10" s="3">
        <f t="shared" si="0"/>
        <v>5.3319014604656005E-3</v>
      </c>
      <c r="F10" s="4">
        <v>138.62610000000001</v>
      </c>
      <c r="G10" s="4">
        <v>139.45699999999999</v>
      </c>
      <c r="H10" s="62">
        <v>61</v>
      </c>
      <c r="I10" s="6">
        <v>4.8040000000000001E-3</v>
      </c>
      <c r="J10" s="6">
        <v>0.31929999999999997</v>
      </c>
      <c r="K10" s="7">
        <v>130230284.90000001</v>
      </c>
      <c r="L10" s="3">
        <f t="shared" si="2"/>
        <v>5.3361663612479342E-3</v>
      </c>
      <c r="M10" s="4">
        <v>139.66650000000001</v>
      </c>
      <c r="N10" s="4">
        <v>140.50800000000001</v>
      </c>
      <c r="O10" s="62">
        <v>63</v>
      </c>
      <c r="P10" s="6">
        <v>8.7399999999999999E-4</v>
      </c>
      <c r="Q10" s="6">
        <v>0.32840000000000003</v>
      </c>
      <c r="R10" s="80">
        <f t="shared" si="3"/>
        <v>8.0336910312949379E-3</v>
      </c>
      <c r="S10" s="80">
        <f t="shared" si="4"/>
        <v>7.5363732189851797E-3</v>
      </c>
      <c r="T10" s="80">
        <f t="shared" si="5"/>
        <v>3.2786885245901641E-2</v>
      </c>
      <c r="U10" s="81">
        <f t="shared" si="6"/>
        <v>-3.9300000000000003E-3</v>
      </c>
      <c r="V10" s="83">
        <f t="shared" si="7"/>
        <v>9.1000000000000525E-3</v>
      </c>
    </row>
    <row r="11" spans="1:25">
      <c r="A11" s="136">
        <v>6</v>
      </c>
      <c r="B11" s="119" t="s">
        <v>26</v>
      </c>
      <c r="C11" s="120" t="s">
        <v>27</v>
      </c>
      <c r="D11" s="4">
        <v>867156385.23000002</v>
      </c>
      <c r="E11" s="3">
        <f t="shared" si="0"/>
        <v>3.5788425965663576E-2</v>
      </c>
      <c r="F11" s="4">
        <v>247.66</v>
      </c>
      <c r="G11" s="4">
        <v>250.86</v>
      </c>
      <c r="H11" s="62">
        <v>1584</v>
      </c>
      <c r="I11" s="6">
        <v>2.5499999999999998E-2</v>
      </c>
      <c r="J11" s="6">
        <v>0.63139999999999996</v>
      </c>
      <c r="K11" s="4">
        <v>945631232.57000005</v>
      </c>
      <c r="L11" s="3">
        <f t="shared" si="2"/>
        <v>3.8747097706652224E-2</v>
      </c>
      <c r="M11" s="4">
        <v>248.67</v>
      </c>
      <c r="N11" s="4">
        <v>252.05</v>
      </c>
      <c r="O11" s="62">
        <v>1585</v>
      </c>
      <c r="P11" s="6">
        <v>4.4000000000000003E-3</v>
      </c>
      <c r="Q11" s="6">
        <v>0.63749999999999996</v>
      </c>
      <c r="R11" s="80">
        <f t="shared" si="3"/>
        <v>9.0496764685859724E-2</v>
      </c>
      <c r="S11" s="80">
        <f t="shared" si="4"/>
        <v>4.7436817348321678E-3</v>
      </c>
      <c r="T11" s="80">
        <f t="shared" si="5"/>
        <v>6.3131313131313137E-4</v>
      </c>
      <c r="U11" s="81">
        <f t="shared" si="6"/>
        <v>-2.1099999999999997E-2</v>
      </c>
      <c r="V11" s="83">
        <f t="shared" si="7"/>
        <v>6.0999999999999943E-3</v>
      </c>
    </row>
    <row r="12" spans="1:25">
      <c r="A12" s="143">
        <v>7</v>
      </c>
      <c r="B12" s="119" t="s">
        <v>28</v>
      </c>
      <c r="C12" s="120" t="s">
        <v>29</v>
      </c>
      <c r="D12" s="2">
        <v>329621029.41000003</v>
      </c>
      <c r="E12" s="3">
        <f t="shared" si="0"/>
        <v>1.3603795127030898E-2</v>
      </c>
      <c r="F12" s="4">
        <v>165.8</v>
      </c>
      <c r="G12" s="4">
        <v>169.79</v>
      </c>
      <c r="H12" s="60">
        <v>2379</v>
      </c>
      <c r="I12" s="5">
        <v>1.7616E-2</v>
      </c>
      <c r="J12" s="5">
        <v>0.31881999999999999</v>
      </c>
      <c r="K12" s="2">
        <v>332171854.16000003</v>
      </c>
      <c r="L12" s="3">
        <f t="shared" si="2"/>
        <v>1.361069182704327E-2</v>
      </c>
      <c r="M12" s="4">
        <v>167.09</v>
      </c>
      <c r="N12" s="4">
        <v>171.15</v>
      </c>
      <c r="O12" s="60">
        <v>2379</v>
      </c>
      <c r="P12" s="5">
        <v>7.8399999999999997E-3</v>
      </c>
      <c r="Q12" s="5">
        <v>0.32917000000000002</v>
      </c>
      <c r="R12" s="80">
        <f t="shared" si="3"/>
        <v>7.7386590126419076E-3</v>
      </c>
      <c r="S12" s="80">
        <f t="shared" si="4"/>
        <v>8.0098945756523574E-3</v>
      </c>
      <c r="T12" s="80">
        <f t="shared" si="5"/>
        <v>0</v>
      </c>
      <c r="U12" s="81">
        <f t="shared" si="6"/>
        <v>-9.776E-3</v>
      </c>
      <c r="V12" s="83">
        <f t="shared" si="7"/>
        <v>1.0350000000000026E-2</v>
      </c>
    </row>
    <row r="13" spans="1:25">
      <c r="A13" s="128">
        <v>8</v>
      </c>
      <c r="B13" s="119" t="s">
        <v>30</v>
      </c>
      <c r="C13" s="120" t="s">
        <v>31</v>
      </c>
      <c r="D13" s="7">
        <v>45964668.280000001</v>
      </c>
      <c r="E13" s="3">
        <f t="shared" si="0"/>
        <v>1.8970086085899637E-3</v>
      </c>
      <c r="F13" s="4">
        <v>178.57</v>
      </c>
      <c r="G13" s="4">
        <v>184.17</v>
      </c>
      <c r="H13" s="60">
        <v>4</v>
      </c>
      <c r="I13" s="5">
        <v>1E-4</v>
      </c>
      <c r="J13" s="5">
        <v>0.85</v>
      </c>
      <c r="K13" s="7">
        <v>46295144.75</v>
      </c>
      <c r="L13" s="3">
        <f t="shared" si="2"/>
        <v>1.896936601910589E-3</v>
      </c>
      <c r="M13" s="4">
        <v>182.67</v>
      </c>
      <c r="N13" s="4">
        <v>184.25</v>
      </c>
      <c r="O13" s="60">
        <v>4</v>
      </c>
      <c r="P13" s="5">
        <v>1.0699999999999999E-2</v>
      </c>
      <c r="Q13" s="5">
        <v>0.86019999999999996</v>
      </c>
      <c r="R13" s="80">
        <f t="shared" si="3"/>
        <v>7.1897934297460095E-3</v>
      </c>
      <c r="S13" s="80">
        <f t="shared" si="4"/>
        <v>4.3438127816697894E-4</v>
      </c>
      <c r="T13" s="80">
        <f t="shared" si="5"/>
        <v>0</v>
      </c>
      <c r="U13" s="81">
        <f t="shared" si="6"/>
        <v>1.06E-2</v>
      </c>
      <c r="V13" s="83">
        <f t="shared" si="7"/>
        <v>1.0199999999999987E-2</v>
      </c>
    </row>
    <row r="14" spans="1:25" ht="14.25" customHeight="1">
      <c r="A14" s="132">
        <v>9</v>
      </c>
      <c r="B14" s="119" t="s">
        <v>238</v>
      </c>
      <c r="C14" s="120" t="s">
        <v>32</v>
      </c>
      <c r="D14" s="2">
        <v>545447118.50279999</v>
      </c>
      <c r="E14" s="3">
        <f t="shared" si="0"/>
        <v>2.251115733126317E-2</v>
      </c>
      <c r="F14" s="4">
        <v>1.6627000000000001</v>
      </c>
      <c r="G14" s="4">
        <v>1.7144999999999999</v>
      </c>
      <c r="H14" s="60">
        <v>385</v>
      </c>
      <c r="I14" s="5">
        <v>-2.6991362763915117E-3</v>
      </c>
      <c r="J14" s="5">
        <v>0.33991457812877757</v>
      </c>
      <c r="K14" s="2">
        <v>556082782.25170004</v>
      </c>
      <c r="L14" s="3">
        <f t="shared" si="2"/>
        <v>2.2785408470842417E-2</v>
      </c>
      <c r="M14" s="4">
        <v>1.6947000000000001</v>
      </c>
      <c r="N14" s="4">
        <v>1.7477</v>
      </c>
      <c r="O14" s="60">
        <v>386</v>
      </c>
      <c r="P14" s="5">
        <v>1.9245805015937867E-2</v>
      </c>
      <c r="Q14" s="5">
        <v>0.3657023128374568</v>
      </c>
      <c r="R14" s="80">
        <f t="shared" si="3"/>
        <v>1.9498982372652244E-2</v>
      </c>
      <c r="S14" s="80">
        <f t="shared" si="4"/>
        <v>1.9364246135899748E-2</v>
      </c>
      <c r="T14" s="80">
        <f t="shared" si="5"/>
        <v>2.5974025974025974E-3</v>
      </c>
      <c r="U14" s="81">
        <f t="shared" si="6"/>
        <v>2.1944941292329379E-2</v>
      </c>
      <c r="V14" s="83">
        <f t="shared" si="7"/>
        <v>2.5787734708679233E-2</v>
      </c>
    </row>
    <row r="15" spans="1:25">
      <c r="A15" s="132">
        <v>10</v>
      </c>
      <c r="B15" s="119" t="s">
        <v>33</v>
      </c>
      <c r="C15" s="120" t="s">
        <v>34</v>
      </c>
      <c r="D15" s="2">
        <v>1362994779.1199999</v>
      </c>
      <c r="E15" s="3">
        <f t="shared" si="0"/>
        <v>5.6252180777270171E-2</v>
      </c>
      <c r="F15" s="4">
        <v>2.75</v>
      </c>
      <c r="G15" s="4">
        <v>2.8</v>
      </c>
      <c r="H15" s="60">
        <v>3670</v>
      </c>
      <c r="I15" s="5">
        <v>0.28939999999999999</v>
      </c>
      <c r="J15" s="5">
        <v>0.38629999999999998</v>
      </c>
      <c r="K15" s="2">
        <v>1376310128.6500001</v>
      </c>
      <c r="L15" s="3">
        <f t="shared" si="2"/>
        <v>5.6394100779141781E-2</v>
      </c>
      <c r="M15" s="4">
        <v>2.77</v>
      </c>
      <c r="N15" s="4">
        <v>2.83</v>
      </c>
      <c r="O15" s="60">
        <v>3669</v>
      </c>
      <c r="P15" s="5">
        <v>1.24E-2</v>
      </c>
      <c r="Q15" s="5">
        <v>0.38640000000000002</v>
      </c>
      <c r="R15" s="80">
        <f t="shared" si="3"/>
        <v>9.7691860115539809E-3</v>
      </c>
      <c r="S15" s="80">
        <f t="shared" si="4"/>
        <v>1.0714285714285805E-2</v>
      </c>
      <c r="T15" s="80">
        <f t="shared" si="5"/>
        <v>-2.7247956403269756E-4</v>
      </c>
      <c r="U15" s="81">
        <f t="shared" si="6"/>
        <v>-0.27699999999999997</v>
      </c>
      <c r="V15" s="83">
        <f t="shared" si="7"/>
        <v>1.000000000000445E-4</v>
      </c>
    </row>
    <row r="16" spans="1:25">
      <c r="A16" s="137">
        <v>11</v>
      </c>
      <c r="B16" s="119" t="s">
        <v>35</v>
      </c>
      <c r="C16" s="120" t="s">
        <v>36</v>
      </c>
      <c r="D16" s="4">
        <v>507566549.41000003</v>
      </c>
      <c r="E16" s="3">
        <f t="shared" si="0"/>
        <v>2.0947787718116288E-2</v>
      </c>
      <c r="F16" s="4">
        <v>18.306538</v>
      </c>
      <c r="G16" s="4">
        <v>18.466612999999999</v>
      </c>
      <c r="H16" s="60">
        <v>281</v>
      </c>
      <c r="I16" s="5">
        <v>1.2017982278099026E-2</v>
      </c>
      <c r="J16" s="5">
        <v>0.56115874761458095</v>
      </c>
      <c r="K16" s="4">
        <v>517486874.81999999</v>
      </c>
      <c r="L16" s="3">
        <f t="shared" si="2"/>
        <v>2.1203946961508985E-2</v>
      </c>
      <c r="M16" s="4">
        <v>18.526775000000001</v>
      </c>
      <c r="N16" s="4">
        <v>18.692613000000001</v>
      </c>
      <c r="O16" s="60">
        <v>283</v>
      </c>
      <c r="P16" s="5">
        <v>1.2030510629590374E-2</v>
      </c>
      <c r="Q16" s="5">
        <v>0.57896747743959653</v>
      </c>
      <c r="R16" s="80">
        <f t="shared" si="3"/>
        <v>1.9544876275892183E-2</v>
      </c>
      <c r="S16" s="80">
        <f t="shared" si="4"/>
        <v>1.2238302714201173E-2</v>
      </c>
      <c r="T16" s="80">
        <f t="shared" si="5"/>
        <v>7.1174377224199285E-3</v>
      </c>
      <c r="U16" s="81">
        <f t="shared" si="6"/>
        <v>1.2528351491347678E-5</v>
      </c>
      <c r="V16" s="83">
        <f t="shared" si="7"/>
        <v>1.7808729825015579E-2</v>
      </c>
    </row>
    <row r="17" spans="1:22">
      <c r="A17" s="136">
        <v>12</v>
      </c>
      <c r="B17" s="119" t="s">
        <v>37</v>
      </c>
      <c r="C17" s="120" t="s">
        <v>38</v>
      </c>
      <c r="D17" s="4">
        <v>300184212.44999999</v>
      </c>
      <c r="E17" s="3">
        <f t="shared" si="0"/>
        <v>1.2388907752179443E-2</v>
      </c>
      <c r="F17" s="4">
        <v>2.2125300000000001</v>
      </c>
      <c r="G17" s="4">
        <v>2.239411</v>
      </c>
      <c r="H17" s="60">
        <v>17</v>
      </c>
      <c r="I17" s="5">
        <v>1.5E-3</v>
      </c>
      <c r="J17" s="5">
        <v>0.55659999999999998</v>
      </c>
      <c r="K17" s="4">
        <v>299371096.61000001</v>
      </c>
      <c r="L17" s="3">
        <f t="shared" si="2"/>
        <v>1.2266685713594622E-2</v>
      </c>
      <c r="M17" s="4">
        <v>2.1568999999999998</v>
      </c>
      <c r="N17" s="4">
        <v>2.184558</v>
      </c>
      <c r="O17" s="60">
        <v>17</v>
      </c>
      <c r="P17" s="5">
        <v>-1.44E-2</v>
      </c>
      <c r="Q17" s="5">
        <v>0.47249999999999998</v>
      </c>
      <c r="R17" s="80">
        <f t="shared" si="3"/>
        <v>-2.7087228650820869E-3</v>
      </c>
      <c r="S17" s="80">
        <f t="shared" si="4"/>
        <v>-2.4494387140190005E-2</v>
      </c>
      <c r="T17" s="80">
        <f t="shared" si="5"/>
        <v>0</v>
      </c>
      <c r="U17" s="81">
        <f t="shared" si="6"/>
        <v>-1.5900000000000001E-2</v>
      </c>
      <c r="V17" s="83">
        <f t="shared" si="7"/>
        <v>-8.4100000000000008E-2</v>
      </c>
    </row>
    <row r="18" spans="1:22">
      <c r="A18" s="146">
        <v>13</v>
      </c>
      <c r="B18" s="119" t="s">
        <v>39</v>
      </c>
      <c r="C18" s="120" t="s">
        <v>40</v>
      </c>
      <c r="D18" s="2">
        <v>1124921294.1300001</v>
      </c>
      <c r="E18" s="3">
        <f t="shared" si="0"/>
        <v>4.642664591749715E-2</v>
      </c>
      <c r="F18" s="4">
        <v>27.02</v>
      </c>
      <c r="G18" s="4">
        <v>27.57</v>
      </c>
      <c r="H18" s="60">
        <v>8863</v>
      </c>
      <c r="I18" s="5">
        <v>1.8499999999999999E-2</v>
      </c>
      <c r="J18" s="5">
        <v>0.51990000000000003</v>
      </c>
      <c r="K18" s="2">
        <v>1124921294.1300001</v>
      </c>
      <c r="L18" s="3">
        <f t="shared" si="2"/>
        <v>4.6093481047034084E-2</v>
      </c>
      <c r="M18" s="4">
        <v>27.02</v>
      </c>
      <c r="N18" s="4">
        <v>27.57</v>
      </c>
      <c r="O18" s="60">
        <v>8863</v>
      </c>
      <c r="P18" s="5">
        <v>1.8499999999999999E-2</v>
      </c>
      <c r="Q18" s="5">
        <v>0.51990000000000003</v>
      </c>
      <c r="R18" s="80">
        <f t="shared" si="3"/>
        <v>0</v>
      </c>
      <c r="S18" s="80">
        <f t="shared" si="4"/>
        <v>0</v>
      </c>
      <c r="T18" s="80">
        <f t="shared" si="5"/>
        <v>0</v>
      </c>
      <c r="U18" s="81">
        <f t="shared" si="6"/>
        <v>0</v>
      </c>
      <c r="V18" s="83">
        <f t="shared" si="7"/>
        <v>0</v>
      </c>
    </row>
    <row r="19" spans="1:22" ht="12.75" customHeight="1">
      <c r="A19" s="139">
        <v>14</v>
      </c>
      <c r="B19" s="119" t="s">
        <v>41</v>
      </c>
      <c r="C19" s="120" t="s">
        <v>42</v>
      </c>
      <c r="D19" s="2">
        <v>549283182.65999997</v>
      </c>
      <c r="E19" s="3">
        <f t="shared" si="0"/>
        <v>2.266947560052561E-2</v>
      </c>
      <c r="F19" s="4">
        <v>5359.98</v>
      </c>
      <c r="G19" s="4">
        <v>5427.83</v>
      </c>
      <c r="H19" s="60">
        <v>1135</v>
      </c>
      <c r="I19" s="5">
        <v>2.3599999999999999E-2</v>
      </c>
      <c r="J19" s="5">
        <v>0.65769999999999995</v>
      </c>
      <c r="K19" s="2">
        <v>551208321.29999995</v>
      </c>
      <c r="L19" s="3">
        <f t="shared" si="2"/>
        <v>2.2585678165563183E-2</v>
      </c>
      <c r="M19" s="4">
        <v>5378.74</v>
      </c>
      <c r="N19" s="4">
        <v>5446.87</v>
      </c>
      <c r="O19" s="60">
        <v>1135</v>
      </c>
      <c r="P19" s="5">
        <v>3.5000000000000001E-3</v>
      </c>
      <c r="Q19" s="5">
        <v>0.66349999999999998</v>
      </c>
      <c r="R19" s="80">
        <f t="shared" si="3"/>
        <v>3.5048199194396682E-3</v>
      </c>
      <c r="S19" s="80">
        <f t="shared" si="4"/>
        <v>3.5078475191743226E-3</v>
      </c>
      <c r="T19" s="80">
        <f t="shared" si="5"/>
        <v>0</v>
      </c>
      <c r="U19" s="81">
        <f t="shared" si="6"/>
        <v>-2.01E-2</v>
      </c>
      <c r="V19" s="83">
        <f t="shared" si="7"/>
        <v>5.8000000000000274E-3</v>
      </c>
    </row>
    <row r="20" spans="1:22">
      <c r="A20" s="139">
        <v>15</v>
      </c>
      <c r="B20" s="119" t="s">
        <v>43</v>
      </c>
      <c r="C20" s="120" t="s">
        <v>42</v>
      </c>
      <c r="D20" s="4">
        <v>10609683905.190001</v>
      </c>
      <c r="E20" s="3">
        <f t="shared" si="0"/>
        <v>0.43787244541741344</v>
      </c>
      <c r="F20" s="4">
        <v>18087.599999999999</v>
      </c>
      <c r="G20" s="4">
        <v>18312.91</v>
      </c>
      <c r="H20" s="60">
        <v>29469</v>
      </c>
      <c r="I20" s="5">
        <v>2.64E-2</v>
      </c>
      <c r="J20" s="5">
        <v>0.48020000000000002</v>
      </c>
      <c r="K20" s="4">
        <v>10628983361.98</v>
      </c>
      <c r="L20" s="3">
        <f t="shared" si="2"/>
        <v>0.43552099662542965</v>
      </c>
      <c r="M20" s="4">
        <v>18135.919999999998</v>
      </c>
      <c r="N20" s="4">
        <v>18362.2</v>
      </c>
      <c r="O20" s="60">
        <v>29496</v>
      </c>
      <c r="P20" s="5">
        <v>2.7000000000000001E-3</v>
      </c>
      <c r="Q20" s="5">
        <v>0.48420000000000002</v>
      </c>
      <c r="R20" s="80">
        <f t="shared" si="3"/>
        <v>1.8190416380414671E-3</v>
      </c>
      <c r="S20" s="80">
        <f t="shared" si="4"/>
        <v>2.6915438343769983E-3</v>
      </c>
      <c r="T20" s="80">
        <f t="shared" si="5"/>
        <v>9.1621704163697445E-4</v>
      </c>
      <c r="U20" s="81">
        <f t="shared" si="6"/>
        <v>-2.3699999999999999E-2</v>
      </c>
      <c r="V20" s="83">
        <f t="shared" si="7"/>
        <v>4.0000000000000036E-3</v>
      </c>
    </row>
    <row r="21" spans="1:22">
      <c r="A21" s="137">
        <v>16</v>
      </c>
      <c r="B21" s="120" t="s">
        <v>44</v>
      </c>
      <c r="C21" s="120" t="s">
        <v>45</v>
      </c>
      <c r="D21" s="4">
        <v>2737148603.23</v>
      </c>
      <c r="E21" s="3">
        <f t="shared" si="0"/>
        <v>0.11296490669065926</v>
      </c>
      <c r="F21" s="4">
        <v>1.3584000000000001</v>
      </c>
      <c r="G21" s="8">
        <v>1.3726</v>
      </c>
      <c r="H21" s="60">
        <v>3497</v>
      </c>
      <c r="I21" s="5">
        <v>3.4099999999999998E-2</v>
      </c>
      <c r="J21" s="5">
        <v>0.48280000000000001</v>
      </c>
      <c r="K21" s="4">
        <v>2735959900.4400001</v>
      </c>
      <c r="L21" s="3">
        <f t="shared" si="2"/>
        <v>0.11210554593857894</v>
      </c>
      <c r="M21" s="4">
        <v>1.359</v>
      </c>
      <c r="N21" s="8">
        <v>1.3733</v>
      </c>
      <c r="O21" s="60">
        <v>3499</v>
      </c>
      <c r="P21" s="5">
        <v>6.9999999999999999E-4</v>
      </c>
      <c r="Q21" s="5">
        <v>0.48380000000000001</v>
      </c>
      <c r="R21" s="80">
        <f t="shared" si="3"/>
        <v>-4.3428507630065136E-4</v>
      </c>
      <c r="S21" s="80">
        <f t="shared" si="4"/>
        <v>5.0998105784636665E-4</v>
      </c>
      <c r="T21" s="80">
        <f t="shared" si="5"/>
        <v>5.7191878753217048E-4</v>
      </c>
      <c r="U21" s="81">
        <f t="shared" si="6"/>
        <v>-3.3399999999999999E-2</v>
      </c>
      <c r="V21" s="83">
        <f t="shared" si="7"/>
        <v>1.0000000000000009E-3</v>
      </c>
    </row>
    <row r="22" spans="1:22">
      <c r="A22" s="75"/>
      <c r="B22" s="19"/>
      <c r="C22" s="71" t="s">
        <v>46</v>
      </c>
      <c r="D22" s="58">
        <f>SUM(D6:D21)</f>
        <v>24230078910.4828</v>
      </c>
      <c r="E22" s="104">
        <f>(D22/$D$178)</f>
        <v>1.1528351233612334E-2</v>
      </c>
      <c r="F22" s="30"/>
      <c r="G22" s="31"/>
      <c r="H22" s="65">
        <f>SUM(H6:H21)</f>
        <v>61497</v>
      </c>
      <c r="I22" s="28"/>
      <c r="J22" s="60">
        <v>0</v>
      </c>
      <c r="K22" s="58">
        <f>SUM(K6:K21)</f>
        <v>24405214546.111698</v>
      </c>
      <c r="L22" s="104">
        <f>(K22/$K$178)</f>
        <v>1.1436131447822748E-2</v>
      </c>
      <c r="M22" s="30"/>
      <c r="N22" s="31"/>
      <c r="O22" s="65">
        <f>SUM(O6:O21)</f>
        <v>61538</v>
      </c>
      <c r="P22" s="28"/>
      <c r="Q22" s="65"/>
      <c r="R22" s="80">
        <f t="shared" si="3"/>
        <v>7.2280258052782763E-3</v>
      </c>
      <c r="S22" s="80" t="e">
        <f t="shared" si="4"/>
        <v>#DIV/0!</v>
      </c>
      <c r="T22" s="80">
        <f t="shared" si="5"/>
        <v>6.6669918857830465E-4</v>
      </c>
      <c r="U22" s="81">
        <f t="shared" si="6"/>
        <v>0</v>
      </c>
      <c r="V22" s="83">
        <f t="shared" si="7"/>
        <v>0</v>
      </c>
    </row>
    <row r="23" spans="1:22" ht="9" customHeight="1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</row>
    <row r="24" spans="1:22" ht="15" customHeight="1">
      <c r="A24" s="149" t="s">
        <v>47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1:22">
      <c r="A25" s="133">
        <v>17</v>
      </c>
      <c r="B25" s="119" t="s">
        <v>48</v>
      </c>
      <c r="C25" s="120" t="s">
        <v>17</v>
      </c>
      <c r="D25" s="9">
        <v>967948195.64999998</v>
      </c>
      <c r="E25" s="3">
        <f>(D25/$K$55)</f>
        <v>1.097941258824396E-3</v>
      </c>
      <c r="F25" s="8">
        <v>100</v>
      </c>
      <c r="G25" s="8">
        <v>100</v>
      </c>
      <c r="H25" s="60">
        <v>747</v>
      </c>
      <c r="I25" s="5">
        <v>9.8199999999999996E-2</v>
      </c>
      <c r="J25" s="5">
        <v>9.8199999999999996E-2</v>
      </c>
      <c r="K25" s="9">
        <v>969804658.04999995</v>
      </c>
      <c r="L25" s="3">
        <f t="shared" ref="L25:L54" si="8">(K25/$K$55)</f>
        <v>1.1000470395609852E-3</v>
      </c>
      <c r="M25" s="8">
        <v>100</v>
      </c>
      <c r="N25" s="8">
        <v>100</v>
      </c>
      <c r="O25" s="60">
        <v>747</v>
      </c>
      <c r="P25" s="5">
        <v>0.1002</v>
      </c>
      <c r="Q25" s="5">
        <v>0.1002</v>
      </c>
      <c r="R25" s="80">
        <f t="shared" ref="R25" si="9">((K25-D25)/D25)</f>
        <v>1.9179356998060397E-3</v>
      </c>
      <c r="S25" s="80">
        <f t="shared" ref="S25" si="10">((N25-G25)/G25)</f>
        <v>0</v>
      </c>
      <c r="T25" s="80">
        <f t="shared" ref="T25" si="11">((O25-H25)/H25)</f>
        <v>0</v>
      </c>
      <c r="U25" s="81">
        <f t="shared" ref="U25" si="12">P25-I25</f>
        <v>2.0000000000000018E-3</v>
      </c>
      <c r="V25" s="83">
        <f t="shared" ref="V25" si="13">Q25-J25</f>
        <v>2.0000000000000018E-3</v>
      </c>
    </row>
    <row r="26" spans="1:22">
      <c r="A26" s="146">
        <v>18</v>
      </c>
      <c r="B26" s="119" t="s">
        <v>49</v>
      </c>
      <c r="C26" s="120" t="s">
        <v>50</v>
      </c>
      <c r="D26" s="9">
        <v>4706824860.6599998</v>
      </c>
      <c r="E26" s="3">
        <f t="shared" ref="E26:E54" si="14">(D26/$K$55)</f>
        <v>5.3389398686865585E-3</v>
      </c>
      <c r="F26" s="8">
        <v>100</v>
      </c>
      <c r="G26" s="8">
        <v>100</v>
      </c>
      <c r="H26" s="60">
        <v>1156</v>
      </c>
      <c r="I26" s="5">
        <v>0.14236099999999999</v>
      </c>
      <c r="J26" s="5">
        <v>0.14236099999999999</v>
      </c>
      <c r="K26" s="9">
        <v>4706824860.6599998</v>
      </c>
      <c r="L26" s="3">
        <f t="shared" si="8"/>
        <v>5.3389398686865585E-3</v>
      </c>
      <c r="M26" s="8">
        <v>100</v>
      </c>
      <c r="N26" s="8">
        <v>100</v>
      </c>
      <c r="O26" s="60">
        <v>1156</v>
      </c>
      <c r="P26" s="5">
        <v>0.14236099999999999</v>
      </c>
      <c r="Q26" s="5">
        <v>0.14236099999999999</v>
      </c>
      <c r="R26" s="80">
        <f t="shared" ref="R26:R55" si="15">((K26-D26)/D26)</f>
        <v>0</v>
      </c>
      <c r="S26" s="80">
        <f t="shared" ref="S26:S55" si="16">((N26-G26)/G26)</f>
        <v>0</v>
      </c>
      <c r="T26" s="80">
        <f t="shared" ref="T26:T55" si="17">((O26-H26)/H26)</f>
        <v>0</v>
      </c>
      <c r="U26" s="81">
        <f t="shared" ref="U26:U55" si="18">P26-I26</f>
        <v>0</v>
      </c>
      <c r="V26" s="83">
        <f t="shared" ref="V26:V55" si="19">Q26-J26</f>
        <v>0</v>
      </c>
    </row>
    <row r="27" spans="1:22">
      <c r="A27" s="146">
        <v>19</v>
      </c>
      <c r="B27" s="119" t="s">
        <v>51</v>
      </c>
      <c r="C27" s="120" t="s">
        <v>19</v>
      </c>
      <c r="D27" s="9">
        <v>368528165.48000002</v>
      </c>
      <c r="E27" s="3">
        <f t="shared" si="14"/>
        <v>4.1802059215332606E-4</v>
      </c>
      <c r="F27" s="8">
        <v>100</v>
      </c>
      <c r="G27" s="8">
        <v>100</v>
      </c>
      <c r="H27" s="60">
        <v>1346</v>
      </c>
      <c r="I27" s="5">
        <v>0.1037</v>
      </c>
      <c r="J27" s="5">
        <v>0.1037</v>
      </c>
      <c r="K27" s="9">
        <v>368528165.48000002</v>
      </c>
      <c r="L27" s="3">
        <f t="shared" si="8"/>
        <v>4.1802059215332606E-4</v>
      </c>
      <c r="M27" s="8">
        <v>100</v>
      </c>
      <c r="N27" s="8">
        <v>100</v>
      </c>
      <c r="O27" s="60">
        <v>1346</v>
      </c>
      <c r="P27" s="5">
        <v>0.1037</v>
      </c>
      <c r="Q27" s="5">
        <v>0.1037</v>
      </c>
      <c r="R27" s="80">
        <f t="shared" si="15"/>
        <v>0</v>
      </c>
      <c r="S27" s="80">
        <f t="shared" si="16"/>
        <v>0</v>
      </c>
      <c r="T27" s="80">
        <f t="shared" si="17"/>
        <v>0</v>
      </c>
      <c r="U27" s="81">
        <f t="shared" si="18"/>
        <v>0</v>
      </c>
      <c r="V27" s="83">
        <f t="shared" si="19"/>
        <v>0</v>
      </c>
    </row>
    <row r="28" spans="1:22">
      <c r="A28" s="141">
        <v>20</v>
      </c>
      <c r="B28" s="119" t="s">
        <v>52</v>
      </c>
      <c r="C28" s="120" t="s">
        <v>21</v>
      </c>
      <c r="D28" s="9">
        <v>79943812114.160004</v>
      </c>
      <c r="E28" s="3">
        <f t="shared" si="14"/>
        <v>9.0680069555685042E-2</v>
      </c>
      <c r="F28" s="8">
        <v>1</v>
      </c>
      <c r="G28" s="8">
        <v>1</v>
      </c>
      <c r="H28" s="60">
        <v>54943</v>
      </c>
      <c r="I28" s="5">
        <v>0.1086</v>
      </c>
      <c r="J28" s="5">
        <v>0.1086</v>
      </c>
      <c r="K28" s="9">
        <v>80281536164.710007</v>
      </c>
      <c r="L28" s="3">
        <f t="shared" si="8"/>
        <v>9.1063149115998845E-2</v>
      </c>
      <c r="M28" s="8">
        <v>1</v>
      </c>
      <c r="N28" s="8">
        <v>1</v>
      </c>
      <c r="O28" s="60">
        <v>54995</v>
      </c>
      <c r="P28" s="5">
        <v>0.1193</v>
      </c>
      <c r="Q28" s="5">
        <v>0.1193</v>
      </c>
      <c r="R28" s="80">
        <f t="shared" si="15"/>
        <v>4.2245177158643883E-3</v>
      </c>
      <c r="S28" s="80">
        <f t="shared" si="16"/>
        <v>0</v>
      </c>
      <c r="T28" s="80">
        <f t="shared" si="17"/>
        <v>9.4643539668383598E-4</v>
      </c>
      <c r="U28" s="81">
        <f t="shared" si="18"/>
        <v>1.0700000000000001E-2</v>
      </c>
      <c r="V28" s="83">
        <f t="shared" si="19"/>
        <v>1.0700000000000001E-2</v>
      </c>
    </row>
    <row r="29" spans="1:22">
      <c r="A29" s="132">
        <v>21</v>
      </c>
      <c r="B29" s="119" t="s">
        <v>53</v>
      </c>
      <c r="C29" s="120" t="s">
        <v>23</v>
      </c>
      <c r="D29" s="9">
        <v>43705025677.160004</v>
      </c>
      <c r="E29" s="3">
        <f t="shared" si="14"/>
        <v>4.9574503185793095E-2</v>
      </c>
      <c r="F29" s="8">
        <v>1</v>
      </c>
      <c r="G29" s="8">
        <v>1</v>
      </c>
      <c r="H29" s="60">
        <v>26267</v>
      </c>
      <c r="I29" s="5">
        <v>0.1181</v>
      </c>
      <c r="J29" s="5">
        <v>0.1181</v>
      </c>
      <c r="K29" s="9">
        <v>46423005631.949997</v>
      </c>
      <c r="L29" s="3">
        <f t="shared" si="8"/>
        <v>5.2657501166917128E-2</v>
      </c>
      <c r="M29" s="8">
        <v>1</v>
      </c>
      <c r="N29" s="8">
        <v>1</v>
      </c>
      <c r="O29" s="60">
        <v>26286</v>
      </c>
      <c r="P29" s="5">
        <v>0.11360000000000001</v>
      </c>
      <c r="Q29" s="5">
        <v>0.11360000000000001</v>
      </c>
      <c r="R29" s="80">
        <f t="shared" si="15"/>
        <v>6.2189185629752279E-2</v>
      </c>
      <c r="S29" s="80">
        <f t="shared" si="16"/>
        <v>0</v>
      </c>
      <c r="T29" s="80">
        <f t="shared" si="17"/>
        <v>7.2334107435184831E-4</v>
      </c>
      <c r="U29" s="81">
        <f t="shared" si="18"/>
        <v>-4.4999999999999901E-3</v>
      </c>
      <c r="V29" s="83">
        <f t="shared" si="19"/>
        <v>-4.4999999999999901E-3</v>
      </c>
    </row>
    <row r="30" spans="1:22" ht="15" customHeight="1">
      <c r="A30" s="146">
        <v>22</v>
      </c>
      <c r="B30" s="119" t="s">
        <v>54</v>
      </c>
      <c r="C30" s="120" t="s">
        <v>40</v>
      </c>
      <c r="D30" s="9">
        <v>7309186134.9499998</v>
      </c>
      <c r="E30" s="3">
        <f t="shared" si="14"/>
        <v>8.2907918647441761E-3</v>
      </c>
      <c r="F30" s="8">
        <v>100</v>
      </c>
      <c r="G30" s="8">
        <v>100</v>
      </c>
      <c r="H30" s="60">
        <v>2705</v>
      </c>
      <c r="I30" s="5">
        <v>0.1041</v>
      </c>
      <c r="J30" s="5">
        <v>0.1041</v>
      </c>
      <c r="K30" s="9">
        <v>7309186134.9499998</v>
      </c>
      <c r="L30" s="3">
        <f t="shared" si="8"/>
        <v>8.2907918647441761E-3</v>
      </c>
      <c r="M30" s="8">
        <v>100</v>
      </c>
      <c r="N30" s="8">
        <v>100</v>
      </c>
      <c r="O30" s="60">
        <v>2705</v>
      </c>
      <c r="P30" s="5">
        <v>0.1041</v>
      </c>
      <c r="Q30" s="5">
        <v>0.1041</v>
      </c>
      <c r="R30" s="80">
        <f t="shared" si="15"/>
        <v>0</v>
      </c>
      <c r="S30" s="80">
        <f t="shared" si="16"/>
        <v>0</v>
      </c>
      <c r="T30" s="80">
        <f t="shared" si="17"/>
        <v>0</v>
      </c>
      <c r="U30" s="81">
        <f t="shared" si="18"/>
        <v>0</v>
      </c>
      <c r="V30" s="83">
        <f t="shared" si="19"/>
        <v>0</v>
      </c>
    </row>
    <row r="31" spans="1:22">
      <c r="A31" s="132">
        <v>23</v>
      </c>
      <c r="B31" s="119" t="s">
        <v>55</v>
      </c>
      <c r="C31" s="120" t="s">
        <v>56</v>
      </c>
      <c r="D31" s="9">
        <v>12694455930.050001</v>
      </c>
      <c r="E31" s="3">
        <f t="shared" si="14"/>
        <v>1.4399290154748806E-2</v>
      </c>
      <c r="F31" s="8">
        <v>100</v>
      </c>
      <c r="G31" s="8">
        <v>100</v>
      </c>
      <c r="H31" s="60">
        <v>1844</v>
      </c>
      <c r="I31" s="5">
        <v>0.122990349602809</v>
      </c>
      <c r="J31" s="5">
        <v>0.122990349602809</v>
      </c>
      <c r="K31" s="9">
        <v>13543352926.409998</v>
      </c>
      <c r="L31" s="3">
        <f t="shared" si="8"/>
        <v>1.536219193088142E-2</v>
      </c>
      <c r="M31" s="8">
        <v>100</v>
      </c>
      <c r="N31" s="8">
        <v>100</v>
      </c>
      <c r="O31" s="60">
        <v>1850</v>
      </c>
      <c r="P31" s="5">
        <v>0.123536282319028</v>
      </c>
      <c r="Q31" s="5">
        <v>0.123536282319028</v>
      </c>
      <c r="R31" s="80">
        <f t="shared" si="15"/>
        <v>6.6871475314708759E-2</v>
      </c>
      <c r="S31" s="80">
        <f t="shared" si="16"/>
        <v>0</v>
      </c>
      <c r="T31" s="80">
        <f t="shared" si="17"/>
        <v>3.2537960954446853E-3</v>
      </c>
      <c r="U31" s="81">
        <f t="shared" si="18"/>
        <v>5.4593271621899975E-4</v>
      </c>
      <c r="V31" s="83">
        <f t="shared" si="19"/>
        <v>5.4593271621899975E-4</v>
      </c>
    </row>
    <row r="32" spans="1:22">
      <c r="A32" s="135">
        <v>24</v>
      </c>
      <c r="B32" s="119" t="s">
        <v>57</v>
      </c>
      <c r="C32" s="120" t="s">
        <v>58</v>
      </c>
      <c r="D32" s="9">
        <v>6234659523.3599997</v>
      </c>
      <c r="E32" s="3">
        <f t="shared" si="14"/>
        <v>7.0719589707201359E-3</v>
      </c>
      <c r="F32" s="8">
        <v>100</v>
      </c>
      <c r="G32" s="8">
        <v>100</v>
      </c>
      <c r="H32" s="60">
        <v>5712</v>
      </c>
      <c r="I32" s="5">
        <v>0.1016</v>
      </c>
      <c r="J32" s="5">
        <v>0.1016</v>
      </c>
      <c r="K32" s="9">
        <v>5959102161.4799995</v>
      </c>
      <c r="L32" s="3">
        <f t="shared" si="8"/>
        <v>6.7593949325407054E-3</v>
      </c>
      <c r="M32" s="8">
        <v>100</v>
      </c>
      <c r="N32" s="8">
        <v>100</v>
      </c>
      <c r="O32" s="60">
        <v>5721</v>
      </c>
      <c r="P32" s="5">
        <v>0.1016</v>
      </c>
      <c r="Q32" s="5">
        <v>0.1016</v>
      </c>
      <c r="R32" s="80">
        <f t="shared" si="15"/>
        <v>-4.4197660008143638E-2</v>
      </c>
      <c r="S32" s="80">
        <f t="shared" si="16"/>
        <v>0</v>
      </c>
      <c r="T32" s="80">
        <f t="shared" si="17"/>
        <v>1.5756302521008404E-3</v>
      </c>
      <c r="U32" s="81">
        <f t="shared" si="18"/>
        <v>0</v>
      </c>
      <c r="V32" s="83">
        <f t="shared" si="19"/>
        <v>0</v>
      </c>
    </row>
    <row r="33" spans="1:22">
      <c r="A33" s="142">
        <v>25</v>
      </c>
      <c r="B33" s="119" t="s">
        <v>59</v>
      </c>
      <c r="C33" s="120" t="s">
        <v>60</v>
      </c>
      <c r="D33" s="9">
        <v>44514190.369999997</v>
      </c>
      <c r="E33" s="3">
        <f t="shared" si="14"/>
        <v>5.0492336707716657E-5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5.0492336707716657E-5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15"/>
        <v>0</v>
      </c>
      <c r="S33" s="80">
        <f t="shared" si="16"/>
        <v>0</v>
      </c>
      <c r="T33" s="80" t="e">
        <f t="shared" si="17"/>
        <v>#DIV/0!</v>
      </c>
      <c r="U33" s="81">
        <f t="shared" si="18"/>
        <v>0</v>
      </c>
      <c r="V33" s="83">
        <f t="shared" si="19"/>
        <v>0</v>
      </c>
    </row>
    <row r="34" spans="1:22">
      <c r="A34" s="133">
        <v>26</v>
      </c>
      <c r="B34" s="119" t="s">
        <v>61</v>
      </c>
      <c r="C34" s="120" t="s">
        <v>62</v>
      </c>
      <c r="D34" s="9">
        <v>5642909307.25</v>
      </c>
      <c r="E34" s="3">
        <f t="shared" si="14"/>
        <v>6.4007381552826648E-3</v>
      </c>
      <c r="F34" s="8">
        <v>1</v>
      </c>
      <c r="G34" s="8">
        <v>1</v>
      </c>
      <c r="H34" s="60">
        <v>2077</v>
      </c>
      <c r="I34" s="5">
        <v>0.1157</v>
      </c>
      <c r="J34" s="5">
        <v>0.1157</v>
      </c>
      <c r="K34" s="9">
        <v>5553409925.7799997</v>
      </c>
      <c r="L34" s="3">
        <f t="shared" si="8"/>
        <v>6.2992192268970506E-3</v>
      </c>
      <c r="M34" s="8">
        <v>1</v>
      </c>
      <c r="N34" s="8">
        <v>1</v>
      </c>
      <c r="O34" s="60">
        <v>2078</v>
      </c>
      <c r="P34" s="5">
        <v>0.1174</v>
      </c>
      <c r="Q34" s="5">
        <v>0.1174</v>
      </c>
      <c r="R34" s="80">
        <f t="shared" si="15"/>
        <v>-1.5860503261147865E-2</v>
      </c>
      <c r="S34" s="80">
        <f t="shared" si="16"/>
        <v>0</v>
      </c>
      <c r="T34" s="80">
        <f t="shared" si="17"/>
        <v>4.8146364949446316E-4</v>
      </c>
      <c r="U34" s="81">
        <f t="shared" si="18"/>
        <v>1.7000000000000071E-3</v>
      </c>
      <c r="V34" s="83">
        <f t="shared" si="19"/>
        <v>1.7000000000000071E-3</v>
      </c>
    </row>
    <row r="35" spans="1:22">
      <c r="A35" s="143">
        <v>27</v>
      </c>
      <c r="B35" s="119" t="s">
        <v>63</v>
      </c>
      <c r="C35" s="120" t="s">
        <v>64</v>
      </c>
      <c r="D35" s="9">
        <v>13608533281.379999</v>
      </c>
      <c r="E35" s="3">
        <f t="shared" si="14"/>
        <v>1.5436125847291406E-2</v>
      </c>
      <c r="F35" s="11">
        <v>100</v>
      </c>
      <c r="G35" s="11">
        <v>100</v>
      </c>
      <c r="H35" s="60">
        <v>2579</v>
      </c>
      <c r="I35" s="5">
        <v>2E-3</v>
      </c>
      <c r="J35" s="5">
        <v>9.4E-2</v>
      </c>
      <c r="K35" s="9">
        <v>13848156859.35</v>
      </c>
      <c r="L35" s="3">
        <f t="shared" si="8"/>
        <v>1.5707930282717535E-2</v>
      </c>
      <c r="M35" s="11">
        <v>100</v>
      </c>
      <c r="N35" s="11">
        <v>100</v>
      </c>
      <c r="O35" s="60">
        <v>2593</v>
      </c>
      <c r="P35" s="5">
        <v>0.1028</v>
      </c>
      <c r="Q35" s="5">
        <v>0.1028</v>
      </c>
      <c r="R35" s="80">
        <f t="shared" si="15"/>
        <v>1.760833243490453E-2</v>
      </c>
      <c r="S35" s="80">
        <f t="shared" si="16"/>
        <v>0</v>
      </c>
      <c r="T35" s="80">
        <f t="shared" si="17"/>
        <v>5.4284606436603338E-3</v>
      </c>
      <c r="U35" s="81">
        <f t="shared" si="18"/>
        <v>0.1008</v>
      </c>
      <c r="V35" s="83">
        <f t="shared" si="19"/>
        <v>8.8000000000000023E-3</v>
      </c>
    </row>
    <row r="36" spans="1:22">
      <c r="A36" s="143">
        <v>28</v>
      </c>
      <c r="B36" s="119" t="s">
        <v>65</v>
      </c>
      <c r="C36" s="120" t="s">
        <v>64</v>
      </c>
      <c r="D36" s="9">
        <v>1322785551.72</v>
      </c>
      <c r="E36" s="3">
        <f t="shared" si="14"/>
        <v>1.500432399519996E-3</v>
      </c>
      <c r="F36" s="11">
        <v>1000000</v>
      </c>
      <c r="G36" s="11">
        <v>1000000</v>
      </c>
      <c r="H36" s="60">
        <v>7</v>
      </c>
      <c r="I36" s="5">
        <v>2E-3</v>
      </c>
      <c r="J36" s="5">
        <v>9.2399999999999996E-2</v>
      </c>
      <c r="K36" s="9">
        <v>1325477055.46</v>
      </c>
      <c r="L36" s="3">
        <f t="shared" si="8"/>
        <v>1.50348536559577E-3</v>
      </c>
      <c r="M36" s="11">
        <v>1000000</v>
      </c>
      <c r="N36" s="11">
        <v>1000000</v>
      </c>
      <c r="O36" s="60">
        <v>7</v>
      </c>
      <c r="P36" s="5">
        <v>0.1074</v>
      </c>
      <c r="Q36" s="5">
        <v>0.1074</v>
      </c>
      <c r="R36" s="80">
        <f t="shared" si="15"/>
        <v>2.0347241746784153E-3</v>
      </c>
      <c r="S36" s="80">
        <f t="shared" si="16"/>
        <v>0</v>
      </c>
      <c r="T36" s="80">
        <f t="shared" si="17"/>
        <v>0</v>
      </c>
      <c r="U36" s="81">
        <f t="shared" si="18"/>
        <v>0.10539999999999999</v>
      </c>
      <c r="V36" s="83">
        <f t="shared" si="19"/>
        <v>1.4999999999999999E-2</v>
      </c>
    </row>
    <row r="37" spans="1:22">
      <c r="A37" s="132">
        <v>29</v>
      </c>
      <c r="B37" s="119" t="s">
        <v>66</v>
      </c>
      <c r="C37" s="120" t="s">
        <v>67</v>
      </c>
      <c r="D37" s="9">
        <v>3466042121.4099998</v>
      </c>
      <c r="E37" s="3">
        <f t="shared" si="14"/>
        <v>3.9315230577642484E-3</v>
      </c>
      <c r="F37" s="8">
        <v>1</v>
      </c>
      <c r="G37" s="8">
        <v>1</v>
      </c>
      <c r="H37" s="60">
        <v>426</v>
      </c>
      <c r="I37" s="5">
        <v>0.13669999999999999</v>
      </c>
      <c r="J37" s="5">
        <v>0.13669999999999999</v>
      </c>
      <c r="K37" s="9">
        <v>3507680113.5500002</v>
      </c>
      <c r="L37" s="3">
        <f t="shared" si="8"/>
        <v>3.9787529298902181E-3</v>
      </c>
      <c r="M37" s="8">
        <v>1</v>
      </c>
      <c r="N37" s="8">
        <v>1</v>
      </c>
      <c r="O37" s="60">
        <v>426</v>
      </c>
      <c r="P37" s="5">
        <v>0.1333</v>
      </c>
      <c r="Q37" s="5">
        <v>0.1333</v>
      </c>
      <c r="R37" s="80">
        <f t="shared" si="15"/>
        <v>1.2013123522879128E-2</v>
      </c>
      <c r="S37" s="80">
        <f t="shared" si="16"/>
        <v>0</v>
      </c>
      <c r="T37" s="80">
        <f t="shared" si="17"/>
        <v>0</v>
      </c>
      <c r="U37" s="81">
        <f t="shared" si="18"/>
        <v>-3.3999999999999864E-3</v>
      </c>
      <c r="V37" s="83">
        <f t="shared" si="19"/>
        <v>-3.3999999999999864E-3</v>
      </c>
    </row>
    <row r="38" spans="1:22">
      <c r="A38" s="136">
        <v>30</v>
      </c>
      <c r="B38" s="119" t="s">
        <v>68</v>
      </c>
      <c r="C38" s="120" t="s">
        <v>27</v>
      </c>
      <c r="D38" s="9">
        <v>195778828045.84</v>
      </c>
      <c r="E38" s="3">
        <f t="shared" si="14"/>
        <v>0.22207144337044615</v>
      </c>
      <c r="F38" s="8">
        <v>100</v>
      </c>
      <c r="G38" s="8">
        <v>100</v>
      </c>
      <c r="H38" s="60">
        <v>15175</v>
      </c>
      <c r="I38" s="5">
        <v>0.11990000000000001</v>
      </c>
      <c r="J38" s="5">
        <v>0.11990000000000001</v>
      </c>
      <c r="K38" s="9">
        <v>197527391529.64001</v>
      </c>
      <c r="L38" s="3">
        <f t="shared" si="8"/>
        <v>0.22405483463163711</v>
      </c>
      <c r="M38" s="8">
        <v>100</v>
      </c>
      <c r="N38" s="8">
        <v>100</v>
      </c>
      <c r="O38" s="60">
        <v>15189</v>
      </c>
      <c r="P38" s="5">
        <v>0.12509999999999999</v>
      </c>
      <c r="Q38" s="5">
        <v>0.12509999999999999</v>
      </c>
      <c r="R38" s="80">
        <f t="shared" si="15"/>
        <v>8.9313206195646786E-3</v>
      </c>
      <c r="S38" s="80">
        <f t="shared" si="16"/>
        <v>0</v>
      </c>
      <c r="T38" s="80">
        <f t="shared" si="17"/>
        <v>9.2257001647446453E-4</v>
      </c>
      <c r="U38" s="81">
        <f t="shared" si="18"/>
        <v>5.1999999999999824E-3</v>
      </c>
      <c r="V38" s="83">
        <f t="shared" si="19"/>
        <v>5.1999999999999824E-3</v>
      </c>
    </row>
    <row r="39" spans="1:22">
      <c r="A39" s="132">
        <v>31</v>
      </c>
      <c r="B39" s="119" t="s">
        <v>69</v>
      </c>
      <c r="C39" s="120" t="s">
        <v>70</v>
      </c>
      <c r="D39" s="9">
        <v>278367081.01999998</v>
      </c>
      <c r="E39" s="3">
        <f t="shared" si="14"/>
        <v>3.1575109569281567E-4</v>
      </c>
      <c r="F39" s="8">
        <v>1</v>
      </c>
      <c r="G39" s="8">
        <v>1</v>
      </c>
      <c r="H39" s="61">
        <v>435</v>
      </c>
      <c r="I39" s="12">
        <v>6.8199999999999997E-2</v>
      </c>
      <c r="J39" s="12">
        <v>6.8199999999999997E-2</v>
      </c>
      <c r="K39" s="9">
        <v>279234916.25999999</v>
      </c>
      <c r="L39" s="3">
        <f t="shared" si="8"/>
        <v>3.1673547907215338E-4</v>
      </c>
      <c r="M39" s="8">
        <v>1</v>
      </c>
      <c r="N39" s="8">
        <v>1</v>
      </c>
      <c r="O39" s="61">
        <v>436</v>
      </c>
      <c r="P39" s="12">
        <v>0.08</v>
      </c>
      <c r="Q39" s="12">
        <v>0.08</v>
      </c>
      <c r="R39" s="80">
        <f t="shared" si="15"/>
        <v>3.1175929165908008E-3</v>
      </c>
      <c r="S39" s="80">
        <f t="shared" si="16"/>
        <v>0</v>
      </c>
      <c r="T39" s="80">
        <f t="shared" si="17"/>
        <v>2.2988505747126436E-3</v>
      </c>
      <c r="U39" s="81">
        <f t="shared" si="18"/>
        <v>1.1800000000000005E-2</v>
      </c>
      <c r="V39" s="83">
        <f t="shared" si="19"/>
        <v>1.1800000000000005E-2</v>
      </c>
    </row>
    <row r="40" spans="1:22">
      <c r="A40" s="136">
        <v>32</v>
      </c>
      <c r="B40" s="119" t="s">
        <v>71</v>
      </c>
      <c r="C40" s="120" t="s">
        <v>72</v>
      </c>
      <c r="D40" s="9">
        <v>650780400.89999998</v>
      </c>
      <c r="E40" s="3">
        <f t="shared" si="14"/>
        <v>7.3817860893120931E-4</v>
      </c>
      <c r="F40" s="8">
        <v>10</v>
      </c>
      <c r="G40" s="8">
        <v>10</v>
      </c>
      <c r="H40" s="60">
        <v>355</v>
      </c>
      <c r="I40" s="5">
        <v>9.5000000000000001E-2</v>
      </c>
      <c r="J40" s="5">
        <v>9.5000000000000001E-2</v>
      </c>
      <c r="K40" s="9">
        <v>680301963.33000004</v>
      </c>
      <c r="L40" s="3">
        <f t="shared" si="8"/>
        <v>7.7166484462287384E-4</v>
      </c>
      <c r="M40" s="8">
        <v>10</v>
      </c>
      <c r="N40" s="8">
        <v>10</v>
      </c>
      <c r="O40" s="60">
        <v>357</v>
      </c>
      <c r="P40" s="5">
        <v>0.1056</v>
      </c>
      <c r="Q40" s="5">
        <v>0.1056</v>
      </c>
      <c r="R40" s="80">
        <f t="shared" si="15"/>
        <v>4.5363324385880512E-2</v>
      </c>
      <c r="S40" s="80">
        <f t="shared" si="16"/>
        <v>0</v>
      </c>
      <c r="T40" s="80">
        <f t="shared" si="17"/>
        <v>5.6338028169014088E-3</v>
      </c>
      <c r="U40" s="81">
        <f t="shared" si="18"/>
        <v>1.0599999999999998E-2</v>
      </c>
      <c r="V40" s="83">
        <f t="shared" si="19"/>
        <v>1.0599999999999998E-2</v>
      </c>
    </row>
    <row r="41" spans="1:22">
      <c r="A41" s="141">
        <v>33</v>
      </c>
      <c r="B41" s="119" t="s">
        <v>73</v>
      </c>
      <c r="C41" s="120" t="s">
        <v>74</v>
      </c>
      <c r="D41" s="9">
        <v>2903021427.7096219</v>
      </c>
      <c r="E41" s="3">
        <f t="shared" si="14"/>
        <v>3.2928900689703946E-3</v>
      </c>
      <c r="F41" s="8">
        <v>100</v>
      </c>
      <c r="G41" s="8">
        <v>100</v>
      </c>
      <c r="H41" s="60">
        <v>1242</v>
      </c>
      <c r="I41" s="5">
        <v>9.7600000000000006E-2</v>
      </c>
      <c r="J41" s="5">
        <v>9.7600000000000006E-2</v>
      </c>
      <c r="K41" s="9">
        <v>2902287180.3699999</v>
      </c>
      <c r="L41" s="3">
        <f t="shared" si="8"/>
        <v>3.2920572140180573E-3</v>
      </c>
      <c r="M41" s="8">
        <v>100</v>
      </c>
      <c r="N41" s="8">
        <v>100</v>
      </c>
      <c r="O41" s="60">
        <v>1242</v>
      </c>
      <c r="P41" s="5">
        <v>9.6600000000000005E-2</v>
      </c>
      <c r="Q41" s="5">
        <v>9.6600000000000005E-2</v>
      </c>
      <c r="R41" s="80">
        <f t="shared" si="15"/>
        <v>-2.5292522218870259E-4</v>
      </c>
      <c r="S41" s="80">
        <f t="shared" si="16"/>
        <v>0</v>
      </c>
      <c r="T41" s="80">
        <f t="shared" si="17"/>
        <v>0</v>
      </c>
      <c r="U41" s="81">
        <f t="shared" si="18"/>
        <v>-1.0000000000000009E-3</v>
      </c>
      <c r="V41" s="83">
        <f t="shared" si="19"/>
        <v>-1.0000000000000009E-3</v>
      </c>
    </row>
    <row r="42" spans="1:22" ht="15.75" customHeight="1">
      <c r="A42" s="132">
        <v>34</v>
      </c>
      <c r="B42" s="119" t="s">
        <v>239</v>
      </c>
      <c r="C42" s="120" t="s">
        <v>32</v>
      </c>
      <c r="D42" s="9">
        <v>19620454975.9548</v>
      </c>
      <c r="E42" s="3">
        <f t="shared" si="14"/>
        <v>2.2255433846375596E-2</v>
      </c>
      <c r="F42" s="8">
        <v>1</v>
      </c>
      <c r="G42" s="8">
        <v>1</v>
      </c>
      <c r="H42" s="60">
        <v>11057</v>
      </c>
      <c r="I42" s="5">
        <v>0.12177635910433141</v>
      </c>
      <c r="J42" s="5">
        <v>0.12177635910433141</v>
      </c>
      <c r="K42" s="9">
        <v>19656492854.7855</v>
      </c>
      <c r="L42" s="3">
        <f t="shared" si="8"/>
        <v>2.2296311523741549E-2</v>
      </c>
      <c r="M42" s="8">
        <v>1</v>
      </c>
      <c r="N42" s="8">
        <v>1</v>
      </c>
      <c r="O42" s="60">
        <v>11078</v>
      </c>
      <c r="P42" s="5">
        <v>0.12014849605945123</v>
      </c>
      <c r="Q42" s="5">
        <v>0.12014849605945123</v>
      </c>
      <c r="R42" s="80">
        <f t="shared" si="15"/>
        <v>1.8367504155670678E-3</v>
      </c>
      <c r="S42" s="80">
        <f t="shared" si="16"/>
        <v>0</v>
      </c>
      <c r="T42" s="80">
        <f t="shared" si="17"/>
        <v>1.8992493443067741E-3</v>
      </c>
      <c r="U42" s="81">
        <f t="shared" si="18"/>
        <v>-1.6278630448801762E-3</v>
      </c>
      <c r="V42" s="83">
        <f t="shared" si="19"/>
        <v>-1.6278630448801762E-3</v>
      </c>
    </row>
    <row r="43" spans="1:22">
      <c r="A43" s="132">
        <v>35</v>
      </c>
      <c r="B43" s="119" t="s">
        <v>75</v>
      </c>
      <c r="C43" s="120" t="s">
        <v>34</v>
      </c>
      <c r="D43" s="9">
        <v>3024759748.5500002</v>
      </c>
      <c r="E43" s="3">
        <f t="shared" si="14"/>
        <v>3.430977547031032E-3</v>
      </c>
      <c r="F43" s="8">
        <v>1</v>
      </c>
      <c r="G43" s="8">
        <v>1</v>
      </c>
      <c r="H43" s="60">
        <v>823</v>
      </c>
      <c r="I43" s="5">
        <v>8.0100000000000005E-2</v>
      </c>
      <c r="J43" s="5">
        <v>8.0100000000000005E-2</v>
      </c>
      <c r="K43" s="9">
        <v>3071223941.3299999</v>
      </c>
      <c r="L43" s="3">
        <f t="shared" si="8"/>
        <v>3.483681766678732E-3</v>
      </c>
      <c r="M43" s="8">
        <v>1</v>
      </c>
      <c r="N43" s="8">
        <v>1</v>
      </c>
      <c r="O43" s="60">
        <v>824</v>
      </c>
      <c r="P43" s="5">
        <v>8.5800000000000001E-2</v>
      </c>
      <c r="Q43" s="5">
        <v>8.2500000000000004E-2</v>
      </c>
      <c r="R43" s="80">
        <f t="shared" si="15"/>
        <v>1.5361283752295894E-2</v>
      </c>
      <c r="S43" s="80">
        <f t="shared" si="16"/>
        <v>0</v>
      </c>
      <c r="T43" s="80">
        <f t="shared" si="17"/>
        <v>1.215066828675577E-3</v>
      </c>
      <c r="U43" s="81">
        <f t="shared" si="18"/>
        <v>5.6999999999999967E-3</v>
      </c>
      <c r="V43" s="83">
        <f t="shared" si="19"/>
        <v>2.3999999999999994E-3</v>
      </c>
    </row>
    <row r="44" spans="1:22">
      <c r="A44" s="137">
        <v>36</v>
      </c>
      <c r="B44" s="119" t="s">
        <v>76</v>
      </c>
      <c r="C44" s="120" t="s">
        <v>36</v>
      </c>
      <c r="D44" s="13">
        <v>3625659606.7399998</v>
      </c>
      <c r="E44" s="3">
        <f t="shared" si="14"/>
        <v>4.1125767789873353E-3</v>
      </c>
      <c r="F44" s="8">
        <v>10</v>
      </c>
      <c r="G44" s="8">
        <v>10</v>
      </c>
      <c r="H44" s="60">
        <v>1904</v>
      </c>
      <c r="I44" s="5">
        <v>0.1273</v>
      </c>
      <c r="J44" s="5">
        <v>0.1273</v>
      </c>
      <c r="K44" s="13">
        <v>3812372629.77</v>
      </c>
      <c r="L44" s="3">
        <f t="shared" si="8"/>
        <v>4.3243649020147292E-3</v>
      </c>
      <c r="M44" s="8">
        <v>10</v>
      </c>
      <c r="N44" s="8">
        <v>10</v>
      </c>
      <c r="O44" s="60">
        <v>1909</v>
      </c>
      <c r="P44" s="5">
        <v>0.1303</v>
      </c>
      <c r="Q44" s="5">
        <v>0.1303</v>
      </c>
      <c r="R44" s="80">
        <f t="shared" si="15"/>
        <v>5.1497670295056357E-2</v>
      </c>
      <c r="S44" s="80">
        <f t="shared" si="16"/>
        <v>0</v>
      </c>
      <c r="T44" s="80">
        <f t="shared" si="17"/>
        <v>2.6260504201680674E-3</v>
      </c>
      <c r="U44" s="81">
        <f t="shared" si="18"/>
        <v>3.0000000000000027E-3</v>
      </c>
      <c r="V44" s="83">
        <f t="shared" si="19"/>
        <v>3.0000000000000027E-3</v>
      </c>
    </row>
    <row r="45" spans="1:22">
      <c r="A45" s="127">
        <v>37</v>
      </c>
      <c r="B45" s="119" t="s">
        <v>77</v>
      </c>
      <c r="C45" s="120" t="s">
        <v>78</v>
      </c>
      <c r="D45" s="9">
        <v>4748703554.7299995</v>
      </c>
      <c r="E45" s="3">
        <f t="shared" si="14"/>
        <v>5.3864427684200099E-3</v>
      </c>
      <c r="F45" s="8">
        <v>100</v>
      </c>
      <c r="G45" s="8">
        <v>100</v>
      </c>
      <c r="H45" s="60">
        <v>1976</v>
      </c>
      <c r="I45" s="5">
        <v>0.12759999999999999</v>
      </c>
      <c r="J45" s="5">
        <v>0.12759999999999999</v>
      </c>
      <c r="K45" s="9">
        <v>4780635771.7200003</v>
      </c>
      <c r="L45" s="3">
        <f t="shared" si="8"/>
        <v>5.4226634036529855E-3</v>
      </c>
      <c r="M45" s="8">
        <v>100</v>
      </c>
      <c r="N45" s="8">
        <v>100</v>
      </c>
      <c r="O45" s="60">
        <v>1979</v>
      </c>
      <c r="P45" s="5">
        <v>0.12879599999999999</v>
      </c>
      <c r="Q45" s="5">
        <v>0.12879599999999999</v>
      </c>
      <c r="R45" s="80">
        <f t="shared" si="15"/>
        <v>6.7244073297003937E-3</v>
      </c>
      <c r="S45" s="80">
        <f t="shared" si="16"/>
        <v>0</v>
      </c>
      <c r="T45" s="80">
        <f t="shared" si="17"/>
        <v>1.5182186234817814E-3</v>
      </c>
      <c r="U45" s="81">
        <f t="shared" si="18"/>
        <v>1.1960000000000026E-3</v>
      </c>
      <c r="V45" s="83">
        <f t="shared" si="19"/>
        <v>1.1960000000000026E-3</v>
      </c>
    </row>
    <row r="46" spans="1:22">
      <c r="A46" s="141">
        <v>38</v>
      </c>
      <c r="B46" s="119" t="s">
        <v>79</v>
      </c>
      <c r="C46" s="120" t="s">
        <v>80</v>
      </c>
      <c r="D46" s="9">
        <v>150560661.80000001</v>
      </c>
      <c r="E46" s="3">
        <f t="shared" si="14"/>
        <v>1.7078058855734399E-4</v>
      </c>
      <c r="F46" s="8">
        <v>1</v>
      </c>
      <c r="G46" s="8">
        <v>1</v>
      </c>
      <c r="H46" s="60">
        <v>61</v>
      </c>
      <c r="I46" s="5">
        <v>6.9599999999999995E-2</v>
      </c>
      <c r="J46" s="5">
        <v>6.9599999999999995E-2</v>
      </c>
      <c r="K46" s="9">
        <v>150610661.34</v>
      </c>
      <c r="L46" s="3">
        <f t="shared" si="8"/>
        <v>1.7083730291265242E-4</v>
      </c>
      <c r="M46" s="8">
        <v>1</v>
      </c>
      <c r="N46" s="8">
        <v>1</v>
      </c>
      <c r="O46" s="60">
        <v>61</v>
      </c>
      <c r="P46" s="5">
        <v>6.9599999999999995E-2</v>
      </c>
      <c r="Q46" s="5">
        <v>6.9599999999999995E-2</v>
      </c>
      <c r="R46" s="80">
        <f t="shared" si="15"/>
        <v>3.3208900254708931E-4</v>
      </c>
      <c r="S46" s="80">
        <f t="shared" si="16"/>
        <v>0</v>
      </c>
      <c r="T46" s="80">
        <f t="shared" si="17"/>
        <v>0</v>
      </c>
      <c r="U46" s="81">
        <f t="shared" si="18"/>
        <v>0</v>
      </c>
      <c r="V46" s="83">
        <f t="shared" si="19"/>
        <v>0</v>
      </c>
    </row>
    <row r="47" spans="1:22">
      <c r="A47" s="136">
        <v>39</v>
      </c>
      <c r="B47" s="119" t="s">
        <v>81</v>
      </c>
      <c r="C47" s="120" t="s">
        <v>38</v>
      </c>
      <c r="D47" s="13">
        <v>688743491.73000002</v>
      </c>
      <c r="E47" s="3">
        <f t="shared" si="14"/>
        <v>7.8124004953523377E-4</v>
      </c>
      <c r="F47" s="8">
        <v>10</v>
      </c>
      <c r="G47" s="8">
        <v>10</v>
      </c>
      <c r="H47" s="60">
        <v>631</v>
      </c>
      <c r="I47" s="5">
        <v>7.9500000000000001E-2</v>
      </c>
      <c r="J47" s="5">
        <v>7.9500000000000001E-2</v>
      </c>
      <c r="K47" s="13">
        <v>618762846.63999999</v>
      </c>
      <c r="L47" s="3">
        <f t="shared" si="8"/>
        <v>7.0186117584265806E-4</v>
      </c>
      <c r="M47" s="8">
        <v>10</v>
      </c>
      <c r="N47" s="8">
        <v>10</v>
      </c>
      <c r="O47" s="60">
        <v>633</v>
      </c>
      <c r="P47" s="5">
        <v>0</v>
      </c>
      <c r="Q47" s="5">
        <v>0</v>
      </c>
      <c r="R47" s="80">
        <f t="shared" si="15"/>
        <v>-0.10160625244417369</v>
      </c>
      <c r="S47" s="80">
        <f t="shared" si="16"/>
        <v>0</v>
      </c>
      <c r="T47" s="80">
        <f t="shared" si="17"/>
        <v>3.1695721077654518E-3</v>
      </c>
      <c r="U47" s="81">
        <f t="shared" si="18"/>
        <v>-7.9500000000000001E-2</v>
      </c>
      <c r="V47" s="83">
        <f t="shared" si="19"/>
        <v>-7.9500000000000001E-2</v>
      </c>
    </row>
    <row r="48" spans="1:22">
      <c r="A48" s="143">
        <v>40</v>
      </c>
      <c r="B48" s="119" t="s">
        <v>247</v>
      </c>
      <c r="C48" s="120" t="s">
        <v>248</v>
      </c>
      <c r="D48" s="13">
        <v>570525406.19000006</v>
      </c>
      <c r="E48" s="3">
        <f t="shared" si="14"/>
        <v>6.4714556572204138E-4</v>
      </c>
      <c r="F48" s="8">
        <v>1</v>
      </c>
      <c r="G48" s="8">
        <v>1</v>
      </c>
      <c r="H48" s="60">
        <v>23</v>
      </c>
      <c r="I48" s="5">
        <v>0.1207</v>
      </c>
      <c r="J48" s="5">
        <v>0.1207</v>
      </c>
      <c r="K48" s="13">
        <v>570525406.19000006</v>
      </c>
      <c r="L48" s="3">
        <f t="shared" si="8"/>
        <v>6.4714556572204138E-4</v>
      </c>
      <c r="M48" s="8">
        <v>1</v>
      </c>
      <c r="N48" s="8">
        <v>1</v>
      </c>
      <c r="O48" s="60">
        <v>23</v>
      </c>
      <c r="P48" s="5">
        <v>0.1207</v>
      </c>
      <c r="Q48" s="5">
        <v>0.1207</v>
      </c>
      <c r="R48" s="80">
        <f t="shared" si="15"/>
        <v>0</v>
      </c>
      <c r="S48" s="80">
        <f t="shared" si="16"/>
        <v>0</v>
      </c>
      <c r="T48" s="80">
        <f t="shared" si="17"/>
        <v>0</v>
      </c>
      <c r="U48" s="81">
        <f t="shared" si="18"/>
        <v>0</v>
      </c>
      <c r="V48" s="83">
        <f t="shared" si="19"/>
        <v>0</v>
      </c>
    </row>
    <row r="49" spans="1:22">
      <c r="A49" s="139">
        <v>41</v>
      </c>
      <c r="B49" s="119" t="s">
        <v>82</v>
      </c>
      <c r="C49" s="120" t="s">
        <v>42</v>
      </c>
      <c r="D49" s="9">
        <v>375713149020.90002</v>
      </c>
      <c r="E49" s="3">
        <f t="shared" si="14"/>
        <v>0.42617050132096584</v>
      </c>
      <c r="F49" s="8">
        <v>100</v>
      </c>
      <c r="G49" s="8">
        <v>100</v>
      </c>
      <c r="H49" s="60">
        <v>132266</v>
      </c>
      <c r="I49" s="5">
        <v>0.11119999999999999</v>
      </c>
      <c r="J49" s="5">
        <v>0.11119999999999999</v>
      </c>
      <c r="K49" s="9">
        <v>384068081200.21997</v>
      </c>
      <c r="L49" s="3">
        <f t="shared" si="8"/>
        <v>0.43564748035308748</v>
      </c>
      <c r="M49" s="8">
        <v>100</v>
      </c>
      <c r="N49" s="8">
        <v>100</v>
      </c>
      <c r="O49" s="60">
        <v>133171</v>
      </c>
      <c r="P49" s="5">
        <v>0.1152</v>
      </c>
      <c r="Q49" s="5">
        <v>0.1152</v>
      </c>
      <c r="R49" s="80">
        <f t="shared" si="15"/>
        <v>2.223752935209404E-2</v>
      </c>
      <c r="S49" s="80">
        <f t="shared" si="16"/>
        <v>0</v>
      </c>
      <c r="T49" s="80">
        <f t="shared" si="17"/>
        <v>6.8422723904858389E-3</v>
      </c>
      <c r="U49" s="81">
        <f t="shared" si="18"/>
        <v>4.0000000000000036E-3</v>
      </c>
      <c r="V49" s="83">
        <f t="shared" si="19"/>
        <v>4.0000000000000036E-3</v>
      </c>
    </row>
    <row r="50" spans="1:22">
      <c r="A50" s="136">
        <v>42</v>
      </c>
      <c r="B50" s="119" t="s">
        <v>83</v>
      </c>
      <c r="C50" s="120" t="s">
        <v>84</v>
      </c>
      <c r="D50" s="9">
        <v>2729898973.5100002</v>
      </c>
      <c r="E50" s="3">
        <f t="shared" si="14"/>
        <v>3.0965176947576824E-3</v>
      </c>
      <c r="F50" s="8">
        <v>1</v>
      </c>
      <c r="G50" s="8">
        <v>1</v>
      </c>
      <c r="H50" s="60">
        <v>325</v>
      </c>
      <c r="I50" s="5">
        <v>0.14060713535435268</v>
      </c>
      <c r="J50" s="5">
        <v>0.14060713535435268</v>
      </c>
      <c r="K50" s="9">
        <v>2797749248.3499999</v>
      </c>
      <c r="L50" s="3">
        <f t="shared" si="8"/>
        <v>3.1734800947127591E-3</v>
      </c>
      <c r="M50" s="8">
        <v>1</v>
      </c>
      <c r="N50" s="8">
        <v>1</v>
      </c>
      <c r="O50" s="60">
        <v>323</v>
      </c>
      <c r="P50" s="5">
        <v>0.14047809241571341</v>
      </c>
      <c r="Q50" s="5">
        <v>0.14047809241571341</v>
      </c>
      <c r="R50" s="80">
        <f t="shared" si="15"/>
        <v>2.4854500294111754E-2</v>
      </c>
      <c r="S50" s="80">
        <f t="shared" si="16"/>
        <v>0</v>
      </c>
      <c r="T50" s="80">
        <f t="shared" si="17"/>
        <v>-6.1538461538461538E-3</v>
      </c>
      <c r="U50" s="81">
        <f t="shared" si="18"/>
        <v>-1.290429386392733E-4</v>
      </c>
      <c r="V50" s="83">
        <f t="shared" si="19"/>
        <v>-1.290429386392733E-4</v>
      </c>
    </row>
    <row r="51" spans="1:22">
      <c r="A51" s="137">
        <v>43</v>
      </c>
      <c r="B51" s="119" t="s">
        <v>85</v>
      </c>
      <c r="C51" s="120" t="s">
        <v>45</v>
      </c>
      <c r="D51" s="9">
        <v>44263664372.730003</v>
      </c>
      <c r="E51" s="3">
        <f t="shared" si="14"/>
        <v>5.0208165684879902E-2</v>
      </c>
      <c r="F51" s="8">
        <v>1</v>
      </c>
      <c r="G51" s="8">
        <v>1</v>
      </c>
      <c r="H51" s="60">
        <v>18694</v>
      </c>
      <c r="I51" s="5">
        <v>0.11700000000000001</v>
      </c>
      <c r="J51" s="5">
        <v>0.11700000000000001</v>
      </c>
      <c r="K51" s="9">
        <v>46385414625.150002</v>
      </c>
      <c r="L51" s="3">
        <f t="shared" si="8"/>
        <v>5.2614861780313646E-2</v>
      </c>
      <c r="M51" s="8">
        <v>1</v>
      </c>
      <c r="N51" s="8">
        <v>1</v>
      </c>
      <c r="O51" s="60">
        <v>18690</v>
      </c>
      <c r="P51" s="5">
        <v>0.1215</v>
      </c>
      <c r="Q51" s="5">
        <v>0.1215</v>
      </c>
      <c r="R51" s="80">
        <f t="shared" si="15"/>
        <v>4.7934356147141942E-2</v>
      </c>
      <c r="S51" s="80">
        <f t="shared" si="16"/>
        <v>0</v>
      </c>
      <c r="T51" s="80">
        <f t="shared" si="17"/>
        <v>-2.1397239756071467E-4</v>
      </c>
      <c r="U51" s="81">
        <f t="shared" si="18"/>
        <v>4.4999999999999901E-3</v>
      </c>
      <c r="V51" s="83">
        <f t="shared" si="19"/>
        <v>4.4999999999999901E-3</v>
      </c>
    </row>
    <row r="52" spans="1:22">
      <c r="A52" s="132">
        <v>44</v>
      </c>
      <c r="B52" s="119" t="s">
        <v>86</v>
      </c>
      <c r="C52" s="120" t="s">
        <v>87</v>
      </c>
      <c r="D52" s="9">
        <v>1809372825.9000001</v>
      </c>
      <c r="E52" s="3">
        <f t="shared" si="14"/>
        <v>2.0523671484477144E-3</v>
      </c>
      <c r="F52" s="8">
        <v>1</v>
      </c>
      <c r="G52" s="8">
        <v>1</v>
      </c>
      <c r="H52" s="60">
        <v>58</v>
      </c>
      <c r="I52" s="5">
        <v>9.2100000000000001E-2</v>
      </c>
      <c r="J52" s="5">
        <v>9.2100000000000001E-2</v>
      </c>
      <c r="K52" s="9">
        <v>1812588251.6700003</v>
      </c>
      <c r="L52" s="3">
        <f t="shared" si="8"/>
        <v>2.0560143979941629E-3</v>
      </c>
      <c r="M52" s="8">
        <v>1</v>
      </c>
      <c r="N52" s="8">
        <v>1</v>
      </c>
      <c r="O52" s="60">
        <v>57</v>
      </c>
      <c r="P52" s="5">
        <v>0.1009</v>
      </c>
      <c r="Q52" s="5">
        <v>0.1009</v>
      </c>
      <c r="R52" s="80">
        <f t="shared" si="15"/>
        <v>1.7770940980064926E-3</v>
      </c>
      <c r="S52" s="80">
        <f t="shared" si="16"/>
        <v>0</v>
      </c>
      <c r="T52" s="80">
        <f t="shared" si="17"/>
        <v>-1.7241379310344827E-2</v>
      </c>
      <c r="U52" s="81">
        <f t="shared" si="18"/>
        <v>8.8000000000000023E-3</v>
      </c>
      <c r="V52" s="83">
        <f t="shared" si="19"/>
        <v>8.8000000000000023E-3</v>
      </c>
    </row>
    <row r="53" spans="1:22">
      <c r="A53" s="141">
        <v>45</v>
      </c>
      <c r="B53" s="119" t="s">
        <v>88</v>
      </c>
      <c r="C53" s="120" t="s">
        <v>89</v>
      </c>
      <c r="D53" s="9">
        <v>913166968.17999995</v>
      </c>
      <c r="E53" s="3">
        <f t="shared" si="14"/>
        <v>1.0358030471735466E-3</v>
      </c>
      <c r="F53" s="8">
        <v>1</v>
      </c>
      <c r="G53" s="8">
        <v>1</v>
      </c>
      <c r="H53" s="60">
        <v>210</v>
      </c>
      <c r="I53" s="5">
        <v>0.1114</v>
      </c>
      <c r="J53" s="5">
        <v>0.1114</v>
      </c>
      <c r="K53" s="9">
        <v>1032879371.1900001</v>
      </c>
      <c r="L53" s="3">
        <f t="shared" si="8"/>
        <v>1.1715925316194882E-3</v>
      </c>
      <c r="M53" s="8">
        <v>1</v>
      </c>
      <c r="N53" s="8">
        <v>1</v>
      </c>
      <c r="O53" s="60">
        <v>268</v>
      </c>
      <c r="P53" s="5">
        <v>0.1052</v>
      </c>
      <c r="Q53" s="5">
        <v>0.1052</v>
      </c>
      <c r="R53" s="80">
        <f t="shared" si="15"/>
        <v>0.13109585342163063</v>
      </c>
      <c r="S53" s="80">
        <f t="shared" si="16"/>
        <v>0</v>
      </c>
      <c r="T53" s="80">
        <f t="shared" si="17"/>
        <v>0.27619047619047621</v>
      </c>
      <c r="U53" s="81">
        <f t="shared" si="18"/>
        <v>-6.1999999999999972E-3</v>
      </c>
      <c r="V53" s="83">
        <f t="shared" si="19"/>
        <v>-6.1999999999999972E-3</v>
      </c>
    </row>
    <row r="54" spans="1:22">
      <c r="A54" s="142">
        <v>46</v>
      </c>
      <c r="B54" s="119" t="s">
        <v>90</v>
      </c>
      <c r="C54" s="120" t="s">
        <v>91</v>
      </c>
      <c r="D54" s="9">
        <v>27185268568.599998</v>
      </c>
      <c r="E54" s="3">
        <f t="shared" si="14"/>
        <v>3.0836183307975946E-2</v>
      </c>
      <c r="F54" s="8">
        <v>1</v>
      </c>
      <c r="G54" s="8">
        <v>1</v>
      </c>
      <c r="H54" s="60">
        <v>3071</v>
      </c>
      <c r="I54" s="5">
        <v>0.1191</v>
      </c>
      <c r="J54" s="5">
        <v>0.1191</v>
      </c>
      <c r="K54" s="9">
        <v>27615766787.220001</v>
      </c>
      <c r="L54" s="3">
        <f t="shared" si="8"/>
        <v>3.1324496379065356E-2</v>
      </c>
      <c r="M54" s="8">
        <v>1</v>
      </c>
      <c r="N54" s="8">
        <v>1</v>
      </c>
      <c r="O54" s="60">
        <v>3079</v>
      </c>
      <c r="P54" s="5">
        <v>0.1203</v>
      </c>
      <c r="Q54" s="5">
        <v>0.1203</v>
      </c>
      <c r="R54" s="80">
        <f t="shared" si="15"/>
        <v>1.5835716963166008E-2</v>
      </c>
      <c r="S54" s="80">
        <f t="shared" si="16"/>
        <v>0</v>
      </c>
      <c r="T54" s="80">
        <f t="shared" si="17"/>
        <v>2.6050146532074245E-3</v>
      </c>
      <c r="U54" s="81">
        <f t="shared" si="18"/>
        <v>1.2000000000000066E-3</v>
      </c>
      <c r="V54" s="83">
        <f t="shared" si="19"/>
        <v>1.2000000000000066E-3</v>
      </c>
    </row>
    <row r="55" spans="1:22">
      <c r="A55" s="75"/>
      <c r="B55" s="19"/>
      <c r="C55" s="71" t="s">
        <v>46</v>
      </c>
      <c r="D55" s="59">
        <f>SUM(D25:D54)</f>
        <v>864670150184.58435</v>
      </c>
      <c r="E55" s="104">
        <f>(D55/$D$178)</f>
        <v>0.41139862686272988</v>
      </c>
      <c r="F55" s="30"/>
      <c r="G55" s="11"/>
      <c r="H55" s="65">
        <f>SUM(H25:H54)</f>
        <v>288115</v>
      </c>
      <c r="I55" s="32"/>
      <c r="J55" s="32"/>
      <c r="K55" s="59">
        <f>SUM(K25:K54)</f>
        <v>881602898033.37561</v>
      </c>
      <c r="L55" s="104">
        <f>(K55/$K$178)</f>
        <v>0.41311362404300062</v>
      </c>
      <c r="M55" s="30"/>
      <c r="N55" s="11"/>
      <c r="O55" s="65">
        <f>SUM(O25:O54)</f>
        <v>289229</v>
      </c>
      <c r="P55" s="32"/>
      <c r="Q55" s="32"/>
      <c r="R55" s="80">
        <f t="shared" si="15"/>
        <v>1.9582898571410802E-2</v>
      </c>
      <c r="S55" s="80" t="e">
        <f t="shared" si="16"/>
        <v>#DIV/0!</v>
      </c>
      <c r="T55" s="80">
        <f t="shared" si="17"/>
        <v>3.866511635978689E-3</v>
      </c>
      <c r="U55" s="81">
        <f t="shared" si="18"/>
        <v>0</v>
      </c>
      <c r="V55" s="83">
        <f t="shared" si="19"/>
        <v>0</v>
      </c>
    </row>
    <row r="56" spans="1:22" ht="9" customHeight="1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</row>
    <row r="57" spans="1:22" ht="15" customHeight="1">
      <c r="A57" s="149" t="s">
        <v>92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>
      <c r="A58" s="146">
        <v>47</v>
      </c>
      <c r="B58" s="119" t="s">
        <v>93</v>
      </c>
      <c r="C58" s="120" t="s">
        <v>19</v>
      </c>
      <c r="D58" s="2">
        <v>469630378.38</v>
      </c>
      <c r="E58" s="3">
        <f>(D58/$D$90)</f>
        <v>1.6360128588048832E-3</v>
      </c>
      <c r="F58" s="14">
        <v>1.2737000000000001</v>
      </c>
      <c r="G58" s="14">
        <v>1.2737000000000001</v>
      </c>
      <c r="H58" s="60">
        <v>396</v>
      </c>
      <c r="I58" s="5">
        <v>3.1399999999999999E-4</v>
      </c>
      <c r="J58" s="5">
        <v>3.4500000000000003E-2</v>
      </c>
      <c r="K58" s="2">
        <v>469630378.38</v>
      </c>
      <c r="L58" s="3">
        <f t="shared" ref="L58:L77" si="20">(K58/$K$90)</f>
        <v>1.6325010615579761E-3</v>
      </c>
      <c r="M58" s="14">
        <v>1.2737000000000001</v>
      </c>
      <c r="N58" s="14">
        <v>1.2737000000000001</v>
      </c>
      <c r="O58" s="60">
        <v>396</v>
      </c>
      <c r="P58" s="5">
        <v>3.1399999999999999E-4</v>
      </c>
      <c r="Q58" s="5">
        <v>3.4500000000000003E-2</v>
      </c>
      <c r="R58" s="80">
        <f t="shared" ref="R58" si="21">((K58-D58)/D58)</f>
        <v>0</v>
      </c>
      <c r="S58" s="80">
        <f t="shared" ref="S58" si="22">((N58-G58)/G58)</f>
        <v>0</v>
      </c>
      <c r="T58" s="80">
        <f t="shared" ref="T58" si="23">((O58-H58)/H58)</f>
        <v>0</v>
      </c>
      <c r="U58" s="81">
        <f t="shared" ref="U58" si="24">P58-I58</f>
        <v>0</v>
      </c>
      <c r="V58" s="83">
        <f t="shared" ref="V58" si="25">Q58-J58</f>
        <v>0</v>
      </c>
    </row>
    <row r="59" spans="1:22">
      <c r="A59" s="141">
        <v>48</v>
      </c>
      <c r="B59" s="119" t="s">
        <v>94</v>
      </c>
      <c r="C59" s="120" t="s">
        <v>21</v>
      </c>
      <c r="D59" s="2">
        <v>1339922308.0999999</v>
      </c>
      <c r="E59" s="3">
        <f>(D59/$D$90)</f>
        <v>4.667777526259945E-3</v>
      </c>
      <c r="F59" s="14">
        <v>1.157</v>
      </c>
      <c r="G59" s="14">
        <v>1.157</v>
      </c>
      <c r="H59" s="60">
        <v>565</v>
      </c>
      <c r="I59" s="5">
        <v>-4.4999999999999998E-2</v>
      </c>
      <c r="J59" s="5">
        <v>4.5699999999999998E-2</v>
      </c>
      <c r="K59" s="2">
        <v>1342570610.4300001</v>
      </c>
      <c r="L59" s="3">
        <f t="shared" si="20"/>
        <v>4.6669637392367938E-3</v>
      </c>
      <c r="M59" s="14">
        <v>1.1592</v>
      </c>
      <c r="N59" s="14">
        <v>1.1592</v>
      </c>
      <c r="O59" s="60">
        <v>563</v>
      </c>
      <c r="P59" s="5">
        <v>9.9099999999999994E-2</v>
      </c>
      <c r="Q59" s="5">
        <v>4.6800000000000001E-2</v>
      </c>
      <c r="R59" s="80">
        <f t="shared" ref="R59:R90" si="26">((K59-D59)/D59)</f>
        <v>1.9764596155992325E-3</v>
      </c>
      <c r="S59" s="80">
        <f t="shared" ref="S59:S90" si="27">((N59-G59)/G59)</f>
        <v>1.9014693171996368E-3</v>
      </c>
      <c r="T59" s="80">
        <f t="shared" ref="T59:T90" si="28">((O59-H59)/H59)</f>
        <v>-3.5398230088495575E-3</v>
      </c>
      <c r="U59" s="81">
        <f t="shared" ref="U59:U90" si="29">P59-I59</f>
        <v>0.14410000000000001</v>
      </c>
      <c r="V59" s="83">
        <f t="shared" ref="V59:V90" si="30">Q59-J59</f>
        <v>1.1000000000000038E-3</v>
      </c>
    </row>
    <row r="60" spans="1:22">
      <c r="A60" s="141">
        <v>49</v>
      </c>
      <c r="B60" s="119" t="s">
        <v>95</v>
      </c>
      <c r="C60" s="120" t="s">
        <v>21</v>
      </c>
      <c r="D60" s="2">
        <v>1017278183.87</v>
      </c>
      <c r="E60" s="3">
        <f>(D60/$D$90)</f>
        <v>3.5438086342156321E-3</v>
      </c>
      <c r="F60" s="14">
        <v>1.0678000000000001</v>
      </c>
      <c r="G60" s="14">
        <v>1.0678000000000001</v>
      </c>
      <c r="H60" s="60">
        <v>146</v>
      </c>
      <c r="I60" s="5">
        <v>0.1764</v>
      </c>
      <c r="J60" s="5">
        <v>3.2099999999999997E-2</v>
      </c>
      <c r="K60" s="2">
        <v>980561735.39999998</v>
      </c>
      <c r="L60" s="3">
        <f t="shared" si="20"/>
        <v>3.4085701173878803E-3</v>
      </c>
      <c r="M60" s="14">
        <v>1.0691999999999999</v>
      </c>
      <c r="N60" s="14">
        <v>1.0691999999999999</v>
      </c>
      <c r="O60" s="60">
        <v>145</v>
      </c>
      <c r="P60" s="5">
        <v>6.8400000000000002E-2</v>
      </c>
      <c r="Q60" s="5">
        <v>3.2800000000000003E-2</v>
      </c>
      <c r="R60" s="80">
        <f t="shared" si="26"/>
        <v>-3.609282991828329E-2</v>
      </c>
      <c r="S60" s="80">
        <f t="shared" si="27"/>
        <v>1.3111069488666845E-3</v>
      </c>
      <c r="T60" s="80">
        <f t="shared" si="28"/>
        <v>-6.8493150684931503E-3</v>
      </c>
      <c r="U60" s="81">
        <f t="shared" si="29"/>
        <v>-0.108</v>
      </c>
      <c r="V60" s="83">
        <f t="shared" si="30"/>
        <v>7.0000000000000617E-4</v>
      </c>
    </row>
    <row r="61" spans="1:22">
      <c r="A61" s="143">
        <v>50</v>
      </c>
      <c r="B61" s="119" t="s">
        <v>96</v>
      </c>
      <c r="C61" s="120" t="s">
        <v>97</v>
      </c>
      <c r="D61" s="2">
        <v>274601522.81999999</v>
      </c>
      <c r="E61" s="3">
        <f>(D61/$D$90)</f>
        <v>9.5660681902781848E-4</v>
      </c>
      <c r="F61" s="7">
        <v>1160.27</v>
      </c>
      <c r="G61" s="7">
        <v>1160.27</v>
      </c>
      <c r="H61" s="60">
        <v>118</v>
      </c>
      <c r="I61" s="5">
        <v>9.1000000000000004E-3</v>
      </c>
      <c r="J61" s="5">
        <v>8.1699999999999995E-2</v>
      </c>
      <c r="K61" s="2">
        <v>274601522.81999999</v>
      </c>
      <c r="L61" s="3">
        <f t="shared" si="20"/>
        <v>9.5455340656510192E-4</v>
      </c>
      <c r="M61" s="7">
        <v>1160.27</v>
      </c>
      <c r="N61" s="7">
        <v>1160.27</v>
      </c>
      <c r="O61" s="60">
        <v>118</v>
      </c>
      <c r="P61" s="5">
        <v>9.1000000000000004E-3</v>
      </c>
      <c r="Q61" s="5">
        <v>8.1699999999999995E-2</v>
      </c>
      <c r="R61" s="80">
        <f t="shared" si="26"/>
        <v>0</v>
      </c>
      <c r="S61" s="80">
        <f t="shared" si="27"/>
        <v>0</v>
      </c>
      <c r="T61" s="80">
        <f t="shared" si="28"/>
        <v>0</v>
      </c>
      <c r="U61" s="81">
        <f t="shared" si="29"/>
        <v>0</v>
      </c>
      <c r="V61" s="83">
        <f t="shared" si="30"/>
        <v>0</v>
      </c>
    </row>
    <row r="62" spans="1:22" ht="15" customHeight="1">
      <c r="A62" s="144">
        <v>51</v>
      </c>
      <c r="B62" s="119" t="s">
        <v>98</v>
      </c>
      <c r="C62" s="120" t="s">
        <v>99</v>
      </c>
      <c r="D62" s="2">
        <v>1425865556.3499999</v>
      </c>
      <c r="E62" s="3">
        <f>(D62/$K$90)</f>
        <v>4.9565086534859035E-3</v>
      </c>
      <c r="F62" s="7">
        <v>1.0491999999999999</v>
      </c>
      <c r="G62" s="7">
        <v>1.0491999999999999</v>
      </c>
      <c r="H62" s="60">
        <v>795</v>
      </c>
      <c r="I62" s="5">
        <v>1.4E-3</v>
      </c>
      <c r="J62" s="5">
        <v>8.0199999999999994E-2</v>
      </c>
      <c r="K62" s="2">
        <v>1425865556.3499999</v>
      </c>
      <c r="L62" s="3">
        <f t="shared" si="20"/>
        <v>4.9565086534859035E-3</v>
      </c>
      <c r="M62" s="7">
        <v>1.0491999999999999</v>
      </c>
      <c r="N62" s="7">
        <v>1.0491999999999999</v>
      </c>
      <c r="O62" s="60">
        <v>795</v>
      </c>
      <c r="P62" s="5">
        <v>1.4E-3</v>
      </c>
      <c r="Q62" s="5">
        <v>8.0199999999999994E-2</v>
      </c>
      <c r="R62" s="80">
        <f t="shared" si="26"/>
        <v>0</v>
      </c>
      <c r="S62" s="80">
        <f t="shared" si="27"/>
        <v>0</v>
      </c>
      <c r="T62" s="80">
        <f t="shared" si="28"/>
        <v>0</v>
      </c>
      <c r="U62" s="81">
        <f t="shared" si="29"/>
        <v>0</v>
      </c>
      <c r="V62" s="83">
        <v>7.87</v>
      </c>
    </row>
    <row r="63" spans="1:22">
      <c r="A63" s="136">
        <v>52</v>
      </c>
      <c r="B63" s="119" t="s">
        <v>100</v>
      </c>
      <c r="C63" s="120" t="s">
        <v>101</v>
      </c>
      <c r="D63" s="2">
        <v>413158855.03430551</v>
      </c>
      <c r="E63" s="3">
        <f t="shared" ref="E63:E77" si="31">(D63/$D$90)</f>
        <v>1.4392876412656107E-3</v>
      </c>
      <c r="F63" s="7">
        <v>2.2238000000000002</v>
      </c>
      <c r="G63" s="7">
        <v>2.2238000000000002</v>
      </c>
      <c r="H63" s="60">
        <v>1399</v>
      </c>
      <c r="I63" s="5">
        <v>0.105728318453055</v>
      </c>
      <c r="J63" s="5">
        <v>9.4913364537727404E-2</v>
      </c>
      <c r="K63" s="2">
        <v>394978771.92262042</v>
      </c>
      <c r="L63" s="3">
        <f t="shared" si="20"/>
        <v>1.3730016075212301E-3</v>
      </c>
      <c r="M63" s="7">
        <v>2.2351999999999999</v>
      </c>
      <c r="N63" s="7">
        <v>2.2351999999999999</v>
      </c>
      <c r="O63" s="60">
        <v>1398</v>
      </c>
      <c r="P63" s="5">
        <v>8.8800000000000004E-2</v>
      </c>
      <c r="Q63" s="5">
        <v>9.4899999999999998E-2</v>
      </c>
      <c r="R63" s="80">
        <f t="shared" si="26"/>
        <v>-4.4002646657967825E-2</v>
      </c>
      <c r="S63" s="80">
        <f t="shared" si="27"/>
        <v>5.1263602841980539E-3</v>
      </c>
      <c r="T63" s="80">
        <f t="shared" si="28"/>
        <v>-7.1479628305932811E-4</v>
      </c>
      <c r="U63" s="81">
        <f t="shared" si="29"/>
        <v>-1.6928318453054994E-2</v>
      </c>
      <c r="V63" s="83">
        <f t="shared" si="30"/>
        <v>-1.3364537727406089E-5</v>
      </c>
    </row>
    <row r="64" spans="1:22">
      <c r="A64" s="132">
        <v>53</v>
      </c>
      <c r="B64" s="119" t="s">
        <v>102</v>
      </c>
      <c r="C64" s="120" t="s">
        <v>56</v>
      </c>
      <c r="D64" s="2">
        <v>2580424658.0778699</v>
      </c>
      <c r="E64" s="3">
        <f t="shared" si="31"/>
        <v>8.9892138927535215E-3</v>
      </c>
      <c r="F64" s="2">
        <v>3991.3181506419501</v>
      </c>
      <c r="G64" s="2">
        <v>3991.3181506419501</v>
      </c>
      <c r="H64" s="60">
        <v>1046</v>
      </c>
      <c r="I64" s="5">
        <v>7.5978691372167909E-2</v>
      </c>
      <c r="J64" s="5">
        <v>7.7117620876889698E-2</v>
      </c>
      <c r="K64" s="2">
        <v>2585838639.10814</v>
      </c>
      <c r="L64" s="3">
        <f t="shared" si="20"/>
        <v>8.9887377769799007E-3</v>
      </c>
      <c r="M64" s="2">
        <v>3997.0857922366299</v>
      </c>
      <c r="N64" s="2">
        <v>3997.0857922366299</v>
      </c>
      <c r="O64" s="60">
        <v>1059</v>
      </c>
      <c r="P64" s="5">
        <v>7.5348869814906044E-2</v>
      </c>
      <c r="Q64" s="5">
        <v>7.7192802349184853E-2</v>
      </c>
      <c r="R64" s="80">
        <f t="shared" si="26"/>
        <v>2.0980969211102313E-3</v>
      </c>
      <c r="S64" s="80">
        <f t="shared" si="27"/>
        <v>1.4450468183680612E-3</v>
      </c>
      <c r="T64" s="80">
        <f t="shared" si="28"/>
        <v>1.24282982791587E-2</v>
      </c>
      <c r="U64" s="81">
        <f t="shared" si="29"/>
        <v>-6.2982155726186428E-4</v>
      </c>
      <c r="V64" s="83">
        <f t="shared" si="30"/>
        <v>7.5181472295154927E-5</v>
      </c>
    </row>
    <row r="65" spans="1:22">
      <c r="A65" s="135">
        <v>54</v>
      </c>
      <c r="B65" s="119" t="s">
        <v>103</v>
      </c>
      <c r="C65" s="120" t="s">
        <v>58</v>
      </c>
      <c r="D65" s="2">
        <v>338379564.75</v>
      </c>
      <c r="E65" s="3">
        <f t="shared" si="31"/>
        <v>1.1787851565255032E-3</v>
      </c>
      <c r="F65" s="14">
        <v>107.49</v>
      </c>
      <c r="G65" s="14">
        <v>107.49</v>
      </c>
      <c r="H65" s="60">
        <v>122</v>
      </c>
      <c r="I65" s="5">
        <v>2.0999999999999999E-3</v>
      </c>
      <c r="J65" s="5">
        <v>0.10349999999999999</v>
      </c>
      <c r="K65" s="2">
        <v>344789391.41000003</v>
      </c>
      <c r="L65" s="3">
        <f t="shared" si="20"/>
        <v>1.1985362817294365E-3</v>
      </c>
      <c r="M65" s="14">
        <v>107.69</v>
      </c>
      <c r="N65" s="14">
        <v>107.69</v>
      </c>
      <c r="O65" s="60">
        <v>122</v>
      </c>
      <c r="P65" s="5">
        <v>1.9E-3</v>
      </c>
      <c r="Q65" s="5">
        <v>0.1026</v>
      </c>
      <c r="R65" s="80">
        <f t="shared" si="26"/>
        <v>1.8942712053949547E-2</v>
      </c>
      <c r="S65" s="80">
        <f t="shared" si="27"/>
        <v>1.8606381989022499E-3</v>
      </c>
      <c r="T65" s="80">
        <f t="shared" si="28"/>
        <v>0</v>
      </c>
      <c r="U65" s="81">
        <f t="shared" si="29"/>
        <v>-1.9999999999999987E-4</v>
      </c>
      <c r="V65" s="83">
        <f t="shared" si="30"/>
        <v>-8.9999999999999802E-4</v>
      </c>
    </row>
    <row r="66" spans="1:22">
      <c r="A66" s="133">
        <v>55</v>
      </c>
      <c r="B66" s="119" t="s">
        <v>104</v>
      </c>
      <c r="C66" s="120" t="s">
        <v>105</v>
      </c>
      <c r="D66" s="2">
        <v>333706719.54000002</v>
      </c>
      <c r="E66" s="3">
        <f t="shared" si="31"/>
        <v>1.1625067486483642E-3</v>
      </c>
      <c r="F66" s="14">
        <v>1.4154</v>
      </c>
      <c r="G66" s="14">
        <v>1.4154</v>
      </c>
      <c r="H66" s="60">
        <v>309</v>
      </c>
      <c r="I66" s="5">
        <v>4.2571306939123144E-3</v>
      </c>
      <c r="J66" s="5">
        <v>5.8271230747672154E-2</v>
      </c>
      <c r="K66" s="2">
        <v>330450119.77999997</v>
      </c>
      <c r="L66" s="3">
        <f t="shared" si="20"/>
        <v>1.1486909624409086E-3</v>
      </c>
      <c r="M66" s="14">
        <v>1.4192</v>
      </c>
      <c r="N66" s="14">
        <v>1.4192</v>
      </c>
      <c r="O66" s="60">
        <v>309</v>
      </c>
      <c r="P66" s="5">
        <v>2.6847534265932449E-3</v>
      </c>
      <c r="Q66" s="5">
        <v>6.0995049828741599E-2</v>
      </c>
      <c r="R66" s="80">
        <f t="shared" si="26"/>
        <v>-9.758867800112413E-3</v>
      </c>
      <c r="S66" s="80">
        <f t="shared" si="27"/>
        <v>2.6847534265932072E-3</v>
      </c>
      <c r="T66" s="80">
        <f t="shared" si="28"/>
        <v>0</v>
      </c>
      <c r="U66" s="81">
        <f t="shared" si="29"/>
        <v>-1.5723772673190695E-3</v>
      </c>
      <c r="V66" s="83">
        <f t="shared" si="30"/>
        <v>2.7238190810694451E-3</v>
      </c>
    </row>
    <row r="67" spans="1:22">
      <c r="A67" s="134">
        <v>56</v>
      </c>
      <c r="B67" s="119" t="s">
        <v>106</v>
      </c>
      <c r="C67" s="120" t="s">
        <v>25</v>
      </c>
      <c r="D67" s="2">
        <v>71861519.189999998</v>
      </c>
      <c r="E67" s="3">
        <f t="shared" si="31"/>
        <v>2.5033808471598787E-4</v>
      </c>
      <c r="F67" s="14">
        <v>112.0672</v>
      </c>
      <c r="G67" s="14">
        <v>112.0672</v>
      </c>
      <c r="H67" s="60">
        <v>85</v>
      </c>
      <c r="I67" s="5">
        <v>3.3199999999999999E-4</v>
      </c>
      <c r="J67" s="5">
        <v>0.1004</v>
      </c>
      <c r="K67" s="2">
        <v>72112976.829999998</v>
      </c>
      <c r="L67" s="3">
        <f t="shared" si="20"/>
        <v>2.5067482140566364E-4</v>
      </c>
      <c r="M67" s="14">
        <v>112.30329999999999</v>
      </c>
      <c r="N67" s="14">
        <v>112.30329999999999</v>
      </c>
      <c r="O67" s="60">
        <v>86</v>
      </c>
      <c r="P67" s="5">
        <v>3.3199999999999999E-4</v>
      </c>
      <c r="Q67" s="5">
        <v>0.10780000000000001</v>
      </c>
      <c r="R67" s="80">
        <f t="shared" si="26"/>
        <v>3.4991973845578343E-3</v>
      </c>
      <c r="S67" s="80">
        <f t="shared" si="27"/>
        <v>2.1067716512948777E-3</v>
      </c>
      <c r="T67" s="80">
        <f t="shared" si="28"/>
        <v>1.1764705882352941E-2</v>
      </c>
      <c r="U67" s="81">
        <f t="shared" si="29"/>
        <v>0</v>
      </c>
      <c r="V67" s="83">
        <f t="shared" si="30"/>
        <v>7.4000000000000038E-3</v>
      </c>
    </row>
    <row r="68" spans="1:22">
      <c r="A68" s="142">
        <v>57</v>
      </c>
      <c r="B68" s="119" t="s">
        <v>107</v>
      </c>
      <c r="C68" s="120" t="s">
        <v>108</v>
      </c>
      <c r="D68" s="2">
        <v>1044099772.5900002</v>
      </c>
      <c r="E68" s="3">
        <f t="shared" si="31"/>
        <v>3.6372448045733992E-3</v>
      </c>
      <c r="F68" s="7">
        <v>1000</v>
      </c>
      <c r="G68" s="7">
        <v>1000</v>
      </c>
      <c r="H68" s="60">
        <v>269</v>
      </c>
      <c r="I68" s="5">
        <v>4.6360533434947499E-4</v>
      </c>
      <c r="J68" s="5">
        <v>0.14749999999999999</v>
      </c>
      <c r="K68" s="2">
        <v>1052374203.37</v>
      </c>
      <c r="L68" s="3">
        <f t="shared" si="20"/>
        <v>3.6582003278494016E-3</v>
      </c>
      <c r="M68" s="7">
        <v>1000</v>
      </c>
      <c r="N68" s="7">
        <v>1000</v>
      </c>
      <c r="O68" s="60">
        <v>269</v>
      </c>
      <c r="P68" s="5">
        <v>7.9249426129788194E-5</v>
      </c>
      <c r="Q68" s="5">
        <v>0.14399999999999999</v>
      </c>
      <c r="R68" s="80">
        <f t="shared" si="26"/>
        <v>7.9249426129786912E-3</v>
      </c>
      <c r="S68" s="80">
        <f t="shared" si="27"/>
        <v>0</v>
      </c>
      <c r="T68" s="80">
        <f t="shared" si="28"/>
        <v>0</v>
      </c>
      <c r="U68" s="81">
        <f t="shared" si="29"/>
        <v>-3.8435590821968681E-4</v>
      </c>
      <c r="V68" s="83">
        <f t="shared" si="30"/>
        <v>-3.5000000000000031E-3</v>
      </c>
    </row>
    <row r="69" spans="1:22">
      <c r="A69" s="143">
        <v>58</v>
      </c>
      <c r="B69" s="119" t="s">
        <v>109</v>
      </c>
      <c r="C69" s="120" t="s">
        <v>64</v>
      </c>
      <c r="D69" s="2">
        <v>224642113.18000001</v>
      </c>
      <c r="E69" s="3">
        <f t="shared" si="31"/>
        <v>7.8256731827983745E-4</v>
      </c>
      <c r="F69" s="7">
        <v>1126.32</v>
      </c>
      <c r="G69" s="7">
        <v>1138.32</v>
      </c>
      <c r="H69" s="60">
        <v>79</v>
      </c>
      <c r="I69" s="5">
        <v>2.7000000000000001E-3</v>
      </c>
      <c r="J69" s="5">
        <v>8.4000000000000005E-2</v>
      </c>
      <c r="K69" s="2">
        <v>224285739.69999999</v>
      </c>
      <c r="L69" s="3">
        <f t="shared" si="20"/>
        <v>7.7964868758191661E-4</v>
      </c>
      <c r="M69" s="7">
        <v>1122.3699999999999</v>
      </c>
      <c r="N69" s="7">
        <v>1134.99</v>
      </c>
      <c r="O69" s="60">
        <v>79</v>
      </c>
      <c r="P69" s="5">
        <v>-3.3E-3</v>
      </c>
      <c r="Q69" s="5">
        <v>8.0699999999999994E-2</v>
      </c>
      <c r="R69" s="80">
        <f t="shared" si="26"/>
        <v>-1.5864054827265004E-3</v>
      </c>
      <c r="S69" s="80">
        <f t="shared" si="27"/>
        <v>-2.9253636938645789E-3</v>
      </c>
      <c r="T69" s="80">
        <f t="shared" si="28"/>
        <v>0</v>
      </c>
      <c r="U69" s="81">
        <f t="shared" si="29"/>
        <v>-6.0000000000000001E-3</v>
      </c>
      <c r="V69" s="83">
        <f t="shared" si="30"/>
        <v>-3.3000000000000113E-3</v>
      </c>
    </row>
    <row r="70" spans="1:22">
      <c r="A70" s="132">
        <v>59</v>
      </c>
      <c r="B70" s="119" t="s">
        <v>110</v>
      </c>
      <c r="C70" s="120" t="s">
        <v>67</v>
      </c>
      <c r="D70" s="2">
        <v>753203104.20000005</v>
      </c>
      <c r="E70" s="3">
        <f t="shared" si="31"/>
        <v>2.6238719224544777E-3</v>
      </c>
      <c r="F70" s="15">
        <v>1.1113999999999999</v>
      </c>
      <c r="G70" s="15">
        <v>1.1113999999999999</v>
      </c>
      <c r="H70" s="60">
        <v>37</v>
      </c>
      <c r="I70" s="5">
        <v>1.1710656697593521E-3</v>
      </c>
      <c r="J70" s="5">
        <v>0.1047851485409047</v>
      </c>
      <c r="K70" s="2">
        <v>752826995.57000005</v>
      </c>
      <c r="L70" s="3">
        <f t="shared" si="20"/>
        <v>2.6169322216270528E-3</v>
      </c>
      <c r="M70" s="15">
        <v>1.1048</v>
      </c>
      <c r="N70" s="15">
        <v>1.1048</v>
      </c>
      <c r="O70" s="60">
        <v>37</v>
      </c>
      <c r="P70" s="5">
        <v>-5.9384560014395715E-3</v>
      </c>
      <c r="Q70" s="5">
        <v>9.6547764207972966E-2</v>
      </c>
      <c r="R70" s="80">
        <f t="shared" si="26"/>
        <v>-4.9934556549587202E-4</v>
      </c>
      <c r="S70" s="80">
        <f t="shared" si="27"/>
        <v>-5.9384560014395715E-3</v>
      </c>
      <c r="T70" s="80">
        <f t="shared" si="28"/>
        <v>0</v>
      </c>
      <c r="U70" s="81">
        <f t="shared" si="29"/>
        <v>-7.1095216711989234E-3</v>
      </c>
      <c r="V70" s="83">
        <f t="shared" si="30"/>
        <v>-8.2373843329317381E-3</v>
      </c>
    </row>
    <row r="71" spans="1:22">
      <c r="A71" s="136">
        <v>60</v>
      </c>
      <c r="B71" s="119" t="s">
        <v>111</v>
      </c>
      <c r="C71" s="120" t="s">
        <v>27</v>
      </c>
      <c r="D71" s="2">
        <v>66139039533.849998</v>
      </c>
      <c r="E71" s="3">
        <f t="shared" si="31"/>
        <v>0.23040315134560979</v>
      </c>
      <c r="F71" s="15">
        <v>1542.7</v>
      </c>
      <c r="G71" s="2">
        <v>1542.7</v>
      </c>
      <c r="H71" s="60">
        <v>2054</v>
      </c>
      <c r="I71" s="5">
        <v>2.2000000000000001E-3</v>
      </c>
      <c r="J71" s="5">
        <v>0.1202</v>
      </c>
      <c r="K71" s="2">
        <v>66080572508.739998</v>
      </c>
      <c r="L71" s="3">
        <f t="shared" si="20"/>
        <v>0.22970533793192746</v>
      </c>
      <c r="M71" s="15">
        <v>1546.23</v>
      </c>
      <c r="N71" s="2">
        <v>1546.23</v>
      </c>
      <c r="O71" s="60">
        <v>2466</v>
      </c>
      <c r="P71" s="5">
        <v>2.3E-3</v>
      </c>
      <c r="Q71" s="5">
        <v>0.11990000000000001</v>
      </c>
      <c r="R71" s="80">
        <f t="shared" si="26"/>
        <v>-8.8400172609215399E-4</v>
      </c>
      <c r="S71" s="80">
        <f t="shared" si="27"/>
        <v>2.2881960199649786E-3</v>
      </c>
      <c r="T71" s="80">
        <f t="shared" si="28"/>
        <v>0.20058422590068159</v>
      </c>
      <c r="U71" s="81">
        <f t="shared" si="29"/>
        <v>9.9999999999999829E-5</v>
      </c>
      <c r="V71" s="83">
        <f t="shared" si="30"/>
        <v>-2.9999999999999472E-4</v>
      </c>
    </row>
    <row r="72" spans="1:22">
      <c r="A72" s="136">
        <v>61</v>
      </c>
      <c r="B72" s="119" t="s">
        <v>112</v>
      </c>
      <c r="C72" s="120" t="s">
        <v>72</v>
      </c>
      <c r="D72" s="2">
        <v>25027129.32</v>
      </c>
      <c r="E72" s="3">
        <f t="shared" si="31"/>
        <v>8.7184959217783881E-5</v>
      </c>
      <c r="F72" s="2">
        <v>0.76239999999999997</v>
      </c>
      <c r="G72" s="2">
        <v>0.76239999999999997</v>
      </c>
      <c r="H72" s="60">
        <v>747</v>
      </c>
      <c r="I72" s="5">
        <v>1.6000000000000001E-3</v>
      </c>
      <c r="J72" s="5">
        <v>0.1158</v>
      </c>
      <c r="K72" s="2">
        <v>25073889.440000001</v>
      </c>
      <c r="L72" s="3">
        <f t="shared" si="20"/>
        <v>8.7160356341059334E-5</v>
      </c>
      <c r="M72" s="2">
        <v>0.76380000000000003</v>
      </c>
      <c r="N72" s="2">
        <v>0.76380000000000003</v>
      </c>
      <c r="O72" s="60">
        <v>747</v>
      </c>
      <c r="P72" s="5">
        <v>1.8E-3</v>
      </c>
      <c r="Q72" s="5">
        <v>0.1178</v>
      </c>
      <c r="R72" s="80">
        <f t="shared" si="26"/>
        <v>1.8683772877871973E-3</v>
      </c>
      <c r="S72" s="80">
        <f t="shared" si="27"/>
        <v>1.8363064008395434E-3</v>
      </c>
      <c r="T72" s="80">
        <f t="shared" si="28"/>
        <v>0</v>
      </c>
      <c r="U72" s="81">
        <f t="shared" si="29"/>
        <v>1.9999999999999987E-4</v>
      </c>
      <c r="V72" s="83">
        <f t="shared" si="30"/>
        <v>2.0000000000000018E-3</v>
      </c>
    </row>
    <row r="73" spans="1:22">
      <c r="A73" s="132">
        <v>62</v>
      </c>
      <c r="B73" s="119" t="s">
        <v>252</v>
      </c>
      <c r="C73" s="120" t="s">
        <v>32</v>
      </c>
      <c r="D73" s="2">
        <v>9028961931.9176006</v>
      </c>
      <c r="E73" s="3">
        <f t="shared" si="31"/>
        <v>3.145345467904264E-2</v>
      </c>
      <c r="F73" s="14">
        <v>1</v>
      </c>
      <c r="G73" s="14">
        <v>1</v>
      </c>
      <c r="H73" s="60">
        <v>5519</v>
      </c>
      <c r="I73" s="5">
        <v>0.06</v>
      </c>
      <c r="J73" s="5">
        <v>0.06</v>
      </c>
      <c r="K73" s="2">
        <v>9019984580.5303001</v>
      </c>
      <c r="L73" s="3">
        <f t="shared" si="20"/>
        <v>3.1354731467216741E-2</v>
      </c>
      <c r="M73" s="14">
        <v>1</v>
      </c>
      <c r="N73" s="14">
        <v>1</v>
      </c>
      <c r="O73" s="60">
        <v>5519</v>
      </c>
      <c r="P73" s="5">
        <v>0.06</v>
      </c>
      <c r="Q73" s="5">
        <v>0.06</v>
      </c>
      <c r="R73" s="80">
        <f t="shared" ref="R73" si="32">((K73-D73)/D73)</f>
        <v>-9.9428388944307485E-4</v>
      </c>
      <c r="S73" s="80">
        <f t="shared" ref="S73" si="33">((N73-G73)/G73)</f>
        <v>0</v>
      </c>
      <c r="T73" s="80">
        <f t="shared" ref="T73" si="34">((O73-H73)/H73)</f>
        <v>0</v>
      </c>
      <c r="U73" s="81">
        <f t="shared" ref="U73" si="35">P73-I73</f>
        <v>0</v>
      </c>
      <c r="V73" s="83">
        <f t="shared" ref="V73" si="36">Q73-J73</f>
        <v>0</v>
      </c>
    </row>
    <row r="74" spans="1:22">
      <c r="A74" s="139">
        <v>63</v>
      </c>
      <c r="B74" s="119" t="s">
        <v>113</v>
      </c>
      <c r="C74" s="120" t="s">
        <v>114</v>
      </c>
      <c r="D74" s="2">
        <v>1056090548.9299999</v>
      </c>
      <c r="E74" s="3">
        <f t="shared" si="31"/>
        <v>3.6790160893590269E-3</v>
      </c>
      <c r="F74" s="2">
        <v>213.845437</v>
      </c>
      <c r="G74" s="2">
        <v>216.17504500000001</v>
      </c>
      <c r="H74" s="60">
        <v>488</v>
      </c>
      <c r="I74" s="5">
        <v>1.4E-3</v>
      </c>
      <c r="J74" s="5">
        <v>8.3799999999999999E-2</v>
      </c>
      <c r="K74" s="2">
        <v>1088056763.79</v>
      </c>
      <c r="L74" s="3">
        <f t="shared" si="20"/>
        <v>3.7822379123976955E-3</v>
      </c>
      <c r="M74" s="2">
        <v>214.63644400000001</v>
      </c>
      <c r="N74" s="2">
        <v>216.99315999999999</v>
      </c>
      <c r="O74" s="60">
        <v>488</v>
      </c>
      <c r="P74" s="5">
        <v>2.7000000000000001E-3</v>
      </c>
      <c r="Q74" s="5">
        <v>8.7999999999999995E-2</v>
      </c>
      <c r="R74" s="80">
        <f t="shared" si="26"/>
        <v>3.0268441368391422E-2</v>
      </c>
      <c r="S74" s="80">
        <f t="shared" si="27"/>
        <v>3.7845025081409255E-3</v>
      </c>
      <c r="T74" s="80">
        <f t="shared" si="28"/>
        <v>0</v>
      </c>
      <c r="U74" s="81">
        <f t="shared" si="29"/>
        <v>1.3000000000000002E-3</v>
      </c>
      <c r="V74" s="83">
        <f t="shared" si="30"/>
        <v>4.1999999999999954E-3</v>
      </c>
    </row>
    <row r="75" spans="1:22">
      <c r="A75" s="132">
        <v>64</v>
      </c>
      <c r="B75" s="119" t="s">
        <v>115</v>
      </c>
      <c r="C75" s="120" t="s">
        <v>34</v>
      </c>
      <c r="D75" s="2">
        <v>1219528911</v>
      </c>
      <c r="E75" s="3">
        <f t="shared" si="31"/>
        <v>4.2483729160849434E-3</v>
      </c>
      <c r="F75" s="14">
        <v>3.58</v>
      </c>
      <c r="G75" s="14">
        <v>3.58</v>
      </c>
      <c r="H75" s="61">
        <v>780</v>
      </c>
      <c r="I75" s="12">
        <v>1.15E-2</v>
      </c>
      <c r="J75" s="12">
        <v>1.1999999999999999E-3</v>
      </c>
      <c r="K75" s="2">
        <v>1220576188.55</v>
      </c>
      <c r="L75" s="3">
        <f t="shared" si="20"/>
        <v>4.2428940188957787E-3</v>
      </c>
      <c r="M75" s="14">
        <v>3.58</v>
      </c>
      <c r="N75" s="14">
        <v>3.58</v>
      </c>
      <c r="O75" s="61">
        <v>780</v>
      </c>
      <c r="P75" s="12">
        <v>2E-3</v>
      </c>
      <c r="Q75" s="12">
        <v>1.6000000000000001E-3</v>
      </c>
      <c r="R75" s="80">
        <f t="shared" si="26"/>
        <v>8.5875582001676077E-4</v>
      </c>
      <c r="S75" s="80">
        <f t="shared" si="27"/>
        <v>0</v>
      </c>
      <c r="T75" s="80">
        <f t="shared" si="28"/>
        <v>0</v>
      </c>
      <c r="U75" s="81">
        <f t="shared" si="29"/>
        <v>-9.4999999999999998E-3</v>
      </c>
      <c r="V75" s="83">
        <f t="shared" si="30"/>
        <v>4.0000000000000018E-4</v>
      </c>
    </row>
    <row r="76" spans="1:22">
      <c r="A76" s="146">
        <v>65</v>
      </c>
      <c r="B76" s="120" t="s">
        <v>116</v>
      </c>
      <c r="C76" s="147" t="s">
        <v>40</v>
      </c>
      <c r="D76" s="2">
        <v>1346009660.27</v>
      </c>
      <c r="E76" s="3">
        <f t="shared" si="31"/>
        <v>4.6889835361022978E-3</v>
      </c>
      <c r="F76" s="14">
        <v>101.97</v>
      </c>
      <c r="G76" s="14">
        <v>101.97</v>
      </c>
      <c r="H76" s="60">
        <v>180</v>
      </c>
      <c r="I76" s="5">
        <v>1.9E-3</v>
      </c>
      <c r="J76" s="5">
        <v>0.1032</v>
      </c>
      <c r="K76" s="2">
        <v>1346009660.27</v>
      </c>
      <c r="L76" s="3">
        <f t="shared" si="20"/>
        <v>4.6789183588121222E-3</v>
      </c>
      <c r="M76" s="14">
        <v>101.97</v>
      </c>
      <c r="N76" s="14">
        <v>101.97</v>
      </c>
      <c r="O76" s="60">
        <v>180</v>
      </c>
      <c r="P76" s="5">
        <v>1.9E-3</v>
      </c>
      <c r="Q76" s="5">
        <v>0.1032</v>
      </c>
      <c r="R76" s="80">
        <f t="shared" si="26"/>
        <v>0</v>
      </c>
      <c r="S76" s="80">
        <f t="shared" si="27"/>
        <v>0</v>
      </c>
      <c r="T76" s="80">
        <f t="shared" si="28"/>
        <v>0</v>
      </c>
      <c r="U76" s="81">
        <f t="shared" si="29"/>
        <v>0</v>
      </c>
      <c r="V76" s="83">
        <f t="shared" si="30"/>
        <v>0</v>
      </c>
    </row>
    <row r="77" spans="1:22">
      <c r="A77" s="133">
        <v>66</v>
      </c>
      <c r="B77" s="119" t="s">
        <v>117</v>
      </c>
      <c r="C77" s="120" t="s">
        <v>17</v>
      </c>
      <c r="D77" s="2">
        <v>1205974454.21</v>
      </c>
      <c r="E77" s="3">
        <f t="shared" si="31"/>
        <v>4.2011543658730744E-3</v>
      </c>
      <c r="F77" s="14">
        <v>339.63549999999998</v>
      </c>
      <c r="G77" s="14">
        <v>339.63549999999998</v>
      </c>
      <c r="H77" s="60">
        <v>103</v>
      </c>
      <c r="I77" s="5">
        <v>2.0999999999999999E-3</v>
      </c>
      <c r="J77" s="5">
        <v>0.1323</v>
      </c>
      <c r="K77" s="2">
        <v>1208546421.9400001</v>
      </c>
      <c r="L77" s="3">
        <f t="shared" si="20"/>
        <v>4.2010768629680397E-3</v>
      </c>
      <c r="M77" s="14">
        <v>340.36340000000001</v>
      </c>
      <c r="N77" s="14">
        <v>340.36340000000001</v>
      </c>
      <c r="O77" s="60">
        <v>103</v>
      </c>
      <c r="P77" s="5">
        <v>2.0999999999999999E-3</v>
      </c>
      <c r="Q77" s="5">
        <v>0.1346</v>
      </c>
      <c r="R77" s="80">
        <f t="shared" si="26"/>
        <v>2.1326884006716731E-3</v>
      </c>
      <c r="S77" s="80">
        <f t="shared" si="27"/>
        <v>2.1431799679363134E-3</v>
      </c>
      <c r="T77" s="80">
        <f t="shared" si="28"/>
        <v>0</v>
      </c>
      <c r="U77" s="81">
        <f t="shared" si="29"/>
        <v>0</v>
      </c>
      <c r="V77" s="83">
        <f t="shared" si="30"/>
        <v>2.2999999999999965E-3</v>
      </c>
    </row>
    <row r="78" spans="1:22">
      <c r="A78" s="127">
        <v>67</v>
      </c>
      <c r="B78" s="119" t="s">
        <v>253</v>
      </c>
      <c r="C78" s="120" t="s">
        <v>78</v>
      </c>
      <c r="D78" s="9">
        <v>1139979355.1099999</v>
      </c>
      <c r="E78" s="3">
        <f t="shared" ref="E78" si="37">(D78/$K$55)</f>
        <v>1.2930757800966787E-3</v>
      </c>
      <c r="F78" s="8">
        <v>101.65</v>
      </c>
      <c r="G78" s="8">
        <v>101.65</v>
      </c>
      <c r="H78" s="60">
        <v>205</v>
      </c>
      <c r="I78" s="5">
        <v>2.5999999999999999E-3</v>
      </c>
      <c r="J78" s="5">
        <v>1.6500000000000001E-2</v>
      </c>
      <c r="K78" s="9">
        <v>1171279617.8799999</v>
      </c>
      <c r="L78" s="3">
        <f t="shared" ref="L78" si="38">(K78/$K$55)</f>
        <v>1.3285795912114364E-3</v>
      </c>
      <c r="M78" s="8">
        <v>101.95</v>
      </c>
      <c r="N78" s="8">
        <v>101.95</v>
      </c>
      <c r="O78" s="60">
        <v>213</v>
      </c>
      <c r="P78" s="5">
        <v>3.0000000000000001E-3</v>
      </c>
      <c r="Q78" s="5">
        <v>1.95E-2</v>
      </c>
      <c r="R78" s="80">
        <f t="shared" si="26"/>
        <v>2.7456868082474817E-2</v>
      </c>
      <c r="S78" s="80">
        <f t="shared" si="27"/>
        <v>2.951303492375771E-3</v>
      </c>
      <c r="T78" s="80">
        <f t="shared" si="28"/>
        <v>3.9024390243902439E-2</v>
      </c>
      <c r="U78" s="81">
        <f t="shared" si="29"/>
        <v>4.0000000000000018E-4</v>
      </c>
      <c r="V78" s="83">
        <f t="shared" si="30"/>
        <v>2.9999999999999992E-3</v>
      </c>
    </row>
    <row r="79" spans="1:22">
      <c r="A79" s="136">
        <v>68</v>
      </c>
      <c r="B79" s="119" t="s">
        <v>118</v>
      </c>
      <c r="C79" s="120" t="s">
        <v>38</v>
      </c>
      <c r="D79" s="2">
        <v>55007063.159999996</v>
      </c>
      <c r="E79" s="3">
        <f t="shared" ref="E79:E89" si="39">(D79/$D$90)</f>
        <v>1.9162359761581564E-4</v>
      </c>
      <c r="F79" s="14">
        <v>11.971636</v>
      </c>
      <c r="G79" s="2">
        <v>12.200322</v>
      </c>
      <c r="H79" s="60">
        <v>55</v>
      </c>
      <c r="I79" s="5">
        <v>2.0000000000000001E-4</v>
      </c>
      <c r="J79" s="5">
        <v>8.0100000000000005E-2</v>
      </c>
      <c r="K79" s="2">
        <v>55061531.049999997</v>
      </c>
      <c r="L79" s="3">
        <f t="shared" ref="L79:L89" si="40">(K79/$K$90)</f>
        <v>1.9140160438556607E-4</v>
      </c>
      <c r="M79" s="14">
        <v>11.991159</v>
      </c>
      <c r="N79" s="2">
        <v>12.226379</v>
      </c>
      <c r="O79" s="60">
        <v>55</v>
      </c>
      <c r="P79" s="5">
        <v>3.5299999999999998E-2</v>
      </c>
      <c r="Q79" s="5">
        <v>4.7500000000000001E-2</v>
      </c>
      <c r="R79" s="80">
        <f t="shared" si="26"/>
        <v>9.9019811040572912E-4</v>
      </c>
      <c r="S79" s="80">
        <f t="shared" si="27"/>
        <v>2.1357633019849619E-3</v>
      </c>
      <c r="T79" s="80">
        <f t="shared" si="28"/>
        <v>0</v>
      </c>
      <c r="U79" s="81">
        <f t="shared" si="29"/>
        <v>3.5099999999999999E-2</v>
      </c>
      <c r="V79" s="83">
        <f t="shared" si="30"/>
        <v>-3.2600000000000004E-2</v>
      </c>
    </row>
    <row r="80" spans="1:22">
      <c r="A80" s="142">
        <v>69</v>
      </c>
      <c r="B80" s="119" t="s">
        <v>236</v>
      </c>
      <c r="C80" s="120" t="s">
        <v>237</v>
      </c>
      <c r="D80" s="2">
        <v>187051733.46000001</v>
      </c>
      <c r="E80" s="3">
        <f t="shared" si="39"/>
        <v>6.516167933129089E-4</v>
      </c>
      <c r="F80" s="2">
        <v>111.46</v>
      </c>
      <c r="G80" s="2">
        <v>111.46</v>
      </c>
      <c r="H80" s="60">
        <v>72</v>
      </c>
      <c r="I80" s="5">
        <v>0.1149</v>
      </c>
      <c r="J80" s="5">
        <v>0.1104</v>
      </c>
      <c r="K80" s="2">
        <v>304702197.88999999</v>
      </c>
      <c r="L80" s="3">
        <f t="shared" si="40"/>
        <v>1.0591875747696675E-3</v>
      </c>
      <c r="M80" s="2">
        <v>111.76</v>
      </c>
      <c r="N80" s="2">
        <v>111.76</v>
      </c>
      <c r="O80" s="60">
        <v>73</v>
      </c>
      <c r="P80" s="5">
        <v>0.19670000000000001</v>
      </c>
      <c r="Q80" s="5">
        <v>0.1113</v>
      </c>
      <c r="R80" s="80">
        <f t="shared" ref="R80" si="41">((K80-D80)/D80)</f>
        <v>0.62897286356963322</v>
      </c>
      <c r="S80" s="80">
        <f t="shared" ref="S80" si="42">((N80-G80)/G80)</f>
        <v>2.6915485375920635E-3</v>
      </c>
      <c r="T80" s="80">
        <f t="shared" ref="T80" si="43">((O80-H80)/H80)</f>
        <v>1.3888888888888888E-2</v>
      </c>
      <c r="U80" s="81">
        <f t="shared" si="29"/>
        <v>8.1800000000000012E-2</v>
      </c>
      <c r="V80" s="83">
        <f t="shared" si="30"/>
        <v>8.9999999999999802E-4</v>
      </c>
    </row>
    <row r="81" spans="1:29">
      <c r="A81" s="136">
        <v>70</v>
      </c>
      <c r="B81" s="119" t="s">
        <v>119</v>
      </c>
      <c r="C81" s="120" t="s">
        <v>120</v>
      </c>
      <c r="D81" s="2">
        <v>6911279346.7299995</v>
      </c>
      <c r="E81" s="3">
        <f t="shared" si="39"/>
        <v>2.4076257419816897E-2</v>
      </c>
      <c r="F81" s="14">
        <v>1.1100000000000001</v>
      </c>
      <c r="G81" s="14">
        <v>1.1100000000000001</v>
      </c>
      <c r="H81" s="60">
        <v>3706</v>
      </c>
      <c r="I81" s="5">
        <v>0</v>
      </c>
      <c r="J81" s="5">
        <v>0.11020000000000001</v>
      </c>
      <c r="K81" s="2">
        <v>6891291091.6999998</v>
      </c>
      <c r="L81" s="3">
        <f t="shared" si="40"/>
        <v>2.3955094347841224E-2</v>
      </c>
      <c r="M81" s="14">
        <v>1.1100000000000001</v>
      </c>
      <c r="N81" s="14">
        <v>1.1100000000000001</v>
      </c>
      <c r="O81" s="60">
        <v>3706</v>
      </c>
      <c r="P81" s="5">
        <v>0</v>
      </c>
      <c r="Q81" s="5">
        <v>0.1103</v>
      </c>
      <c r="R81" s="80">
        <f t="shared" si="26"/>
        <v>-2.8921208400376655E-3</v>
      </c>
      <c r="S81" s="80">
        <f t="shared" si="27"/>
        <v>0</v>
      </c>
      <c r="T81" s="80">
        <f t="shared" si="28"/>
        <v>0</v>
      </c>
      <c r="U81" s="81">
        <f t="shared" si="29"/>
        <v>0</v>
      </c>
      <c r="V81" s="83">
        <f t="shared" si="30"/>
        <v>9.9999999999988987E-5</v>
      </c>
    </row>
    <row r="82" spans="1:29" ht="14.25" customHeight="1">
      <c r="A82" s="139">
        <v>71</v>
      </c>
      <c r="B82" s="119" t="s">
        <v>121</v>
      </c>
      <c r="C82" s="120" t="s">
        <v>42</v>
      </c>
      <c r="D82" s="2">
        <v>22104788589.150002</v>
      </c>
      <c r="E82" s="3">
        <f t="shared" si="39"/>
        <v>7.7004640325356241E-2</v>
      </c>
      <c r="F82" s="2">
        <v>4998.8599999999997</v>
      </c>
      <c r="G82" s="2">
        <v>4998.8599999999997</v>
      </c>
      <c r="H82" s="60">
        <v>1136</v>
      </c>
      <c r="I82" s="5">
        <v>2E-3</v>
      </c>
      <c r="J82" s="5">
        <v>9.3399999999999997E-2</v>
      </c>
      <c r="K82" s="2">
        <v>22074860099.759998</v>
      </c>
      <c r="L82" s="3">
        <f t="shared" si="40"/>
        <v>7.6735309736378654E-2</v>
      </c>
      <c r="M82" s="2">
        <v>5008.8599999999997</v>
      </c>
      <c r="N82" s="2">
        <v>5008.8599999999997</v>
      </c>
      <c r="O82" s="60">
        <v>1136</v>
      </c>
      <c r="P82" s="5">
        <v>2E-3</v>
      </c>
      <c r="Q82" s="5">
        <v>9.5600000000000004E-2</v>
      </c>
      <c r="R82" s="80">
        <f t="shared" si="26"/>
        <v>-1.3539369204686E-3</v>
      </c>
      <c r="S82" s="80">
        <f t="shared" si="27"/>
        <v>2.0004561039917101E-3</v>
      </c>
      <c r="T82" s="80">
        <f t="shared" si="28"/>
        <v>0</v>
      </c>
      <c r="U82" s="81">
        <f t="shared" si="29"/>
        <v>0</v>
      </c>
      <c r="V82" s="83">
        <f t="shared" si="30"/>
        <v>2.2000000000000075E-3</v>
      </c>
    </row>
    <row r="83" spans="1:29">
      <c r="A83" s="139">
        <v>72</v>
      </c>
      <c r="B83" s="119" t="s">
        <v>122</v>
      </c>
      <c r="C83" s="120" t="s">
        <v>42</v>
      </c>
      <c r="D83" s="2">
        <v>35644360598.82</v>
      </c>
      <c r="E83" s="3">
        <f t="shared" si="39"/>
        <v>0.12417133764792902</v>
      </c>
      <c r="F83" s="14">
        <v>255.48</v>
      </c>
      <c r="G83" s="14">
        <v>255.48</v>
      </c>
      <c r="H83" s="60">
        <v>11780</v>
      </c>
      <c r="I83" s="5">
        <v>1E-4</v>
      </c>
      <c r="J83" s="5">
        <v>4.2500000000000003E-2</v>
      </c>
      <c r="K83" s="2">
        <v>35844813460.080002</v>
      </c>
      <c r="L83" s="3">
        <f t="shared" si="40"/>
        <v>0.12460159887182516</v>
      </c>
      <c r="M83" s="14">
        <v>255.72</v>
      </c>
      <c r="N83" s="14">
        <v>255.72</v>
      </c>
      <c r="O83" s="60">
        <v>11783</v>
      </c>
      <c r="P83" s="5">
        <v>8.9999999999999998E-4</v>
      </c>
      <c r="Q83" s="5">
        <v>4.3499999999999997E-2</v>
      </c>
      <c r="R83" s="80">
        <f t="shared" si="26"/>
        <v>5.6236907575959744E-3</v>
      </c>
      <c r="S83" s="80">
        <f t="shared" si="27"/>
        <v>9.3940817285113941E-4</v>
      </c>
      <c r="T83" s="80">
        <f t="shared" si="28"/>
        <v>2.5466893039049235E-4</v>
      </c>
      <c r="U83" s="81">
        <f t="shared" si="29"/>
        <v>7.9999999999999993E-4</v>
      </c>
      <c r="V83" s="83">
        <f t="shared" si="30"/>
        <v>9.9999999999999395E-4</v>
      </c>
    </row>
    <row r="84" spans="1:29" ht="12.75" customHeight="1">
      <c r="A84" s="139">
        <v>73</v>
      </c>
      <c r="B84" s="119" t="s">
        <v>123</v>
      </c>
      <c r="C84" s="120" t="s">
        <v>42</v>
      </c>
      <c r="D84" s="2">
        <v>298025783.5</v>
      </c>
      <c r="E84" s="3">
        <f t="shared" si="39"/>
        <v>1.0382079961336768E-3</v>
      </c>
      <c r="F84" s="2">
        <v>5271.22</v>
      </c>
      <c r="G84" s="7">
        <v>5296.69</v>
      </c>
      <c r="H84" s="60">
        <v>1132</v>
      </c>
      <c r="I84" s="5">
        <v>1.0999999999999999E-2</v>
      </c>
      <c r="J84" s="5">
        <v>0.2437</v>
      </c>
      <c r="K84" s="2">
        <v>298579979.19999999</v>
      </c>
      <c r="L84" s="3">
        <f t="shared" si="40"/>
        <v>1.0379058839536019E-3</v>
      </c>
      <c r="M84" s="2">
        <v>5281.04</v>
      </c>
      <c r="N84" s="7">
        <v>5306.53</v>
      </c>
      <c r="O84" s="60">
        <v>1132</v>
      </c>
      <c r="P84" s="5">
        <v>1.9E-3</v>
      </c>
      <c r="Q84" s="5">
        <v>0.246</v>
      </c>
      <c r="R84" s="80">
        <f t="shared" si="26"/>
        <v>1.8595562219199337E-3</v>
      </c>
      <c r="S84" s="80">
        <f t="shared" si="27"/>
        <v>1.8577639997810228E-3</v>
      </c>
      <c r="T84" s="80">
        <f t="shared" si="28"/>
        <v>0</v>
      </c>
      <c r="U84" s="81">
        <f t="shared" si="29"/>
        <v>-9.0999999999999987E-3</v>
      </c>
      <c r="V84" s="83">
        <f t="shared" si="30"/>
        <v>2.2999999999999965E-3</v>
      </c>
    </row>
    <row r="85" spans="1:29" ht="12.75" customHeight="1">
      <c r="A85" s="139">
        <v>74</v>
      </c>
      <c r="B85" s="119" t="s">
        <v>124</v>
      </c>
      <c r="C85" s="120" t="s">
        <v>42</v>
      </c>
      <c r="D85" s="2">
        <v>17781800568.869999</v>
      </c>
      <c r="E85" s="3">
        <f t="shared" si="39"/>
        <v>6.1945001266157887E-2</v>
      </c>
      <c r="F85" s="14">
        <v>125.63</v>
      </c>
      <c r="G85" s="14">
        <v>125.63</v>
      </c>
      <c r="H85" s="60">
        <v>5741</v>
      </c>
      <c r="I85" s="5">
        <v>1.8E-3</v>
      </c>
      <c r="J85" s="5">
        <v>9.2399999999999996E-2</v>
      </c>
      <c r="K85" s="2">
        <v>18167875953.27</v>
      </c>
      <c r="L85" s="3">
        <f t="shared" si="40"/>
        <v>6.3154084883257591E-2</v>
      </c>
      <c r="M85" s="14">
        <v>125.86</v>
      </c>
      <c r="N85" s="14">
        <v>125.86</v>
      </c>
      <c r="O85" s="60">
        <v>5754</v>
      </c>
      <c r="P85" s="5">
        <v>1.8E-3</v>
      </c>
      <c r="Q85" s="5">
        <v>9.4399999999999998E-2</v>
      </c>
      <c r="R85" s="80">
        <f t="shared" si="26"/>
        <v>2.171182737680068E-2</v>
      </c>
      <c r="S85" s="80">
        <f t="shared" si="27"/>
        <v>1.8307729045610442E-3</v>
      </c>
      <c r="T85" s="80">
        <f t="shared" si="28"/>
        <v>2.2644138651802823E-3</v>
      </c>
      <c r="U85" s="81">
        <f t="shared" si="29"/>
        <v>0</v>
      </c>
      <c r="V85" s="83">
        <f t="shared" si="30"/>
        <v>2.0000000000000018E-3</v>
      </c>
    </row>
    <row r="86" spans="1:29" ht="12.75" customHeight="1">
      <c r="A86" s="139">
        <v>75</v>
      </c>
      <c r="B86" s="119" t="s">
        <v>125</v>
      </c>
      <c r="C86" s="120" t="s">
        <v>42</v>
      </c>
      <c r="D86" s="2">
        <v>13870340814.51</v>
      </c>
      <c r="E86" s="3">
        <f t="shared" si="39"/>
        <v>4.8318969498568828E-2</v>
      </c>
      <c r="F86" s="14">
        <v>352.44</v>
      </c>
      <c r="G86" s="14">
        <v>352.59</v>
      </c>
      <c r="H86" s="60">
        <v>17561</v>
      </c>
      <c r="I86" s="5">
        <v>2.5999999999999999E-3</v>
      </c>
      <c r="J86" s="5">
        <v>6.0400000000000002E-2</v>
      </c>
      <c r="K86" s="2">
        <v>13816963302.18</v>
      </c>
      <c r="L86" s="3">
        <f t="shared" si="40"/>
        <v>4.8029702286561116E-2</v>
      </c>
      <c r="M86" s="14">
        <v>353.08</v>
      </c>
      <c r="N86" s="14">
        <v>353.23</v>
      </c>
      <c r="O86" s="60">
        <v>17572</v>
      </c>
      <c r="P86" s="5">
        <v>1.8E-3</v>
      </c>
      <c r="Q86" s="5">
        <v>6.2300000000000001E-2</v>
      </c>
      <c r="R86" s="80">
        <f t="shared" si="26"/>
        <v>-3.8483201706306161E-3</v>
      </c>
      <c r="S86" s="80">
        <f t="shared" si="27"/>
        <v>1.8151393970335043E-3</v>
      </c>
      <c r="T86" s="80">
        <f t="shared" si="28"/>
        <v>6.2638801890552934E-4</v>
      </c>
      <c r="U86" s="81">
        <f t="shared" si="29"/>
        <v>-7.9999999999999993E-4</v>
      </c>
      <c r="V86" s="83">
        <f t="shared" si="30"/>
        <v>1.8999999999999989E-3</v>
      </c>
    </row>
    <row r="87" spans="1:29">
      <c r="A87" s="137">
        <v>76</v>
      </c>
      <c r="B87" s="119" t="s">
        <v>126</v>
      </c>
      <c r="C87" s="120" t="s">
        <v>45</v>
      </c>
      <c r="D87" s="2">
        <v>96061345591.089996</v>
      </c>
      <c r="E87" s="3">
        <f t="shared" si="39"/>
        <v>0.33464103655994631</v>
      </c>
      <c r="F87" s="2">
        <v>1.9487000000000001</v>
      </c>
      <c r="G87" s="2">
        <v>1.9487000000000001</v>
      </c>
      <c r="H87" s="60">
        <v>6101</v>
      </c>
      <c r="I87" s="5">
        <v>6.6400000000000001E-2</v>
      </c>
      <c r="J87" s="5">
        <v>6.8900000000000003E-2</v>
      </c>
      <c r="K87" s="2">
        <v>96108637048.179993</v>
      </c>
      <c r="L87" s="3">
        <f t="shared" si="40"/>
        <v>0.33408710174853928</v>
      </c>
      <c r="M87" s="2">
        <v>1.9498</v>
      </c>
      <c r="N87" s="2">
        <v>1.9498</v>
      </c>
      <c r="O87" s="60">
        <v>6101</v>
      </c>
      <c r="P87" s="5">
        <v>7.2099999999999997E-2</v>
      </c>
      <c r="Q87" s="5">
        <v>6.8599999999999994E-2</v>
      </c>
      <c r="R87" s="80">
        <f t="shared" si="26"/>
        <v>4.9230475379040265E-4</v>
      </c>
      <c r="S87" s="80">
        <f t="shared" si="27"/>
        <v>5.6447888335807396E-4</v>
      </c>
      <c r="T87" s="80">
        <f t="shared" si="28"/>
        <v>0</v>
      </c>
      <c r="U87" s="81">
        <f t="shared" si="29"/>
        <v>5.6999999999999967E-3</v>
      </c>
      <c r="V87" s="83">
        <f t="shared" si="30"/>
        <v>-3.0000000000000859E-4</v>
      </c>
    </row>
    <row r="88" spans="1:29">
      <c r="A88" s="142">
        <v>77</v>
      </c>
      <c r="B88" s="119" t="s">
        <v>241</v>
      </c>
      <c r="C88" s="119" t="s">
        <v>242</v>
      </c>
      <c r="D88" s="2">
        <v>81376118.469999999</v>
      </c>
      <c r="E88" s="3">
        <f t="shared" si="39"/>
        <v>2.8348331442227506E-4</v>
      </c>
      <c r="F88" s="2">
        <v>101.3782297320826</v>
      </c>
      <c r="G88" s="2">
        <v>101.3782297320826</v>
      </c>
      <c r="H88" s="60">
        <v>51</v>
      </c>
      <c r="I88" s="5">
        <v>1.5393367953561166E-3</v>
      </c>
      <c r="J88" s="5">
        <v>1.38E-2</v>
      </c>
      <c r="K88" s="2">
        <v>81610325.189999998</v>
      </c>
      <c r="L88" s="3">
        <f t="shared" si="40"/>
        <v>2.8368893632124632E-4</v>
      </c>
      <c r="M88" s="2">
        <v>101.53293618408547</v>
      </c>
      <c r="N88" s="2">
        <v>101.53293618408547</v>
      </c>
      <c r="O88" s="60">
        <v>52</v>
      </c>
      <c r="P88" s="5">
        <v>1.5393367953561166E-3</v>
      </c>
      <c r="Q88" s="5">
        <v>1.5299999999999999E-2</v>
      </c>
      <c r="R88" s="80">
        <f t="shared" ref="R88" si="44">((K88-D88)/D88)</f>
        <v>2.878076816681065E-3</v>
      </c>
      <c r="S88" s="80">
        <f t="shared" ref="S88" si="45">((N88-G88)/G88)</f>
        <v>1.5260322892964339E-3</v>
      </c>
      <c r="T88" s="80">
        <f t="shared" ref="T88" si="46">((O88-H88)/H88)</f>
        <v>1.9607843137254902E-2</v>
      </c>
      <c r="U88" s="81">
        <f t="shared" ref="U88" si="47">P88-I88</f>
        <v>0</v>
      </c>
      <c r="V88" s="83">
        <f t="shared" ref="V88" si="48">Q88-J88</f>
        <v>1.4999999999999996E-3</v>
      </c>
    </row>
    <row r="89" spans="1:29">
      <c r="A89" s="142">
        <v>78</v>
      </c>
      <c r="B89" s="119" t="s">
        <v>127</v>
      </c>
      <c r="C89" s="120" t="s">
        <v>91</v>
      </c>
      <c r="D89" s="2">
        <v>2615115247.96</v>
      </c>
      <c r="E89" s="3">
        <f t="shared" si="39"/>
        <v>9.1100626575256523E-3</v>
      </c>
      <c r="F89" s="14">
        <v>25.268599999999999</v>
      </c>
      <c r="G89" s="14">
        <v>25.268599999999999</v>
      </c>
      <c r="H89" s="60">
        <v>1319</v>
      </c>
      <c r="I89" s="5">
        <v>0</v>
      </c>
      <c r="J89" s="5">
        <v>0.1045</v>
      </c>
      <c r="K89" s="2">
        <v>2620008017.02</v>
      </c>
      <c r="L89" s="3">
        <f t="shared" si="40"/>
        <v>9.107515326903964E-3</v>
      </c>
      <c r="M89" s="14">
        <v>25.3093</v>
      </c>
      <c r="N89" s="14">
        <v>25.3093</v>
      </c>
      <c r="O89" s="60">
        <v>1319</v>
      </c>
      <c r="P89" s="5">
        <v>0</v>
      </c>
      <c r="Q89" s="5">
        <v>0.1077</v>
      </c>
      <c r="R89" s="80">
        <f t="shared" si="26"/>
        <v>1.8709573368962211E-3</v>
      </c>
      <c r="S89" s="80">
        <f t="shared" si="27"/>
        <v>1.6106946961842394E-3</v>
      </c>
      <c r="T89" s="80">
        <f t="shared" si="28"/>
        <v>0</v>
      </c>
      <c r="U89" s="81">
        <f t="shared" si="29"/>
        <v>0</v>
      </c>
      <c r="V89" s="83">
        <f t="shared" si="30"/>
        <v>3.2000000000000084E-3</v>
      </c>
    </row>
    <row r="90" spans="1:29">
      <c r="A90" s="75"/>
      <c r="B90" s="19"/>
      <c r="C90" s="71" t="s">
        <v>46</v>
      </c>
      <c r="D90" s="59">
        <f>SUM(D58:D89)</f>
        <v>287057877236.40979</v>
      </c>
      <c r="E90" s="104">
        <f>(D90/$D$178)</f>
        <v>0.13657834319824599</v>
      </c>
      <c r="F90" s="30"/>
      <c r="G90" s="11"/>
      <c r="H90" s="65">
        <f>SUM(H58:H89)</f>
        <v>64096</v>
      </c>
      <c r="I90" s="12"/>
      <c r="J90" s="12"/>
      <c r="K90" s="59">
        <f>SUM(K58:K89)</f>
        <v>287675389277.73108</v>
      </c>
      <c r="L90" s="104">
        <f>(K90/$K$178)</f>
        <v>0.13480289467923837</v>
      </c>
      <c r="M90" s="30"/>
      <c r="N90" s="11"/>
      <c r="O90" s="65">
        <f>SUM(O58:O89)</f>
        <v>64555</v>
      </c>
      <c r="P90" s="12"/>
      <c r="Q90" s="12"/>
      <c r="R90" s="80">
        <f t="shared" si="26"/>
        <v>2.1511760877850079E-3</v>
      </c>
      <c r="S90" s="80" t="e">
        <f t="shared" si="27"/>
        <v>#DIV/0!</v>
      </c>
      <c r="T90" s="80">
        <f t="shared" si="28"/>
        <v>7.1611333000499251E-3</v>
      </c>
      <c r="U90" s="81">
        <f t="shared" si="29"/>
        <v>0</v>
      </c>
      <c r="V90" s="83">
        <f t="shared" si="30"/>
        <v>0</v>
      </c>
    </row>
    <row r="91" spans="1:29" ht="8.25" customHeight="1">
      <c r="A91" s="151"/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</row>
    <row r="92" spans="1:29" ht="15" customHeight="1">
      <c r="A92" s="149" t="s">
        <v>128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9">
      <c r="A93" s="150" t="s">
        <v>230</v>
      </c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Z93" s="98"/>
      <c r="AA93" s="98"/>
      <c r="AB93" s="107"/>
      <c r="AC93" s="98"/>
    </row>
    <row r="94" spans="1:29" ht="16.5" customHeight="1">
      <c r="A94" s="133">
        <v>79</v>
      </c>
      <c r="B94" s="119" t="s">
        <v>129</v>
      </c>
      <c r="C94" s="120" t="s">
        <v>17</v>
      </c>
      <c r="D94" s="2">
        <v>1835218809.1300001</v>
      </c>
      <c r="E94" s="3">
        <f>(D94/$D$117)</f>
        <v>2.4912877487534933E-3</v>
      </c>
      <c r="F94" s="2">
        <f>110.0967*1039.63</f>
        <v>114459.832221</v>
      </c>
      <c r="G94" s="2">
        <f>110.0967*1039.63</f>
        <v>114459.832221</v>
      </c>
      <c r="H94" s="60">
        <v>229</v>
      </c>
      <c r="I94" s="5">
        <v>1.1000000000000001E-3</v>
      </c>
      <c r="J94" s="5">
        <v>6.3500000000000001E-2</v>
      </c>
      <c r="K94" s="2">
        <v>1586884692.1099999</v>
      </c>
      <c r="L94" s="3">
        <f t="shared" ref="L94:L105" si="49">(K94/$K$117)</f>
        <v>2.1139907884926128E-3</v>
      </c>
      <c r="M94" s="2">
        <f>110.2164*899.893</f>
        <v>99182.966845200004</v>
      </c>
      <c r="N94" s="2">
        <f>110.2164*899.893</f>
        <v>99182.966845200004</v>
      </c>
      <c r="O94" s="60">
        <v>229</v>
      </c>
      <c r="P94" s="5">
        <v>1.1000000000000001E-3</v>
      </c>
      <c r="Q94" s="5">
        <v>6.4600000000000005E-2</v>
      </c>
      <c r="R94" s="81">
        <f t="shared" ref="R94" si="50">((K94-D94)/D94)</f>
        <v>-0.13531580854804173</v>
      </c>
      <c r="S94" s="81">
        <f t="shared" ref="S94" si="51">((N94-G94)/G94)</f>
        <v>-0.13346922740812078</v>
      </c>
      <c r="T94" s="81">
        <f t="shared" ref="T94" si="52">((O94-H94)/H94)</f>
        <v>0</v>
      </c>
      <c r="U94" s="81">
        <f t="shared" ref="U94" si="53">P94-I94</f>
        <v>0</v>
      </c>
      <c r="V94" s="83">
        <f t="shared" ref="V94" si="54">Q94-J94</f>
        <v>1.1000000000000038E-3</v>
      </c>
      <c r="Z94" s="98"/>
      <c r="AA94" s="108"/>
      <c r="AB94" s="98"/>
      <c r="AC94" s="98"/>
    </row>
    <row r="95" spans="1:29">
      <c r="A95" s="142">
        <v>80</v>
      </c>
      <c r="B95" s="119" t="s">
        <v>130</v>
      </c>
      <c r="C95" s="120" t="s">
        <v>21</v>
      </c>
      <c r="D95" s="2">
        <f>10622914.69*1039.13</f>
        <v>11038589341.8197</v>
      </c>
      <c r="E95" s="3">
        <f>(D95/$D$117)</f>
        <v>1.4984753999896632E-2</v>
      </c>
      <c r="F95" s="2">
        <f>1.174*1039.13</f>
        <v>1219.9386200000001</v>
      </c>
      <c r="G95" s="2">
        <f>1.174*1039.13</f>
        <v>1219.9386200000001</v>
      </c>
      <c r="H95" s="60">
        <v>291</v>
      </c>
      <c r="I95" s="5">
        <v>5.3400000000000003E-2</v>
      </c>
      <c r="J95" s="5">
        <v>4.4400000000000002E-2</v>
      </c>
      <c r="K95" s="2">
        <f>10722358.46*899.393</f>
        <v>9643614142.4147816</v>
      </c>
      <c r="L95" s="3">
        <f t="shared" si="49"/>
        <v>1.2846876377473292E-2</v>
      </c>
      <c r="M95" s="2">
        <f>1.1754*899.393</f>
        <v>1057.1465322000001</v>
      </c>
      <c r="N95" s="2">
        <f>1.1754*899.393</f>
        <v>1057.1465322000001</v>
      </c>
      <c r="O95" s="60">
        <v>291</v>
      </c>
      <c r="P95" s="5">
        <v>6.2199999999999998E-2</v>
      </c>
      <c r="Q95" s="5">
        <v>4.48E-2</v>
      </c>
      <c r="R95" s="81">
        <f t="shared" ref="R95:R105" si="55">((K95-D95)/D95)</f>
        <v>-0.126372596733901</v>
      </c>
      <c r="S95" s="81">
        <f t="shared" ref="S95:S105" si="56">((N95-G95)/G95)</f>
        <v>-0.13344285124771274</v>
      </c>
      <c r="T95" s="81">
        <f t="shared" ref="T95:T105" si="57">((O95-H95)/H95)</f>
        <v>0</v>
      </c>
      <c r="U95" s="81">
        <f t="shared" ref="U95:U105" si="58">P95-I95</f>
        <v>8.7999999999999953E-3</v>
      </c>
      <c r="V95" s="83">
        <f t="shared" ref="V95:V105" si="59">Q95-J95</f>
        <v>3.9999999999999758E-4</v>
      </c>
      <c r="Z95" s="98"/>
      <c r="AA95" s="98"/>
      <c r="AB95" s="98"/>
      <c r="AC95" s="98"/>
    </row>
    <row r="96" spans="1:29">
      <c r="A96" s="134">
        <v>81</v>
      </c>
      <c r="B96" s="119" t="s">
        <v>243</v>
      </c>
      <c r="C96" s="120" t="s">
        <v>25</v>
      </c>
      <c r="D96" s="2">
        <f>390434.2*1039.63</f>
        <v>405907107.34600008</v>
      </c>
      <c r="E96" s="3">
        <v>0</v>
      </c>
      <c r="F96" s="2">
        <f>1.0978*1039.63</f>
        <v>1141.3058140000003</v>
      </c>
      <c r="G96" s="2">
        <f>1.0978*1039.63</f>
        <v>1141.3058140000003</v>
      </c>
      <c r="H96" s="60">
        <v>19</v>
      </c>
      <c r="I96" s="5">
        <v>1.8699999999999999E-4</v>
      </c>
      <c r="J96" s="5">
        <v>9.7799999999999998E-2</v>
      </c>
      <c r="K96" s="2">
        <f>397688.63*899.893</f>
        <v>357877214.31659001</v>
      </c>
      <c r="L96" s="3">
        <f t="shared" si="49"/>
        <v>4.7675117054076752E-4</v>
      </c>
      <c r="M96" s="2">
        <f>1.0992*899.93</f>
        <v>989.20305599999995</v>
      </c>
      <c r="N96" s="2">
        <f>1.0992*899.93</f>
        <v>989.20305599999995</v>
      </c>
      <c r="O96" s="60">
        <v>20</v>
      </c>
      <c r="P96" s="5">
        <v>1.6799999999999999E-4</v>
      </c>
      <c r="Q96" s="5">
        <v>9.8100000000000007E-2</v>
      </c>
      <c r="R96" s="81">
        <f t="shared" ref="R96" si="60">((K96-D96)/D96)</f>
        <v>-0.11832730238071147</v>
      </c>
      <c r="S96" s="81">
        <f t="shared" ref="S96" si="61">((N96-G96)/G96)</f>
        <v>-0.13327081675586758</v>
      </c>
      <c r="T96" s="81">
        <f t="shared" ref="T96" si="62">((O96-H96)/H96)</f>
        <v>5.2631578947368418E-2</v>
      </c>
      <c r="U96" s="81">
        <f t="shared" ref="U96" si="63">P96-I96</f>
        <v>-1.9000000000000001E-5</v>
      </c>
      <c r="V96" s="83">
        <f t="shared" si="59"/>
        <v>3.0000000000000859E-4</v>
      </c>
      <c r="Z96" s="98"/>
      <c r="AA96" s="98"/>
      <c r="AB96" s="98"/>
      <c r="AC96" s="98"/>
    </row>
    <row r="97" spans="1:29">
      <c r="A97" s="143">
        <v>82</v>
      </c>
      <c r="B97" s="119" t="s">
        <v>139</v>
      </c>
      <c r="C97" s="120" t="s">
        <v>64</v>
      </c>
      <c r="D97" s="2">
        <f>295102.85*1039.63</f>
        <v>306797775.94550002</v>
      </c>
      <c r="E97" s="3">
        <f t="shared" ref="E97:E105" si="64">(D97/$D$117)</f>
        <v>4.1647433905724621E-4</v>
      </c>
      <c r="F97" s="2">
        <f>102.4*1039.63</f>
        <v>106458.11200000002</v>
      </c>
      <c r="G97" s="2">
        <f>103.19*1039.63</f>
        <v>107279.41970000001</v>
      </c>
      <c r="H97" s="60">
        <v>34</v>
      </c>
      <c r="I97" s="5">
        <v>6.4000000000000003E-3</v>
      </c>
      <c r="J97" s="5">
        <v>2.8000000000000001E-2</v>
      </c>
      <c r="K97" s="2">
        <f>340348.66*899.893</f>
        <v>306277376.69338</v>
      </c>
      <c r="L97" s="3">
        <f t="shared" si="49"/>
        <v>4.0801172024199355E-4</v>
      </c>
      <c r="M97" s="2">
        <f>102.6*899.893</f>
        <v>92329.021800000002</v>
      </c>
      <c r="N97" s="2">
        <f>103.34*899.893</f>
        <v>92994.942620000002</v>
      </c>
      <c r="O97" s="60">
        <v>37</v>
      </c>
      <c r="P97" s="5">
        <v>1.6999999999999999E-3</v>
      </c>
      <c r="Q97" s="5">
        <v>2.9700000000000001E-2</v>
      </c>
      <c r="R97" s="81">
        <f t="shared" ref="R97" si="65">((K97-D97)/D97)</f>
        <v>-1.6962288938250402E-3</v>
      </c>
      <c r="S97" s="81">
        <f t="shared" ref="S97" si="66">((N97-G97)/G97)</f>
        <v>-0.13315207259645542</v>
      </c>
      <c r="T97" s="81">
        <f t="shared" ref="T97" si="67">((O97-H97)/H97)</f>
        <v>8.8235294117647065E-2</v>
      </c>
      <c r="U97" s="81">
        <f t="shared" ref="U97" si="68">P97-I97</f>
        <v>-4.7000000000000002E-3</v>
      </c>
      <c r="V97" s="83">
        <f t="shared" ref="V97" si="69">Q97-J97</f>
        <v>1.7000000000000001E-3</v>
      </c>
      <c r="Z97" s="98"/>
      <c r="AA97" s="98"/>
      <c r="AB97" s="98"/>
      <c r="AC97" s="98"/>
    </row>
    <row r="98" spans="1:29">
      <c r="A98" s="132">
        <v>83</v>
      </c>
      <c r="B98" s="119" t="s">
        <v>131</v>
      </c>
      <c r="C98" s="120" t="s">
        <v>67</v>
      </c>
      <c r="D98" s="2">
        <v>2777257674.3261003</v>
      </c>
      <c r="E98" s="3">
        <f t="shared" si="64"/>
        <v>3.7700943259513639E-3</v>
      </c>
      <c r="F98" s="2">
        <v>111519.65461800002</v>
      </c>
      <c r="G98" s="2">
        <v>111519.65461800002</v>
      </c>
      <c r="H98" s="60">
        <v>45</v>
      </c>
      <c r="I98" s="5">
        <v>3.6090679931628892E-4</v>
      </c>
      <c r="J98" s="5">
        <v>5.7406370305554302E-2</v>
      </c>
      <c r="K98" s="2">
        <v>2407330842.0803699</v>
      </c>
      <c r="L98" s="3">
        <f t="shared" si="49"/>
        <v>3.2069596803819328E-3</v>
      </c>
      <c r="M98" s="2">
        <v>96665.426188400001</v>
      </c>
      <c r="N98" s="2">
        <v>96665.426188400001</v>
      </c>
      <c r="O98" s="60">
        <v>45</v>
      </c>
      <c r="P98" s="5">
        <v>1.4002233645260412E-3</v>
      </c>
      <c r="Q98" s="5">
        <v>5.7737972851767058E-2</v>
      </c>
      <c r="R98" s="81">
        <f t="shared" si="55"/>
        <v>-0.13319859934692335</v>
      </c>
      <c r="S98" s="81">
        <f t="shared" si="56"/>
        <v>-0.13319830016046735</v>
      </c>
      <c r="T98" s="81">
        <f t="shared" si="57"/>
        <v>0</v>
      </c>
      <c r="U98" s="81">
        <f t="shared" si="58"/>
        <v>1.0393165652097522E-3</v>
      </c>
      <c r="V98" s="83">
        <f t="shared" si="59"/>
        <v>3.3160254621275587E-4</v>
      </c>
      <c r="X98" s="126"/>
    </row>
    <row r="99" spans="1:29">
      <c r="A99" s="136">
        <v>84</v>
      </c>
      <c r="B99" s="119" t="s">
        <v>132</v>
      </c>
      <c r="C99" s="120" t="s">
        <v>27</v>
      </c>
      <c r="D99" s="2">
        <v>25268512918.419998</v>
      </c>
      <c r="E99" s="3">
        <f t="shared" si="64"/>
        <v>3.4301706341338993E-2</v>
      </c>
      <c r="F99" s="2">
        <v>109574.5</v>
      </c>
      <c r="G99" s="2">
        <v>109574.5</v>
      </c>
      <c r="H99" s="60">
        <v>1992</v>
      </c>
      <c r="I99" s="5">
        <v>1E-3</v>
      </c>
      <c r="J99" s="5">
        <v>7.5300000000000006E-2</v>
      </c>
      <c r="K99" s="2">
        <v>25874069573.110001</v>
      </c>
      <c r="L99" s="3">
        <f t="shared" si="49"/>
        <v>3.4468506130488276E-2</v>
      </c>
      <c r="M99" s="2">
        <v>112363.72</v>
      </c>
      <c r="N99" s="2">
        <v>112363.72</v>
      </c>
      <c r="O99" s="60">
        <v>1999</v>
      </c>
      <c r="P99" s="5">
        <v>1.5E-3</v>
      </c>
      <c r="Q99" s="5">
        <v>7.4899999999999994E-2</v>
      </c>
      <c r="R99" s="81">
        <f t="shared" si="55"/>
        <v>2.3964871088577974E-2</v>
      </c>
      <c r="S99" s="81">
        <f t="shared" si="56"/>
        <v>2.5455010061647566E-2</v>
      </c>
      <c r="T99" s="81">
        <f t="shared" si="57"/>
        <v>3.5140562248995983E-3</v>
      </c>
      <c r="U99" s="81">
        <f t="shared" si="58"/>
        <v>5.0000000000000001E-4</v>
      </c>
      <c r="V99" s="83">
        <f t="shared" si="59"/>
        <v>-4.0000000000001146E-4</v>
      </c>
    </row>
    <row r="100" spans="1:29">
      <c r="A100" s="136">
        <v>85</v>
      </c>
      <c r="B100" s="138" t="s">
        <v>133</v>
      </c>
      <c r="C100" s="138" t="s">
        <v>27</v>
      </c>
      <c r="D100" s="2">
        <v>28045861758.669998</v>
      </c>
      <c r="E100" s="3">
        <f t="shared" si="64"/>
        <v>3.8071924423949882E-2</v>
      </c>
      <c r="F100" s="2">
        <v>98846.49</v>
      </c>
      <c r="G100" s="2">
        <v>98846.49</v>
      </c>
      <c r="H100" s="60">
        <v>219</v>
      </c>
      <c r="I100" s="5">
        <v>1.9E-3</v>
      </c>
      <c r="J100" s="5">
        <v>9.4399999999999998E-2</v>
      </c>
      <c r="K100" s="2">
        <v>29090506897.400002</v>
      </c>
      <c r="L100" s="3">
        <f t="shared" si="49"/>
        <v>3.8753328404671231E-2</v>
      </c>
      <c r="M100" s="2">
        <v>101405.8269</v>
      </c>
      <c r="N100" s="2">
        <v>101405.8269</v>
      </c>
      <c r="O100" s="60">
        <v>226</v>
      </c>
      <c r="P100" s="5">
        <v>1.9E-3</v>
      </c>
      <c r="Q100" s="5">
        <v>9.4200000000000006E-2</v>
      </c>
      <c r="R100" s="81">
        <f t="shared" si="55"/>
        <v>3.7247746128074154E-2</v>
      </c>
      <c r="S100" s="81">
        <f t="shared" si="56"/>
        <v>2.5892036227082971E-2</v>
      </c>
      <c r="T100" s="81">
        <f t="shared" si="57"/>
        <v>3.1963470319634701E-2</v>
      </c>
      <c r="U100" s="81">
        <f t="shared" si="58"/>
        <v>0</v>
      </c>
      <c r="V100" s="83">
        <f t="shared" si="59"/>
        <v>-1.9999999999999185E-4</v>
      </c>
    </row>
    <row r="101" spans="1:29">
      <c r="A101" s="128">
        <v>86</v>
      </c>
      <c r="B101" s="119" t="s">
        <v>134</v>
      </c>
      <c r="C101" s="120" t="s">
        <v>31</v>
      </c>
      <c r="D101" s="2">
        <f>92070.46*1013.12</f>
        <v>93278424.435200006</v>
      </c>
      <c r="E101" s="3">
        <f t="shared" si="64"/>
        <v>1.2662435392573457E-4</v>
      </c>
      <c r="F101" s="2">
        <f>109.75*1013.12</f>
        <v>111189.92</v>
      </c>
      <c r="G101" s="2">
        <f>109.75*1013.12</f>
        <v>111189.92</v>
      </c>
      <c r="H101" s="60">
        <v>3</v>
      </c>
      <c r="I101" s="5">
        <v>1.3299999999999999E-2</v>
      </c>
      <c r="J101" s="5">
        <v>0.11899999999999999</v>
      </c>
      <c r="K101" s="2">
        <f>108117.73*899.893</f>
        <v>97294388.402889997</v>
      </c>
      <c r="L101" s="3">
        <f t="shared" si="49"/>
        <v>1.2961208957296729E-4</v>
      </c>
      <c r="M101" s="2">
        <f>114.5601*899.893</f>
        <v>103091.83206930001</v>
      </c>
      <c r="N101" s="2">
        <f>114.5601*899.893</f>
        <v>103091.83206930001</v>
      </c>
      <c r="O101" s="60">
        <v>3</v>
      </c>
      <c r="P101" s="5">
        <v>1.8E-3</v>
      </c>
      <c r="Q101" s="5">
        <v>0.1416</v>
      </c>
      <c r="R101" s="81">
        <f t="shared" si="55"/>
        <v>4.3053514164788004E-2</v>
      </c>
      <c r="S101" s="81">
        <f t="shared" si="56"/>
        <v>-7.2831133709782198E-2</v>
      </c>
      <c r="T101" s="81">
        <f t="shared" si="57"/>
        <v>0</v>
      </c>
      <c r="U101" s="81">
        <f t="shared" si="58"/>
        <v>-1.15E-2</v>
      </c>
      <c r="V101" s="83">
        <f t="shared" si="59"/>
        <v>2.2600000000000009E-2</v>
      </c>
    </row>
    <row r="102" spans="1:29">
      <c r="A102" s="132">
        <v>87</v>
      </c>
      <c r="B102" s="119" t="s">
        <v>135</v>
      </c>
      <c r="C102" s="120" t="s">
        <v>34</v>
      </c>
      <c r="D102" s="2">
        <f>11754197.94*1039.63</f>
        <v>12220016804.362202</v>
      </c>
      <c r="E102" s="3">
        <f t="shared" si="64"/>
        <v>1.6588527756372214E-2</v>
      </c>
      <c r="F102" s="2">
        <f>1.32*1039.63</f>
        <v>1372.3116000000002</v>
      </c>
      <c r="G102" s="2">
        <f>1.32*1039.63</f>
        <v>1372.3116000000002</v>
      </c>
      <c r="H102" s="61">
        <v>116</v>
      </c>
      <c r="I102" s="12">
        <v>3.3000000000000002E-2</v>
      </c>
      <c r="J102" s="12">
        <v>5.1299999999999998E-2</v>
      </c>
      <c r="K102" s="2">
        <f>11732291.01*899.893</f>
        <v>10557806553.861931</v>
      </c>
      <c r="L102" s="3">
        <f t="shared" si="49"/>
        <v>1.4064730671687606E-2</v>
      </c>
      <c r="M102" s="2">
        <f>1.32*899.893</f>
        <v>1187.8587600000001</v>
      </c>
      <c r="N102" s="2">
        <f>1.32*899.893</f>
        <v>1187.8587600000001</v>
      </c>
      <c r="O102" s="61">
        <v>116</v>
      </c>
      <c r="P102" s="12">
        <v>1.6999999999999999E-3</v>
      </c>
      <c r="Q102" s="12">
        <v>5.0599999999999999E-2</v>
      </c>
      <c r="R102" s="81">
        <f t="shared" si="55"/>
        <v>-0.13602356503363469</v>
      </c>
      <c r="S102" s="81">
        <f t="shared" si="56"/>
        <v>-0.13441031905581802</v>
      </c>
      <c r="T102" s="81">
        <f t="shared" si="57"/>
        <v>0</v>
      </c>
      <c r="U102" s="81">
        <f t="shared" si="58"/>
        <v>-3.1300000000000001E-2</v>
      </c>
      <c r="V102" s="83">
        <f t="shared" si="59"/>
        <v>-6.9999999999999923E-4</v>
      </c>
    </row>
    <row r="103" spans="1:29">
      <c r="A103" s="127">
        <v>88</v>
      </c>
      <c r="B103" s="119" t="s">
        <v>136</v>
      </c>
      <c r="C103" s="120" t="s">
        <v>78</v>
      </c>
      <c r="D103" s="2">
        <f>8095971.24*1039.63</f>
        <v>8416814580.2412014</v>
      </c>
      <c r="E103" s="3">
        <f t="shared" si="64"/>
        <v>1.1425725882367706E-2</v>
      </c>
      <c r="F103" s="2">
        <f>103.76*1039.63</f>
        <v>107872.00880000001</v>
      </c>
      <c r="G103" s="2">
        <f>103.76*1039.63</f>
        <v>107872.00880000001</v>
      </c>
      <c r="H103" s="60">
        <v>224</v>
      </c>
      <c r="I103" s="5">
        <v>2E-3</v>
      </c>
      <c r="J103" s="5">
        <v>9.4E-2</v>
      </c>
      <c r="K103" s="2">
        <f>8294796.79*899.893</f>
        <v>7464429567.7434702</v>
      </c>
      <c r="L103" s="3">
        <f t="shared" si="49"/>
        <v>9.9438449598880929E-3</v>
      </c>
      <c r="M103" s="2">
        <f>104.2*899.893</f>
        <v>93768.850600000005</v>
      </c>
      <c r="N103" s="2">
        <f>104.2*899.893</f>
        <v>93768.850600000005</v>
      </c>
      <c r="O103" s="60">
        <v>224</v>
      </c>
      <c r="P103" s="5">
        <v>4.3E-3</v>
      </c>
      <c r="Q103" s="5">
        <v>9.8500000000000004E-2</v>
      </c>
      <c r="R103" s="81">
        <f t="shared" si="55"/>
        <v>-0.11315266641770771</v>
      </c>
      <c r="S103" s="81">
        <f t="shared" si="56"/>
        <v>-0.13073973829622429</v>
      </c>
      <c r="T103" s="81">
        <f t="shared" si="57"/>
        <v>0</v>
      </c>
      <c r="U103" s="81">
        <f t="shared" si="58"/>
        <v>2.3E-3</v>
      </c>
      <c r="V103" s="83">
        <f t="shared" si="59"/>
        <v>4.500000000000004E-3</v>
      </c>
    </row>
    <row r="104" spans="1:29">
      <c r="A104" s="136">
        <v>89</v>
      </c>
      <c r="B104" s="119" t="s">
        <v>137</v>
      </c>
      <c r="C104" s="120" t="s">
        <v>38</v>
      </c>
      <c r="D104" s="2">
        <f>1847791.58*1039.63</f>
        <v>1921019560.3154004</v>
      </c>
      <c r="E104" s="3">
        <f t="shared" si="64"/>
        <v>2.6077612500050233E-3</v>
      </c>
      <c r="F104" s="2">
        <f>131.8*1039.63</f>
        <v>137023.23400000003</v>
      </c>
      <c r="G104" s="2">
        <f>134.91*1039.63</f>
        <v>140256.48330000002</v>
      </c>
      <c r="H104" s="60">
        <v>46</v>
      </c>
      <c r="I104" s="5">
        <v>5.0000000000000001E-4</v>
      </c>
      <c r="J104" s="5">
        <v>0.183</v>
      </c>
      <c r="K104" s="2">
        <f>1861817.17*899.893</f>
        <v>1675436238.5628099</v>
      </c>
      <c r="L104" s="3">
        <f t="shared" si="49"/>
        <v>2.2319559780484524E-3</v>
      </c>
      <c r="M104" s="2">
        <f>131.96*899.893</f>
        <v>118749.88028000001</v>
      </c>
      <c r="N104" s="2">
        <f>135.1*899.893</f>
        <v>121575.54429999999</v>
      </c>
      <c r="O104" s="60">
        <v>46</v>
      </c>
      <c r="P104" s="5">
        <v>7.0000000000000001E-3</v>
      </c>
      <c r="Q104" s="5">
        <v>7.6499999999999999E-2</v>
      </c>
      <c r="R104" s="81">
        <f t="shared" si="55"/>
        <v>-0.12784009430506246</v>
      </c>
      <c r="S104" s="81">
        <f t="shared" si="56"/>
        <v>-0.13319126902706269</v>
      </c>
      <c r="T104" s="81">
        <f t="shared" si="57"/>
        <v>0</v>
      </c>
      <c r="U104" s="81">
        <f t="shared" si="58"/>
        <v>6.5000000000000006E-3</v>
      </c>
      <c r="V104" s="83">
        <f t="shared" si="59"/>
        <v>-0.1065</v>
      </c>
    </row>
    <row r="105" spans="1:29" ht="16.5" customHeight="1">
      <c r="A105" s="137">
        <v>90</v>
      </c>
      <c r="B105" s="119" t="s">
        <v>138</v>
      </c>
      <c r="C105" s="120" t="s">
        <v>45</v>
      </c>
      <c r="D105" s="2">
        <v>129897974815.24001</v>
      </c>
      <c r="E105" s="3">
        <f t="shared" si="64"/>
        <v>0.17633495888073891</v>
      </c>
      <c r="F105" s="2">
        <v>110058.45</v>
      </c>
      <c r="G105" s="2">
        <v>110058.45</v>
      </c>
      <c r="H105" s="60">
        <v>2976</v>
      </c>
      <c r="I105" s="5">
        <v>5.4399999999999997E-2</v>
      </c>
      <c r="J105" s="5">
        <v>5.5199999999999999E-2</v>
      </c>
      <c r="K105" s="2">
        <v>133084689608.07001</v>
      </c>
      <c r="L105" s="3">
        <f t="shared" si="49"/>
        <v>0.17729064330866745</v>
      </c>
      <c r="M105" s="2">
        <v>112744.97</v>
      </c>
      <c r="N105" s="2">
        <v>112744.97</v>
      </c>
      <c r="O105" s="60">
        <v>2984</v>
      </c>
      <c r="P105" s="5">
        <v>5.4300000000000001E-2</v>
      </c>
      <c r="Q105" s="5">
        <v>5.5100000000000003E-2</v>
      </c>
      <c r="R105" s="81">
        <f t="shared" si="55"/>
        <v>2.4532443999705278E-2</v>
      </c>
      <c r="S105" s="81">
        <f t="shared" si="56"/>
        <v>2.4409938537204585E-2</v>
      </c>
      <c r="T105" s="81">
        <f t="shared" si="57"/>
        <v>2.6881720430107529E-3</v>
      </c>
      <c r="U105" s="81">
        <f t="shared" si="58"/>
        <v>-9.9999999999995925E-5</v>
      </c>
      <c r="V105" s="83">
        <f t="shared" si="59"/>
        <v>-9.9999999999995925E-5</v>
      </c>
    </row>
    <row r="106" spans="1:29" ht="6" customHeight="1">
      <c r="A106" s="151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</row>
    <row r="107" spans="1:29">
      <c r="A107" s="150" t="s">
        <v>231</v>
      </c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</row>
    <row r="108" spans="1:29">
      <c r="A108" s="143">
        <v>91</v>
      </c>
      <c r="B108" s="119" t="s">
        <v>140</v>
      </c>
      <c r="C108" s="120" t="s">
        <v>97</v>
      </c>
      <c r="D108" s="4">
        <v>798712749.89999998</v>
      </c>
      <c r="E108" s="3">
        <f>(D108/$D$117)</f>
        <v>1.0842430770107321E-3</v>
      </c>
      <c r="F108" s="2">
        <v>82463.539999999994</v>
      </c>
      <c r="G108" s="2">
        <v>82463.539999999994</v>
      </c>
      <c r="H108" s="60">
        <v>28</v>
      </c>
      <c r="I108" s="5">
        <v>1.37E-2</v>
      </c>
      <c r="J108" s="5">
        <v>0.17979999999999999</v>
      </c>
      <c r="K108" s="4">
        <v>798712749.89999998</v>
      </c>
      <c r="L108" s="3">
        <f t="shared" ref="L108:L116" si="70">(K108/$K$117)</f>
        <v>1.0640164369442177E-3</v>
      </c>
      <c r="M108" s="2">
        <v>82463.539999999994</v>
      </c>
      <c r="N108" s="2">
        <v>82463.539999999994</v>
      </c>
      <c r="O108" s="60">
        <v>28</v>
      </c>
      <c r="P108" s="5">
        <v>1.37E-2</v>
      </c>
      <c r="Q108" s="5">
        <v>0.17979999999999999</v>
      </c>
      <c r="R108" s="81">
        <f t="shared" ref="R108" si="71">((K108-D108)/D108)</f>
        <v>0</v>
      </c>
      <c r="S108" s="81">
        <f t="shared" ref="S108" si="72">((N108-G108)/G108)</f>
        <v>0</v>
      </c>
      <c r="T108" s="81">
        <f t="shared" ref="T108" si="73">((O108-H108)/H108)</f>
        <v>0</v>
      </c>
      <c r="U108" s="81">
        <f t="shared" ref="U108" si="74">P108-I108</f>
        <v>0</v>
      </c>
      <c r="V108" s="83">
        <f t="shared" ref="V108" si="75">Q108-J108</f>
        <v>0</v>
      </c>
    </row>
    <row r="109" spans="1:29">
      <c r="A109" s="132">
        <v>92</v>
      </c>
      <c r="B109" s="120" t="s">
        <v>141</v>
      </c>
      <c r="C109" s="120" t="s">
        <v>23</v>
      </c>
      <c r="D109" s="2">
        <f>6989761*1039.63</f>
        <v>7266765228.4300003</v>
      </c>
      <c r="E109" s="3">
        <f>(D109/$K$117)</f>
        <v>9.6805236268386538E-3</v>
      </c>
      <c r="F109" s="4">
        <f>131.54*1039.63</f>
        <v>136752.9302</v>
      </c>
      <c r="G109" s="4">
        <f>131.54*1039.63</f>
        <v>136752.9302</v>
      </c>
      <c r="H109" s="60">
        <v>331</v>
      </c>
      <c r="I109" s="5">
        <v>5.0000000000000001E-4</v>
      </c>
      <c r="J109" s="5">
        <v>5.8000000000000003E-2</v>
      </c>
      <c r="K109" s="2">
        <f>7110976.92*899.893</f>
        <v>6399118353.4695597</v>
      </c>
      <c r="L109" s="3">
        <f t="shared" si="70"/>
        <v>8.5246756244914054E-3</v>
      </c>
      <c r="M109" s="4">
        <f>131.63*899.893</f>
        <v>118452.91559</v>
      </c>
      <c r="N109" s="4">
        <f>131.63*899.893</f>
        <v>118452.91559</v>
      </c>
      <c r="O109" s="60">
        <v>329</v>
      </c>
      <c r="P109" s="5">
        <v>5.0000000000000001E-4</v>
      </c>
      <c r="Q109" s="5">
        <v>5.8700000000000002E-2</v>
      </c>
      <c r="R109" s="81">
        <f t="shared" ref="R109:R117" si="76">((K109-D109)/D109)</f>
        <v>-0.11939932661728464</v>
      </c>
      <c r="S109" s="81">
        <f t="shared" ref="S109:S117" si="77">((N109-G109)/G109)</f>
        <v>-0.13381808041141335</v>
      </c>
      <c r="T109" s="81">
        <f t="shared" ref="T109:T117" si="78">((O109-H109)/H109)</f>
        <v>-6.0422960725075529E-3</v>
      </c>
      <c r="U109" s="81">
        <f t="shared" ref="U109:U117" si="79">P109-I109</f>
        <v>0</v>
      </c>
      <c r="V109" s="83">
        <f t="shared" ref="V109:V117" si="80">Q109-J109</f>
        <v>6.9999999999999923E-4</v>
      </c>
    </row>
    <row r="110" spans="1:29">
      <c r="A110" s="135">
        <v>93</v>
      </c>
      <c r="B110" s="119" t="s">
        <v>142</v>
      </c>
      <c r="C110" s="120" t="s">
        <v>58</v>
      </c>
      <c r="D110" s="4">
        <v>11121540728.33</v>
      </c>
      <c r="E110" s="3">
        <f t="shared" ref="E110:E116" si="81">(D110/$D$117)</f>
        <v>1.5097359522424594E-2</v>
      </c>
      <c r="F110" s="4">
        <v>113858.75</v>
      </c>
      <c r="G110" s="4">
        <v>113858.75</v>
      </c>
      <c r="H110" s="60">
        <v>568</v>
      </c>
      <c r="I110" s="5">
        <v>1.1000000000000001E-3</v>
      </c>
      <c r="J110" s="5">
        <v>6.1899999999999997E-2</v>
      </c>
      <c r="K110" s="4">
        <v>11154676107.219999</v>
      </c>
      <c r="L110" s="3">
        <f t="shared" si="70"/>
        <v>1.4859858852080432E-2</v>
      </c>
      <c r="M110" s="4">
        <v>113998.3</v>
      </c>
      <c r="N110" s="4">
        <v>113998.3</v>
      </c>
      <c r="O110" s="60">
        <v>570</v>
      </c>
      <c r="P110" s="5">
        <v>1.1999999999999999E-3</v>
      </c>
      <c r="Q110" s="5">
        <v>6.1600000000000002E-2</v>
      </c>
      <c r="R110" s="81">
        <f t="shared" si="76"/>
        <v>2.9793874517397884E-3</v>
      </c>
      <c r="S110" s="81">
        <f t="shared" si="77"/>
        <v>1.2256414197415913E-3</v>
      </c>
      <c r="T110" s="81">
        <f t="shared" si="78"/>
        <v>3.5211267605633804E-3</v>
      </c>
      <c r="U110" s="81">
        <f t="shared" si="79"/>
        <v>9.9999999999999829E-5</v>
      </c>
      <c r="V110" s="83">
        <f t="shared" si="80"/>
        <v>-2.9999999999999472E-4</v>
      </c>
    </row>
    <row r="111" spans="1:29">
      <c r="A111" s="132">
        <v>94</v>
      </c>
      <c r="B111" s="119" t="s">
        <v>143</v>
      </c>
      <c r="C111" s="120" t="s">
        <v>56</v>
      </c>
      <c r="D111" s="4">
        <v>3515518962.287395</v>
      </c>
      <c r="E111" s="3">
        <f t="shared" si="81"/>
        <v>4.7722752609586968E-3</v>
      </c>
      <c r="F111" s="4">
        <v>1108.3126598270458</v>
      </c>
      <c r="G111" s="4">
        <v>1108.3126598270458</v>
      </c>
      <c r="H111" s="60">
        <v>164</v>
      </c>
      <c r="I111" s="5">
        <v>5.2501876253349039E-2</v>
      </c>
      <c r="J111" s="5">
        <v>5.8026935409014213E-2</v>
      </c>
      <c r="K111" s="4">
        <v>3625781480.5411243</v>
      </c>
      <c r="L111" s="3">
        <f t="shared" si="70"/>
        <v>4.8301358561594404E-3</v>
      </c>
      <c r="M111" s="4">
        <v>1138.6398463475664</v>
      </c>
      <c r="N111" s="4">
        <v>1138.6398463475664</v>
      </c>
      <c r="O111" s="60">
        <v>164</v>
      </c>
      <c r="P111" s="5">
        <v>5.2935384714415105E-2</v>
      </c>
      <c r="Q111" s="5">
        <v>5.7986524147640744E-2</v>
      </c>
      <c r="R111" s="81">
        <f t="shared" si="76"/>
        <v>3.1364506758907174E-2</v>
      </c>
      <c r="S111" s="81">
        <f t="shared" si="77"/>
        <v>2.7363385459526594E-2</v>
      </c>
      <c r="T111" s="81">
        <f t="shared" si="78"/>
        <v>0</v>
      </c>
      <c r="U111" s="81">
        <f t="shared" si="79"/>
        <v>4.3350846106606639E-4</v>
      </c>
      <c r="V111" s="83">
        <f t="shared" si="80"/>
        <v>-4.0411261373468621E-5</v>
      </c>
    </row>
    <row r="112" spans="1:29">
      <c r="A112" s="146">
        <v>95</v>
      </c>
      <c r="B112" s="120" t="s">
        <v>144</v>
      </c>
      <c r="C112" s="147" t="s">
        <v>40</v>
      </c>
      <c r="D112" s="2">
        <v>9792594899.3600006</v>
      </c>
      <c r="E112" s="3">
        <f t="shared" si="81"/>
        <v>1.329333133461438E-2</v>
      </c>
      <c r="F112" s="4">
        <f>1.0347*1039.63</f>
        <v>1075.7051610000001</v>
      </c>
      <c r="G112" s="4">
        <f>1.0347*1039.63</f>
        <v>1075.7051610000001</v>
      </c>
      <c r="H112" s="60">
        <v>396</v>
      </c>
      <c r="I112" s="5">
        <v>1.5E-3</v>
      </c>
      <c r="J112" s="5">
        <v>9.1800000000000007E-2</v>
      </c>
      <c r="K112" s="2">
        <v>9792594899.3600006</v>
      </c>
      <c r="L112" s="3">
        <f t="shared" si="70"/>
        <v>1.3045343190727433E-2</v>
      </c>
      <c r="M112" s="4">
        <f>1.0347*1039.63</f>
        <v>1075.7051610000001</v>
      </c>
      <c r="N112" s="4">
        <f>1.0347*1039.63</f>
        <v>1075.7051610000001</v>
      </c>
      <c r="O112" s="60">
        <v>396</v>
      </c>
      <c r="P112" s="5">
        <v>1.5E-3</v>
      </c>
      <c r="Q112" s="5">
        <v>9.1800000000000007E-2</v>
      </c>
      <c r="R112" s="81">
        <f t="shared" si="76"/>
        <v>0</v>
      </c>
      <c r="S112" s="81">
        <f t="shared" si="77"/>
        <v>0</v>
      </c>
      <c r="T112" s="81">
        <f t="shared" si="78"/>
        <v>0</v>
      </c>
      <c r="U112" s="81">
        <f t="shared" si="79"/>
        <v>0</v>
      </c>
      <c r="V112" s="83">
        <f t="shared" si="80"/>
        <v>0</v>
      </c>
    </row>
    <row r="113" spans="1:22">
      <c r="A113" s="141">
        <v>96</v>
      </c>
      <c r="B113" s="119" t="s">
        <v>145</v>
      </c>
      <c r="C113" s="120" t="s">
        <v>80</v>
      </c>
      <c r="D113" s="4">
        <v>244368441.53</v>
      </c>
      <c r="E113" s="3">
        <f t="shared" si="81"/>
        <v>3.3172725864458419E-4</v>
      </c>
      <c r="F113" s="4">
        <f>1.03*927.38</f>
        <v>955.20140000000004</v>
      </c>
      <c r="G113" s="4">
        <f>1.03*927.38</f>
        <v>955.20140000000004</v>
      </c>
      <c r="H113" s="60">
        <v>3</v>
      </c>
      <c r="I113" s="5">
        <v>1.3058E-2</v>
      </c>
      <c r="J113" s="5">
        <v>0.19688</v>
      </c>
      <c r="K113" s="4">
        <v>250800576.86000001</v>
      </c>
      <c r="L113" s="3">
        <f t="shared" si="70"/>
        <v>3.3410752014105495E-4</v>
      </c>
      <c r="M113" s="4">
        <f>1.02*899.893</f>
        <v>917.89086000000009</v>
      </c>
      <c r="N113" s="4">
        <f>1.02*899.893</f>
        <v>917.89086000000009</v>
      </c>
      <c r="O113" s="60">
        <v>3</v>
      </c>
      <c r="P113" s="5">
        <v>1.3058E-2</v>
      </c>
      <c r="Q113" s="5">
        <v>0.19689999999999999</v>
      </c>
      <c r="R113" s="81">
        <f t="shared" si="76"/>
        <v>2.6321464791968112E-2</v>
      </c>
      <c r="S113" s="81">
        <f t="shared" si="77"/>
        <v>-3.9060390824385248E-2</v>
      </c>
      <c r="T113" s="81">
        <f t="shared" si="78"/>
        <v>0</v>
      </c>
      <c r="U113" s="81">
        <f t="shared" si="79"/>
        <v>0</v>
      </c>
      <c r="V113" s="83">
        <f t="shared" si="80"/>
        <v>1.9999999999992246E-5</v>
      </c>
    </row>
    <row r="114" spans="1:22">
      <c r="A114" s="139">
        <v>97</v>
      </c>
      <c r="B114" s="119" t="s">
        <v>146</v>
      </c>
      <c r="C114" s="120" t="s">
        <v>42</v>
      </c>
      <c r="D114" s="2">
        <v>437577600627.47998</v>
      </c>
      <c r="E114" s="3">
        <f t="shared" si="81"/>
        <v>0.59400639866424165</v>
      </c>
      <c r="F114" s="4">
        <v>1295.25</v>
      </c>
      <c r="G114" s="4">
        <v>1295.25</v>
      </c>
      <c r="H114" s="60">
        <v>9850</v>
      </c>
      <c r="I114" s="5">
        <v>1.4E-3</v>
      </c>
      <c r="J114" s="5">
        <v>7.1300000000000002E-2</v>
      </c>
      <c r="K114" s="2">
        <v>449863140919.21997</v>
      </c>
      <c r="L114" s="3">
        <f t="shared" si="70"/>
        <v>0.5992915179748064</v>
      </c>
      <c r="M114" s="4">
        <v>1328.1</v>
      </c>
      <c r="N114" s="4">
        <v>1328.1</v>
      </c>
      <c r="O114" s="60">
        <v>9988</v>
      </c>
      <c r="P114" s="5">
        <v>1.4E-3</v>
      </c>
      <c r="Q114" s="5">
        <v>7.2700000000000001E-2</v>
      </c>
      <c r="R114" s="81">
        <f t="shared" si="76"/>
        <v>2.8076254986824513E-2</v>
      </c>
      <c r="S114" s="81">
        <f t="shared" si="77"/>
        <v>2.5361899247249495E-2</v>
      </c>
      <c r="T114" s="81">
        <f t="shared" si="78"/>
        <v>1.4010152284263959E-2</v>
      </c>
      <c r="U114" s="81">
        <f t="shared" si="79"/>
        <v>0</v>
      </c>
      <c r="V114" s="83">
        <f t="shared" si="80"/>
        <v>1.3999999999999985E-3</v>
      </c>
    </row>
    <row r="115" spans="1:22" ht="16.5" customHeight="1">
      <c r="A115" s="137">
        <v>98</v>
      </c>
      <c r="B115" s="119" t="s">
        <v>147</v>
      </c>
      <c r="C115" s="120" t="s">
        <v>45</v>
      </c>
      <c r="D115" s="2">
        <v>20562021428.5228</v>
      </c>
      <c r="E115" s="3">
        <f t="shared" si="81"/>
        <v>2.7912700011378862E-2</v>
      </c>
      <c r="F115" s="4">
        <v>960.29</v>
      </c>
      <c r="G115" s="4">
        <v>960.29</v>
      </c>
      <c r="H115" s="60">
        <v>142</v>
      </c>
      <c r="I115" s="5">
        <v>0.1065</v>
      </c>
      <c r="J115" s="5">
        <v>8.5999999999999993E-2</v>
      </c>
      <c r="K115" s="2">
        <v>21065506459.48</v>
      </c>
      <c r="L115" s="3">
        <f t="shared" si="70"/>
        <v>2.8062711066334654E-2</v>
      </c>
      <c r="M115" s="4">
        <v>984.12</v>
      </c>
      <c r="N115" s="4">
        <v>984.12</v>
      </c>
      <c r="O115" s="60">
        <v>142</v>
      </c>
      <c r="P115" s="5">
        <v>0.1065</v>
      </c>
      <c r="Q115" s="5">
        <v>8.5999999999999993E-2</v>
      </c>
      <c r="R115" s="81">
        <f t="shared" si="76"/>
        <v>2.448616410149175E-2</v>
      </c>
      <c r="S115" s="81">
        <f t="shared" si="77"/>
        <v>2.48154203417718E-2</v>
      </c>
      <c r="T115" s="81">
        <f t="shared" si="78"/>
        <v>0</v>
      </c>
      <c r="U115" s="81">
        <f t="shared" si="79"/>
        <v>0</v>
      </c>
      <c r="V115" s="83">
        <f t="shared" si="80"/>
        <v>0</v>
      </c>
    </row>
    <row r="116" spans="1:22">
      <c r="A116" s="132">
        <v>99</v>
      </c>
      <c r="B116" s="119" t="s">
        <v>148</v>
      </c>
      <c r="C116" s="120" t="s">
        <v>32</v>
      </c>
      <c r="D116" s="4">
        <v>23548319319.201698</v>
      </c>
      <c r="E116" s="3">
        <f t="shared" si="81"/>
        <v>3.1966563949654206E-2</v>
      </c>
      <c r="F116" s="4">
        <f>1.1215*832.32</f>
        <v>933.44687999999996</v>
      </c>
      <c r="G116" s="4">
        <f>1.1215*832.32</f>
        <v>933.44687999999996</v>
      </c>
      <c r="H116" s="60">
        <v>1014</v>
      </c>
      <c r="I116" s="5">
        <v>1.0711416584843203E-3</v>
      </c>
      <c r="J116" s="5">
        <v>6.6470140737923122E-2</v>
      </c>
      <c r="K116" s="4">
        <v>25561732723.565258</v>
      </c>
      <c r="L116" s="3">
        <f t="shared" si="70"/>
        <v>3.4052422198160182E-2</v>
      </c>
      <c r="M116" s="4">
        <v>1.1227</v>
      </c>
      <c r="N116" s="4">
        <v>1.1227</v>
      </c>
      <c r="O116" s="60">
        <v>1017</v>
      </c>
      <c r="P116" s="5">
        <v>1.0711416584843203E-3</v>
      </c>
      <c r="Q116" s="5">
        <v>6.7611259033853122E-2</v>
      </c>
      <c r="R116" s="81">
        <f t="shared" si="76"/>
        <v>8.5501363263822752E-2</v>
      </c>
      <c r="S116" s="81">
        <f t="shared" si="77"/>
        <v>-0.99879725346556414</v>
      </c>
      <c r="T116" s="81">
        <f t="shared" si="78"/>
        <v>2.9585798816568047E-3</v>
      </c>
      <c r="U116" s="81">
        <f t="shared" si="79"/>
        <v>0</v>
      </c>
      <c r="V116" s="83">
        <f t="shared" si="80"/>
        <v>1.1411182959299992E-3</v>
      </c>
    </row>
    <row r="117" spans="1:22">
      <c r="A117" s="75"/>
      <c r="B117" s="19"/>
      <c r="C117" s="66" t="s">
        <v>46</v>
      </c>
      <c r="D117" s="59">
        <f>SUM(D94:D116)</f>
        <v>736654691955.29309</v>
      </c>
      <c r="E117" s="104">
        <f>(D117/$D$178)</f>
        <v>0.35049056415061836</v>
      </c>
      <c r="F117" s="30"/>
      <c r="G117" s="11"/>
      <c r="H117" s="65">
        <f>SUM(H94:H116)</f>
        <v>18690</v>
      </c>
      <c r="I117" s="33"/>
      <c r="J117" s="33"/>
      <c r="K117" s="59">
        <f>SUM(K94:K116)</f>
        <v>750658281364.3822</v>
      </c>
      <c r="L117" s="104">
        <f>(K117/$K$178)</f>
        <v>0.35175379269294366</v>
      </c>
      <c r="M117" s="30"/>
      <c r="N117" s="11"/>
      <c r="O117" s="65">
        <f>SUM(O94:O116)</f>
        <v>18857</v>
      </c>
      <c r="P117" s="33"/>
      <c r="Q117" s="33"/>
      <c r="R117" s="81">
        <f t="shared" si="76"/>
        <v>1.900970639570565E-2</v>
      </c>
      <c r="S117" s="81" t="e">
        <f t="shared" si="77"/>
        <v>#DIV/0!</v>
      </c>
      <c r="T117" s="81">
        <f t="shared" si="78"/>
        <v>8.9352594970572505E-3</v>
      </c>
      <c r="U117" s="81">
        <f t="shared" si="79"/>
        <v>0</v>
      </c>
      <c r="V117" s="83">
        <f t="shared" si="80"/>
        <v>0</v>
      </c>
    </row>
    <row r="118" spans="1:22" ht="8.25" customHeight="1">
      <c r="A118" s="151"/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</row>
    <row r="119" spans="1:22" ht="15.75">
      <c r="A119" s="149" t="s">
        <v>149</v>
      </c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</row>
    <row r="120" spans="1:22">
      <c r="A120" s="143">
        <v>100</v>
      </c>
      <c r="B120" s="119" t="s">
        <v>245</v>
      </c>
      <c r="C120" s="120" t="s">
        <v>246</v>
      </c>
      <c r="D120" s="2">
        <v>2164661580.1683798</v>
      </c>
      <c r="E120" s="3">
        <f>(D120/$D$125)</f>
        <v>2.2390230581219365E-2</v>
      </c>
      <c r="F120" s="14">
        <v>102.01</v>
      </c>
      <c r="G120" s="14">
        <v>102.01</v>
      </c>
      <c r="H120" s="60">
        <v>8</v>
      </c>
      <c r="I120" s="5">
        <v>2.3E-3</v>
      </c>
      <c r="J120" s="5">
        <v>2.01E-2</v>
      </c>
      <c r="K120" s="2">
        <v>2164661580.1683798</v>
      </c>
      <c r="L120" s="3">
        <f>(K120/$K$125)</f>
        <v>2.2388631961397371E-2</v>
      </c>
      <c r="M120" s="14">
        <v>102.01</v>
      </c>
      <c r="N120" s="14">
        <v>102.01</v>
      </c>
      <c r="O120" s="60">
        <v>8</v>
      </c>
      <c r="P120" s="5">
        <v>2.3E-3</v>
      </c>
      <c r="Q120" s="5">
        <v>2.01E-2</v>
      </c>
      <c r="R120" s="81">
        <f t="shared" ref="R120" si="82">((K120-D120)/D120)</f>
        <v>0</v>
      </c>
      <c r="S120" s="81">
        <f t="shared" ref="S120" si="83">((N120-G120)/G120)</f>
        <v>0</v>
      </c>
      <c r="T120" s="81">
        <f t="shared" ref="T120" si="84">((O120-H120)/H120)</f>
        <v>0</v>
      </c>
      <c r="U120" s="81">
        <f t="shared" ref="U120" si="85">P120-I120</f>
        <v>0</v>
      </c>
      <c r="V120" s="83">
        <f t="shared" ref="V120" si="86">Q120-J120</f>
        <v>0</v>
      </c>
    </row>
    <row r="121" spans="1:22">
      <c r="A121" s="146">
        <v>101</v>
      </c>
      <c r="B121" s="119" t="s">
        <v>150</v>
      </c>
      <c r="C121" s="120" t="s">
        <v>40</v>
      </c>
      <c r="D121" s="2">
        <v>54330953714</v>
      </c>
      <c r="E121" s="3">
        <f>(D121/$D$125)</f>
        <v>0.56197356321138736</v>
      </c>
      <c r="F121" s="14">
        <v>102.5</v>
      </c>
      <c r="G121" s="14">
        <v>102.5</v>
      </c>
      <c r="H121" s="60">
        <v>675</v>
      </c>
      <c r="I121" s="5">
        <v>0</v>
      </c>
      <c r="J121" s="5">
        <v>7.6999999999999999E-2</v>
      </c>
      <c r="K121" s="2">
        <v>54330953714</v>
      </c>
      <c r="L121" s="3">
        <f>(K121/$K$125)</f>
        <v>0.56193343936923545</v>
      </c>
      <c r="M121" s="14">
        <v>102.5</v>
      </c>
      <c r="N121" s="14">
        <v>102.5</v>
      </c>
      <c r="O121" s="60">
        <v>675</v>
      </c>
      <c r="P121" s="5">
        <v>0</v>
      </c>
      <c r="Q121" s="5">
        <v>7.6999999999999999E-2</v>
      </c>
      <c r="R121" s="81">
        <f t="shared" ref="R121" si="87">((K121-D121)/D121)</f>
        <v>0</v>
      </c>
      <c r="S121" s="81">
        <f t="shared" ref="S121" si="88">((N121-G121)/G121)</f>
        <v>0</v>
      </c>
      <c r="T121" s="81">
        <f t="shared" ref="T121" si="89">((O121-H121)/H121)</f>
        <v>0</v>
      </c>
      <c r="U121" s="81">
        <f t="shared" ref="U121" si="90">P121-I121</f>
        <v>0</v>
      </c>
      <c r="V121" s="83">
        <f t="shared" ref="V121" si="91">Q121-J121</f>
        <v>0</v>
      </c>
    </row>
    <row r="122" spans="1:22" ht="17.25" customHeight="1">
      <c r="A122" s="136">
        <v>102</v>
      </c>
      <c r="B122" s="119" t="s">
        <v>151</v>
      </c>
      <c r="C122" s="120" t="s">
        <v>120</v>
      </c>
      <c r="D122" s="2">
        <v>2587114262.8499999</v>
      </c>
      <c r="E122" s="3">
        <f>(D122/$D$125)</f>
        <v>2.6759880350750734E-2</v>
      </c>
      <c r="F122" s="14">
        <v>101.35</v>
      </c>
      <c r="G122" s="14">
        <v>101.35</v>
      </c>
      <c r="H122" s="60">
        <v>2743</v>
      </c>
      <c r="I122" s="5">
        <v>8.9200000000000002E-2</v>
      </c>
      <c r="J122" s="5">
        <v>0.13830000000000001</v>
      </c>
      <c r="K122" s="2">
        <v>2588695257.02</v>
      </c>
      <c r="L122" s="3">
        <f>(K122/$K$125)</f>
        <v>2.6774321630971758E-2</v>
      </c>
      <c r="M122" s="14">
        <v>101.35</v>
      </c>
      <c r="N122" s="14">
        <v>101.35</v>
      </c>
      <c r="O122" s="60">
        <v>2743</v>
      </c>
      <c r="P122" s="5">
        <v>3.1899999999999998E-2</v>
      </c>
      <c r="Q122" s="5">
        <v>0.1363</v>
      </c>
      <c r="R122" s="81">
        <f t="shared" ref="R122:R125" si="92">((K122-D122)/D122)</f>
        <v>6.11103341163769E-4</v>
      </c>
      <c r="S122" s="81">
        <f t="shared" ref="S122:S125" si="93">((N122-G122)/G122)</f>
        <v>0</v>
      </c>
      <c r="T122" s="81">
        <f t="shared" ref="T122:T125" si="94">((O122-H122)/H122)</f>
        <v>0</v>
      </c>
      <c r="U122" s="81">
        <f t="shared" ref="U122:U125" si="95">P122-I122</f>
        <v>-5.7300000000000004E-2</v>
      </c>
      <c r="V122" s="83">
        <f t="shared" ref="V122:V125" si="96">Q122-J122</f>
        <v>-2.0000000000000018E-3</v>
      </c>
    </row>
    <row r="123" spans="1:22">
      <c r="A123" s="144">
        <v>103</v>
      </c>
      <c r="B123" s="119" t="s">
        <v>152</v>
      </c>
      <c r="C123" s="120" t="s">
        <v>120</v>
      </c>
      <c r="D123" s="2">
        <v>10798269632.190001</v>
      </c>
      <c r="E123" s="3">
        <f>(D123/$D$125)</f>
        <v>0.11169216895516121</v>
      </c>
      <c r="F123" s="14">
        <v>36.6</v>
      </c>
      <c r="G123" s="14">
        <v>36.6</v>
      </c>
      <c r="H123" s="60">
        <v>5264</v>
      </c>
      <c r="I123" s="5">
        <v>0.10539999999999999</v>
      </c>
      <c r="J123" s="5">
        <v>0.34239999999999998</v>
      </c>
      <c r="K123" s="2">
        <v>10798269632.190001</v>
      </c>
      <c r="L123" s="3">
        <f>(K123/$K$125)</f>
        <v>0.11168419434701211</v>
      </c>
      <c r="M123" s="14">
        <v>36.6</v>
      </c>
      <c r="N123" s="14">
        <v>36.6</v>
      </c>
      <c r="O123" s="60">
        <v>5264</v>
      </c>
      <c r="P123" s="5">
        <v>0.10539999999999999</v>
      </c>
      <c r="Q123" s="5">
        <v>0.34239999999999998</v>
      </c>
      <c r="R123" s="81">
        <f t="shared" si="92"/>
        <v>0</v>
      </c>
      <c r="S123" s="81">
        <f t="shared" si="93"/>
        <v>0</v>
      </c>
      <c r="T123" s="81">
        <f t="shared" si="94"/>
        <v>0</v>
      </c>
      <c r="U123" s="81">
        <f t="shared" si="95"/>
        <v>0</v>
      </c>
      <c r="V123" s="83">
        <f t="shared" si="96"/>
        <v>0</v>
      </c>
    </row>
    <row r="124" spans="1:22">
      <c r="A124" s="139">
        <v>104</v>
      </c>
      <c r="B124" s="119" t="s">
        <v>153</v>
      </c>
      <c r="C124" s="120" t="s">
        <v>42</v>
      </c>
      <c r="D124" s="2">
        <v>26797843501.41</v>
      </c>
      <c r="E124" s="3">
        <f>(D124/$D$125)</f>
        <v>0.27718415690148135</v>
      </c>
      <c r="F124" s="14">
        <v>4.95</v>
      </c>
      <c r="G124" s="14">
        <v>4.95</v>
      </c>
      <c r="H124" s="60">
        <v>208853</v>
      </c>
      <c r="I124" s="5">
        <v>8.7900000000000006E-2</v>
      </c>
      <c r="J124" s="5">
        <v>0.65</v>
      </c>
      <c r="K124" s="2">
        <v>26803165685.360001</v>
      </c>
      <c r="L124" s="3">
        <f>(K124/$K$125)</f>
        <v>0.27721941269138339</v>
      </c>
      <c r="M124" s="14">
        <v>6.4</v>
      </c>
      <c r="N124" s="14">
        <v>6.4</v>
      </c>
      <c r="O124" s="60">
        <v>208853</v>
      </c>
      <c r="P124" s="5">
        <v>0.29289999999999999</v>
      </c>
      <c r="Q124" s="5">
        <v>1.1333</v>
      </c>
      <c r="R124" s="81">
        <f t="shared" si="92"/>
        <v>1.9860493437543695E-4</v>
      </c>
      <c r="S124" s="81">
        <f t="shared" si="93"/>
        <v>0.29292929292929293</v>
      </c>
      <c r="T124" s="81">
        <f t="shared" si="94"/>
        <v>0</v>
      </c>
      <c r="U124" s="81">
        <f t="shared" si="95"/>
        <v>0.20499999999999999</v>
      </c>
      <c r="V124" s="83">
        <f t="shared" si="96"/>
        <v>0.48329999999999995</v>
      </c>
    </row>
    <row r="125" spans="1:22">
      <c r="A125" s="75"/>
      <c r="B125" s="19"/>
      <c r="C125" s="71" t="s">
        <v>46</v>
      </c>
      <c r="D125" s="58">
        <f>SUM(D120:D124)</f>
        <v>96678842690.618378</v>
      </c>
      <c r="E125" s="104">
        <f>(D125/$D$178)</f>
        <v>4.5998515296390957E-2</v>
      </c>
      <c r="F125" s="30"/>
      <c r="G125" s="34"/>
      <c r="H125" s="65">
        <f>SUM(H120:H124)</f>
        <v>217543</v>
      </c>
      <c r="I125" s="35"/>
      <c r="J125" s="35"/>
      <c r="K125" s="58">
        <f>SUM(K120:K124)</f>
        <v>96685745868.738373</v>
      </c>
      <c r="L125" s="104">
        <f>(K125/$K$178)</f>
        <v>4.5306337987585606E-2</v>
      </c>
      <c r="M125" s="30"/>
      <c r="N125" s="34"/>
      <c r="O125" s="65">
        <f>SUM(O120:O124)</f>
        <v>217543</v>
      </c>
      <c r="P125" s="35"/>
      <c r="Q125" s="35"/>
      <c r="R125" s="81">
        <f t="shared" si="92"/>
        <v>7.1403193582756806E-5</v>
      </c>
      <c r="S125" s="81" t="e">
        <f t="shared" si="93"/>
        <v>#DIV/0!</v>
      </c>
      <c r="T125" s="81">
        <f t="shared" si="94"/>
        <v>0</v>
      </c>
      <c r="U125" s="81">
        <f t="shared" si="95"/>
        <v>0</v>
      </c>
      <c r="V125" s="83">
        <f t="shared" si="96"/>
        <v>0</v>
      </c>
    </row>
    <row r="126" spans="1:22" ht="7.5" customHeight="1">
      <c r="A126" s="151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</row>
    <row r="127" spans="1:22" ht="15" customHeight="1">
      <c r="A127" s="149" t="s">
        <v>154</v>
      </c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</row>
    <row r="128" spans="1:22">
      <c r="A128" s="146">
        <v>105</v>
      </c>
      <c r="B128" s="119" t="s">
        <v>155</v>
      </c>
      <c r="C128" s="120" t="s">
        <v>50</v>
      </c>
      <c r="D128" s="4">
        <v>222467648.09999999</v>
      </c>
      <c r="E128" s="3">
        <f t="shared" ref="E128:E151" si="97">(D128/$D$152)</f>
        <v>5.2800227112785592E-3</v>
      </c>
      <c r="F128" s="4">
        <v>4.93</v>
      </c>
      <c r="G128" s="4">
        <v>5.03</v>
      </c>
      <c r="H128" s="62">
        <v>11813</v>
      </c>
      <c r="I128" s="6">
        <v>6.868E-3</v>
      </c>
      <c r="J128" s="6">
        <v>0.310805</v>
      </c>
      <c r="K128" s="4">
        <v>222467648.09999999</v>
      </c>
      <c r="L128" s="16">
        <f t="shared" ref="L128:L143" si="98">(K128/$K$152)</f>
        <v>5.2276713613699788E-3</v>
      </c>
      <c r="M128" s="4">
        <v>4.93</v>
      </c>
      <c r="N128" s="4">
        <v>5.03</v>
      </c>
      <c r="O128" s="62">
        <v>11813</v>
      </c>
      <c r="P128" s="6">
        <v>6.868E-3</v>
      </c>
      <c r="Q128" s="6">
        <v>0.310805</v>
      </c>
      <c r="R128" s="81">
        <f t="shared" ref="R128" si="99">((K128-D128)/D128)</f>
        <v>0</v>
      </c>
      <c r="S128" s="81">
        <f t="shared" ref="S128" si="100">((N128-G128)/G128)</f>
        <v>0</v>
      </c>
      <c r="T128" s="81">
        <f t="shared" ref="T128" si="101">((O128-H128)/H128)</f>
        <v>0</v>
      </c>
      <c r="U128" s="81">
        <f t="shared" ref="U128" si="102">P128-I128</f>
        <v>0</v>
      </c>
      <c r="V128" s="83">
        <f t="shared" ref="V128" si="103">Q128-J128</f>
        <v>0</v>
      </c>
    </row>
    <row r="129" spans="1:24">
      <c r="A129" s="143">
        <v>106</v>
      </c>
      <c r="B129" s="119" t="s">
        <v>156</v>
      </c>
      <c r="C129" s="120" t="s">
        <v>21</v>
      </c>
      <c r="D129" s="4">
        <v>6180522348.3999996</v>
      </c>
      <c r="E129" s="3">
        <f t="shared" si="97"/>
        <v>0.14668783819051257</v>
      </c>
      <c r="F129" s="4">
        <v>658.78959999999995</v>
      </c>
      <c r="G129" s="4">
        <v>678.65260000000001</v>
      </c>
      <c r="H129" s="62">
        <v>21194</v>
      </c>
      <c r="I129" s="6">
        <v>0.42899999999999999</v>
      </c>
      <c r="J129" s="6">
        <v>0.25779999999999997</v>
      </c>
      <c r="K129" s="4">
        <v>6202888652.2799997</v>
      </c>
      <c r="L129" s="16">
        <f t="shared" si="98"/>
        <v>0.14575900649929593</v>
      </c>
      <c r="M129" s="4">
        <v>661.07410000000004</v>
      </c>
      <c r="N129" s="4">
        <v>681.00599999999997</v>
      </c>
      <c r="O129" s="62">
        <v>21198</v>
      </c>
      <c r="P129" s="6">
        <v>0.18079999999999999</v>
      </c>
      <c r="Q129" s="6">
        <v>0.2571</v>
      </c>
      <c r="R129" s="81">
        <f t="shared" ref="R129:R152" si="104">((K129-D129)/D129)</f>
        <v>3.6188371498713625E-3</v>
      </c>
      <c r="S129" s="81">
        <f t="shared" ref="S129:S152" si="105">((N129-G129)/G129)</f>
        <v>3.4677536047161171E-3</v>
      </c>
      <c r="T129" s="81">
        <f t="shared" ref="T129:T152" si="106">((O129-H129)/H129)</f>
        <v>1.8873266018684534E-4</v>
      </c>
      <c r="U129" s="81">
        <f t="shared" ref="U129:U152" si="107">P129-I129</f>
        <v>-0.2482</v>
      </c>
      <c r="V129" s="83">
        <f t="shared" ref="V129:V152" si="108">Q129-J129</f>
        <v>-6.9999999999997842E-4</v>
      </c>
    </row>
    <row r="130" spans="1:24">
      <c r="A130" s="142">
        <v>107</v>
      </c>
      <c r="B130" s="119" t="s">
        <v>157</v>
      </c>
      <c r="C130" s="120" t="s">
        <v>91</v>
      </c>
      <c r="D130" s="4">
        <v>3301669555.5799999</v>
      </c>
      <c r="E130" s="3">
        <f t="shared" si="97"/>
        <v>7.8361462385592537E-2</v>
      </c>
      <c r="F130" s="4">
        <v>18.392199999999999</v>
      </c>
      <c r="G130" s="4">
        <v>18.603400000000001</v>
      </c>
      <c r="H130" s="60">
        <v>6269</v>
      </c>
      <c r="I130" s="5">
        <v>1.34E-2</v>
      </c>
      <c r="J130" s="5">
        <v>0.32750000000000001</v>
      </c>
      <c r="K130" s="4">
        <v>3320971156.52</v>
      </c>
      <c r="L130" s="16">
        <f t="shared" si="98"/>
        <v>7.8038069603143079E-2</v>
      </c>
      <c r="M130" s="4">
        <v>18.354600000000001</v>
      </c>
      <c r="N130" s="4">
        <v>18.564900000000002</v>
      </c>
      <c r="O130" s="60">
        <v>6269</v>
      </c>
      <c r="P130" s="5">
        <v>1.15E-2</v>
      </c>
      <c r="Q130" s="5">
        <v>0.32479999999999998</v>
      </c>
      <c r="R130" s="81">
        <f t="shared" si="104"/>
        <v>5.8460123325725644E-3</v>
      </c>
      <c r="S130" s="81">
        <f t="shared" si="105"/>
        <v>-2.0695141748282081E-3</v>
      </c>
      <c r="T130" s="81">
        <f t="shared" si="106"/>
        <v>0</v>
      </c>
      <c r="U130" s="81">
        <f t="shared" si="107"/>
        <v>-1.9000000000000006E-3</v>
      </c>
      <c r="V130" s="83">
        <f t="shared" si="108"/>
        <v>-2.7000000000000357E-3</v>
      </c>
    </row>
    <row r="131" spans="1:24">
      <c r="A131" s="136">
        <v>108</v>
      </c>
      <c r="B131" s="119" t="s">
        <v>158</v>
      </c>
      <c r="C131" s="120" t="s">
        <v>101</v>
      </c>
      <c r="D131" s="2">
        <v>1272637728.2993147</v>
      </c>
      <c r="E131" s="3">
        <f t="shared" si="97"/>
        <v>3.0204643983245013E-2</v>
      </c>
      <c r="F131" s="4">
        <v>2.9868999999999999</v>
      </c>
      <c r="G131" s="4">
        <v>3.0596999999999999</v>
      </c>
      <c r="H131" s="60">
        <v>2754</v>
      </c>
      <c r="I131" s="5">
        <v>0.17960000000000001</v>
      </c>
      <c r="J131" s="5">
        <v>0.3427</v>
      </c>
      <c r="K131" s="2">
        <v>1327437206.3217933</v>
      </c>
      <c r="L131" s="16">
        <f t="shared" si="98"/>
        <v>3.1192874679855126E-2</v>
      </c>
      <c r="M131" s="4">
        <v>3.1042575264476047</v>
      </c>
      <c r="N131" s="4">
        <v>3.1818093455744951</v>
      </c>
      <c r="O131" s="60">
        <v>2754</v>
      </c>
      <c r="P131" s="5">
        <v>0.95299999999999996</v>
      </c>
      <c r="Q131" s="5">
        <v>0.375</v>
      </c>
      <c r="R131" s="81">
        <f t="shared" si="104"/>
        <v>4.3059762259059914E-2</v>
      </c>
      <c r="S131" s="81">
        <f t="shared" si="105"/>
        <v>3.9908927533580177E-2</v>
      </c>
      <c r="T131" s="81">
        <f t="shared" si="106"/>
        <v>0</v>
      </c>
      <c r="U131" s="81">
        <f t="shared" si="107"/>
        <v>0.77339999999999998</v>
      </c>
      <c r="V131" s="83">
        <f t="shared" si="108"/>
        <v>3.2299999999999995E-2</v>
      </c>
    </row>
    <row r="132" spans="1:24">
      <c r="A132" s="132">
        <v>109</v>
      </c>
      <c r="B132" s="119" t="s">
        <v>159</v>
      </c>
      <c r="C132" s="120" t="s">
        <v>56</v>
      </c>
      <c r="D132" s="2">
        <v>3083696010.7340698</v>
      </c>
      <c r="E132" s="3">
        <f t="shared" si="97"/>
        <v>7.3188102227053561E-2</v>
      </c>
      <c r="F132" s="4">
        <v>5738.6940583649302</v>
      </c>
      <c r="G132" s="4">
        <v>5782.2759765460996</v>
      </c>
      <c r="H132" s="60">
        <v>849</v>
      </c>
      <c r="I132" s="5">
        <v>1.0455227705248558</v>
      </c>
      <c r="J132" s="5">
        <v>0.37297491237469244</v>
      </c>
      <c r="K132" s="2">
        <v>3109790657.5967598</v>
      </c>
      <c r="L132" s="16">
        <f t="shared" si="98"/>
        <v>7.3075630094614624E-2</v>
      </c>
      <c r="M132" s="4">
        <v>5785.9149157854099</v>
      </c>
      <c r="N132" s="4">
        <v>5830.1369876526596</v>
      </c>
      <c r="O132" s="60">
        <v>848</v>
      </c>
      <c r="P132" s="5">
        <v>0.42905762140260106</v>
      </c>
      <c r="Q132" s="5">
        <v>0.37706623975762882</v>
      </c>
      <c r="R132" s="81">
        <f t="shared" si="104"/>
        <v>8.4621333529170326E-3</v>
      </c>
      <c r="S132" s="81">
        <f t="shared" si="105"/>
        <v>8.2771924585911226E-3</v>
      </c>
      <c r="T132" s="81">
        <f t="shared" si="106"/>
        <v>-1.1778563015312131E-3</v>
      </c>
      <c r="U132" s="81">
        <f t="shared" si="107"/>
        <v>-0.6164651491222547</v>
      </c>
      <c r="V132" s="83">
        <f t="shared" si="108"/>
        <v>4.0913273829363828E-3</v>
      </c>
    </row>
    <row r="133" spans="1:24">
      <c r="A133" s="135">
        <v>110</v>
      </c>
      <c r="B133" s="119" t="s">
        <v>160</v>
      </c>
      <c r="C133" s="120" t="s">
        <v>58</v>
      </c>
      <c r="D133" s="4">
        <v>464583600.13</v>
      </c>
      <c r="E133" s="3">
        <f t="shared" si="97"/>
        <v>1.1026376108724442E-2</v>
      </c>
      <c r="F133" s="4">
        <v>172.2</v>
      </c>
      <c r="G133" s="4">
        <v>173.44</v>
      </c>
      <c r="H133" s="60">
        <v>636</v>
      </c>
      <c r="I133" s="5">
        <v>2.9000000000000001E-2</v>
      </c>
      <c r="J133" s="5">
        <v>0.33529999999999999</v>
      </c>
      <c r="K133" s="4">
        <v>468615930.75</v>
      </c>
      <c r="L133" s="16">
        <f t="shared" si="98"/>
        <v>1.1011803745784789E-2</v>
      </c>
      <c r="M133" s="4">
        <v>172.95</v>
      </c>
      <c r="N133" s="4">
        <v>174.2</v>
      </c>
      <c r="O133" s="60">
        <v>640</v>
      </c>
      <c r="P133" s="5">
        <v>4.4000000000000003E-3</v>
      </c>
      <c r="Q133" s="5">
        <v>0.34079999999999999</v>
      </c>
      <c r="R133" s="81">
        <f t="shared" si="104"/>
        <v>8.6794510586935825E-3</v>
      </c>
      <c r="S133" s="81">
        <f t="shared" si="105"/>
        <v>4.3819188191881395E-3</v>
      </c>
      <c r="T133" s="81">
        <f t="shared" si="106"/>
        <v>6.2893081761006293E-3</v>
      </c>
      <c r="U133" s="81">
        <f t="shared" si="107"/>
        <v>-2.46E-2</v>
      </c>
      <c r="V133" s="83">
        <f t="shared" si="108"/>
        <v>5.5000000000000049E-3</v>
      </c>
    </row>
    <row r="134" spans="1:24">
      <c r="A134" s="142">
        <v>111</v>
      </c>
      <c r="B134" s="119" t="s">
        <v>161</v>
      </c>
      <c r="C134" s="120" t="s">
        <v>60</v>
      </c>
      <c r="D134" s="4">
        <v>3734808.11</v>
      </c>
      <c r="E134" s="3">
        <f t="shared" si="97"/>
        <v>8.8641525235180253E-5</v>
      </c>
      <c r="F134" s="4">
        <v>102.747</v>
      </c>
      <c r="G134" s="4">
        <v>102.99</v>
      </c>
      <c r="H134" s="60">
        <v>0</v>
      </c>
      <c r="I134" s="5">
        <v>0</v>
      </c>
      <c r="J134" s="5">
        <v>0</v>
      </c>
      <c r="K134" s="4">
        <v>3734808.11</v>
      </c>
      <c r="L134" s="16">
        <f t="shared" si="98"/>
        <v>8.7762645776176285E-5</v>
      </c>
      <c r="M134" s="4">
        <v>102.747</v>
      </c>
      <c r="N134" s="4">
        <v>102.99</v>
      </c>
      <c r="O134" s="60">
        <v>0</v>
      </c>
      <c r="P134" s="5">
        <v>0</v>
      </c>
      <c r="Q134" s="5">
        <v>0</v>
      </c>
      <c r="R134" s="81">
        <f t="shared" si="104"/>
        <v>0</v>
      </c>
      <c r="S134" s="81">
        <f t="shared" si="105"/>
        <v>0</v>
      </c>
      <c r="T134" s="81" t="e">
        <f t="shared" si="106"/>
        <v>#DIV/0!</v>
      </c>
      <c r="U134" s="81">
        <f t="shared" si="107"/>
        <v>0</v>
      </c>
      <c r="V134" s="83">
        <f t="shared" si="108"/>
        <v>0</v>
      </c>
    </row>
    <row r="135" spans="1:24">
      <c r="A135" s="133">
        <v>112</v>
      </c>
      <c r="B135" s="119" t="s">
        <v>162</v>
      </c>
      <c r="C135" s="120" t="s">
        <v>105</v>
      </c>
      <c r="D135" s="4">
        <v>173090687.41</v>
      </c>
      <c r="E135" s="3">
        <f t="shared" si="97"/>
        <v>4.108115352686275E-3</v>
      </c>
      <c r="F135" s="4">
        <v>1.5208999999999999</v>
      </c>
      <c r="G135" s="4">
        <v>1.5355000000000001</v>
      </c>
      <c r="H135" s="60">
        <v>271</v>
      </c>
      <c r="I135" s="5">
        <v>9.3575789753119754E-3</v>
      </c>
      <c r="J135" s="5">
        <v>2.3968221908031939E-2</v>
      </c>
      <c r="K135" s="4">
        <v>174128401.77000001</v>
      </c>
      <c r="L135" s="16">
        <f t="shared" si="98"/>
        <v>4.0917682499388751E-3</v>
      </c>
      <c r="M135" s="4">
        <v>1.5303</v>
      </c>
      <c r="N135" s="4">
        <v>1.5449999999999999</v>
      </c>
      <c r="O135" s="60">
        <v>271</v>
      </c>
      <c r="P135" s="5">
        <v>6.180550989545619E-3</v>
      </c>
      <c r="Q135" s="5">
        <v>3.0296909715209042E-2</v>
      </c>
      <c r="R135" s="81">
        <f t="shared" si="104"/>
        <v>5.9952061865811406E-3</v>
      </c>
      <c r="S135" s="81">
        <f t="shared" si="105"/>
        <v>6.1869098013675296E-3</v>
      </c>
      <c r="T135" s="81">
        <f t="shared" si="106"/>
        <v>0</v>
      </c>
      <c r="U135" s="81">
        <f t="shared" si="107"/>
        <v>-3.1770279857663564E-3</v>
      </c>
      <c r="V135" s="83">
        <f t="shared" si="108"/>
        <v>6.3286878071771024E-3</v>
      </c>
    </row>
    <row r="136" spans="1:24">
      <c r="A136" s="134">
        <v>113</v>
      </c>
      <c r="B136" s="119" t="s">
        <v>163</v>
      </c>
      <c r="C136" s="120" t="s">
        <v>25</v>
      </c>
      <c r="D136" s="9">
        <v>134356238.81999999</v>
      </c>
      <c r="E136" s="3">
        <f t="shared" si="97"/>
        <v>3.1887962066856853E-3</v>
      </c>
      <c r="F136" s="4">
        <v>130.78020000000001</v>
      </c>
      <c r="G136" s="4">
        <v>132.25020000000001</v>
      </c>
      <c r="H136" s="60">
        <v>82</v>
      </c>
      <c r="I136" s="5">
        <v>1.751E-3</v>
      </c>
      <c r="J136" s="5">
        <v>0.27629999999999999</v>
      </c>
      <c r="K136" s="9">
        <v>142587412.02000001</v>
      </c>
      <c r="L136" s="16">
        <f t="shared" si="98"/>
        <v>3.3506001284903928E-3</v>
      </c>
      <c r="M136" s="4">
        <v>132.89830000000001</v>
      </c>
      <c r="N136" s="4">
        <v>133.40389999999999</v>
      </c>
      <c r="O136" s="60">
        <v>83</v>
      </c>
      <c r="P136" s="5">
        <v>1.601E-3</v>
      </c>
      <c r="Q136" s="5">
        <v>0.28160000000000002</v>
      </c>
      <c r="R136" s="81">
        <f t="shared" si="104"/>
        <v>6.1263795952397129E-2</v>
      </c>
      <c r="S136" s="81">
        <f t="shared" si="105"/>
        <v>8.7236162969884842E-3</v>
      </c>
      <c r="T136" s="81">
        <f t="shared" si="106"/>
        <v>1.2195121951219513E-2</v>
      </c>
      <c r="U136" s="81">
        <f t="shared" si="107"/>
        <v>-1.4999999999999996E-4</v>
      </c>
      <c r="V136" s="83">
        <f t="shared" si="108"/>
        <v>5.3000000000000269E-3</v>
      </c>
    </row>
    <row r="137" spans="1:24">
      <c r="A137" s="143">
        <v>114</v>
      </c>
      <c r="B137" s="119" t="s">
        <v>164</v>
      </c>
      <c r="C137" s="120" t="s">
        <v>64</v>
      </c>
      <c r="D137" s="9">
        <v>183047002.47</v>
      </c>
      <c r="E137" s="3">
        <f t="shared" si="97"/>
        <v>4.344417440142221E-3</v>
      </c>
      <c r="F137" s="4">
        <v>115.75</v>
      </c>
      <c r="G137" s="4">
        <v>117.98</v>
      </c>
      <c r="H137" s="60">
        <v>29</v>
      </c>
      <c r="I137" s="5">
        <v>8.9999999999999998E-4</v>
      </c>
      <c r="J137" s="5">
        <v>0.124</v>
      </c>
      <c r="K137" s="9">
        <v>183796417.68000001</v>
      </c>
      <c r="L137" s="16">
        <f t="shared" si="98"/>
        <v>4.3189527881206148E-3</v>
      </c>
      <c r="M137" s="4">
        <v>116.07</v>
      </c>
      <c r="N137" s="4">
        <v>118.38</v>
      </c>
      <c r="O137" s="60">
        <v>30</v>
      </c>
      <c r="P137" s="5">
        <v>3.3999999999999998E-3</v>
      </c>
      <c r="Q137" s="5">
        <v>0.12740000000000001</v>
      </c>
      <c r="R137" s="81">
        <f t="shared" si="104"/>
        <v>4.0941135330682717E-3</v>
      </c>
      <c r="S137" s="81">
        <f t="shared" si="105"/>
        <v>3.390405153415761E-3</v>
      </c>
      <c r="T137" s="81">
        <f t="shared" si="106"/>
        <v>3.4482758620689655E-2</v>
      </c>
      <c r="U137" s="81">
        <f t="shared" si="107"/>
        <v>2.4999999999999996E-3</v>
      </c>
      <c r="V137" s="83">
        <f t="shared" si="108"/>
        <v>3.4000000000000141E-3</v>
      </c>
    </row>
    <row r="138" spans="1:24" ht="15.75" customHeight="1">
      <c r="A138" s="132">
        <v>115</v>
      </c>
      <c r="B138" s="119" t="s">
        <v>165</v>
      </c>
      <c r="C138" s="120" t="s">
        <v>67</v>
      </c>
      <c r="D138" s="2">
        <v>466952247.86000001</v>
      </c>
      <c r="E138" s="3">
        <f t="shared" si="97"/>
        <v>1.1082593333638856E-2</v>
      </c>
      <c r="F138" s="4">
        <v>1.2907</v>
      </c>
      <c r="G138" s="4">
        <v>1.304</v>
      </c>
      <c r="H138" s="60">
        <v>101</v>
      </c>
      <c r="I138" s="5">
        <v>9.1477716966380327E-3</v>
      </c>
      <c r="J138" s="5">
        <v>0.26995605136138562</v>
      </c>
      <c r="K138" s="2">
        <v>471765216.60000002</v>
      </c>
      <c r="L138" s="16">
        <f t="shared" si="98"/>
        <v>1.1085807456380103E-2</v>
      </c>
      <c r="M138" s="4">
        <v>1.3032999999999999</v>
      </c>
      <c r="N138" s="4">
        <v>1.3169</v>
      </c>
      <c r="O138" s="60">
        <v>102</v>
      </c>
      <c r="P138" s="5">
        <v>9.7621445727124386E-3</v>
      </c>
      <c r="Q138" s="5">
        <v>0.27651281767975588</v>
      </c>
      <c r="R138" s="81">
        <f t="shared" si="104"/>
        <v>1.0307196853762694E-2</v>
      </c>
      <c r="S138" s="81">
        <f t="shared" si="105"/>
        <v>9.8926380368097484E-3</v>
      </c>
      <c r="T138" s="81">
        <f t="shared" si="106"/>
        <v>9.9009900990099011E-3</v>
      </c>
      <c r="U138" s="81">
        <f t="shared" si="107"/>
        <v>6.1437287607440591E-4</v>
      </c>
      <c r="V138" s="83">
        <f t="shared" si="108"/>
        <v>6.5567663183702662E-3</v>
      </c>
      <c r="X138" s="109"/>
    </row>
    <row r="139" spans="1:24">
      <c r="A139" s="136">
        <v>116</v>
      </c>
      <c r="B139" s="119" t="s">
        <v>166</v>
      </c>
      <c r="C139" s="120" t="s">
        <v>27</v>
      </c>
      <c r="D139" s="4">
        <v>7211394099.8299999</v>
      </c>
      <c r="E139" s="3">
        <f t="shared" si="97"/>
        <v>0.17115443504831387</v>
      </c>
      <c r="F139" s="4">
        <v>268.95999999999998</v>
      </c>
      <c r="G139" s="4">
        <v>271.27</v>
      </c>
      <c r="H139" s="60">
        <v>5475</v>
      </c>
      <c r="I139" s="5">
        <v>1.5599999999999999E-2</v>
      </c>
      <c r="J139" s="5">
        <v>0.45379999999999998</v>
      </c>
      <c r="K139" s="4">
        <v>7288418223.6000004</v>
      </c>
      <c r="L139" s="16">
        <f t="shared" si="98"/>
        <v>0.17126739794576348</v>
      </c>
      <c r="M139" s="4">
        <v>270.33999999999997</v>
      </c>
      <c r="N139" s="4">
        <v>272.66000000000003</v>
      </c>
      <c r="O139" s="60">
        <v>5476</v>
      </c>
      <c r="P139" s="5">
        <v>5.1000000000000004E-3</v>
      </c>
      <c r="Q139" s="5">
        <v>0.46239999999999998</v>
      </c>
      <c r="R139" s="81">
        <f t="shared" si="104"/>
        <v>1.0680892307884852E-2</v>
      </c>
      <c r="S139" s="81">
        <f t="shared" si="105"/>
        <v>5.1240461532791803E-3</v>
      </c>
      <c r="T139" s="81">
        <f t="shared" si="106"/>
        <v>1.8264840182648402E-4</v>
      </c>
      <c r="U139" s="81">
        <f t="shared" si="107"/>
        <v>-1.0499999999999999E-2</v>
      </c>
      <c r="V139" s="83">
        <f t="shared" si="108"/>
        <v>8.5999999999999965E-3</v>
      </c>
    </row>
    <row r="140" spans="1:24">
      <c r="A140" s="136">
        <v>117</v>
      </c>
      <c r="B140" s="119" t="s">
        <v>167</v>
      </c>
      <c r="C140" s="120" t="s">
        <v>72</v>
      </c>
      <c r="D140" s="4">
        <v>2495246620.1599998</v>
      </c>
      <c r="E140" s="3">
        <f t="shared" si="97"/>
        <v>5.9221909060519544E-2</v>
      </c>
      <c r="F140" s="4">
        <v>1.7385999999999999</v>
      </c>
      <c r="G140" s="4">
        <v>1.7692000000000001</v>
      </c>
      <c r="H140" s="60">
        <v>10316</v>
      </c>
      <c r="I140" s="5">
        <v>1.3100000000000001E-2</v>
      </c>
      <c r="J140" s="5">
        <v>0.35139999999999999</v>
      </c>
      <c r="K140" s="4">
        <v>2496392540.98</v>
      </c>
      <c r="L140" s="16">
        <f t="shared" si="98"/>
        <v>5.8661652175837325E-2</v>
      </c>
      <c r="M140" s="4">
        <v>1.7391000000000001</v>
      </c>
      <c r="N140" s="4">
        <v>1.7697000000000001</v>
      </c>
      <c r="O140" s="60">
        <v>10316</v>
      </c>
      <c r="P140" s="5">
        <v>2.9999999999999997E-4</v>
      </c>
      <c r="Q140" s="5">
        <v>0.3518</v>
      </c>
      <c r="R140" s="81">
        <f t="shared" si="104"/>
        <v>4.5924150772988249E-4</v>
      </c>
      <c r="S140" s="81">
        <f t="shared" si="105"/>
        <v>2.8261361067145879E-4</v>
      </c>
      <c r="T140" s="81">
        <f t="shared" si="106"/>
        <v>0</v>
      </c>
      <c r="U140" s="81">
        <f t="shared" si="107"/>
        <v>-1.2800000000000001E-2</v>
      </c>
      <c r="V140" s="83">
        <f t="shared" si="108"/>
        <v>4.0000000000001146E-4</v>
      </c>
    </row>
    <row r="141" spans="1:24">
      <c r="A141" s="140">
        <v>118</v>
      </c>
      <c r="B141" s="119" t="s">
        <v>168</v>
      </c>
      <c r="C141" s="120" t="s">
        <v>74</v>
      </c>
      <c r="D141" s="4">
        <v>192249135.49759302</v>
      </c>
      <c r="E141" s="3">
        <f t="shared" si="97"/>
        <v>4.5628198541240389E-3</v>
      </c>
      <c r="F141" s="4">
        <v>120.02971368727968</v>
      </c>
      <c r="G141" s="4">
        <v>125.58486342226584</v>
      </c>
      <c r="H141" s="60">
        <v>60</v>
      </c>
      <c r="I141" s="5">
        <v>2.9754856333547464E-2</v>
      </c>
      <c r="J141" s="5">
        <v>0.10892196680783162</v>
      </c>
      <c r="K141" s="4">
        <v>192302783.62</v>
      </c>
      <c r="L141" s="16">
        <f t="shared" si="98"/>
        <v>4.5188402144212799E-3</v>
      </c>
      <c r="M141" s="4">
        <v>120.02</v>
      </c>
      <c r="N141" s="4">
        <v>125.62</v>
      </c>
      <c r="O141" s="60">
        <v>60</v>
      </c>
      <c r="P141" s="5">
        <v>-8.092735524634076E-5</v>
      </c>
      <c r="Q141" s="5">
        <v>0.10883222468588327</v>
      </c>
      <c r="R141" s="81">
        <f t="shared" si="104"/>
        <v>2.7905520754688138E-4</v>
      </c>
      <c r="S141" s="81">
        <f t="shared" si="105"/>
        <v>2.7978354060091692E-4</v>
      </c>
      <c r="T141" s="81">
        <f t="shared" si="106"/>
        <v>0</v>
      </c>
      <c r="U141" s="81">
        <f t="shared" si="107"/>
        <v>-2.9835783688793804E-2</v>
      </c>
      <c r="V141" s="83">
        <f t="shared" si="108"/>
        <v>-8.9742121948344078E-5</v>
      </c>
    </row>
    <row r="142" spans="1:24" ht="13.5" customHeight="1">
      <c r="A142" s="132">
        <v>119</v>
      </c>
      <c r="B142" s="119" t="s">
        <v>240</v>
      </c>
      <c r="C142" s="120" t="s">
        <v>32</v>
      </c>
      <c r="D142" s="2">
        <v>2603590798.4654999</v>
      </c>
      <c r="E142" s="3">
        <f t="shared" si="97"/>
        <v>6.1793337881624853E-2</v>
      </c>
      <c r="F142" s="4">
        <v>3.5851000000000002</v>
      </c>
      <c r="G142" s="4">
        <v>3.6551999999999998</v>
      </c>
      <c r="H142" s="60">
        <v>2280</v>
      </c>
      <c r="I142" s="5">
        <v>2.5727788808411756E-3</v>
      </c>
      <c r="J142" s="5">
        <v>0.16188099559242941</v>
      </c>
      <c r="K142" s="2">
        <v>2644737148.3389001</v>
      </c>
      <c r="L142" s="16">
        <f t="shared" si="98"/>
        <v>6.2147538155785324E-2</v>
      </c>
      <c r="M142" s="4">
        <v>3.6373000000000002</v>
      </c>
      <c r="N142" s="4">
        <v>3.7094</v>
      </c>
      <c r="O142" s="60">
        <v>2283</v>
      </c>
      <c r="P142" s="5">
        <v>1.456026331204141E-2</v>
      </c>
      <c r="Q142" s="5">
        <v>0.17879828882551219</v>
      </c>
      <c r="R142" s="81">
        <f t="shared" si="104"/>
        <v>1.5803693075598126E-2</v>
      </c>
      <c r="S142" s="81">
        <f t="shared" si="105"/>
        <v>1.4828189975924779E-2</v>
      </c>
      <c r="T142" s="81">
        <f t="shared" si="106"/>
        <v>1.3157894736842105E-3</v>
      </c>
      <c r="U142" s="81">
        <f t="shared" si="107"/>
        <v>1.1987484431200235E-2</v>
      </c>
      <c r="V142" s="83">
        <f t="shared" si="108"/>
        <v>1.6917293233082775E-2</v>
      </c>
    </row>
    <row r="143" spans="1:24">
      <c r="A143" s="139">
        <v>120</v>
      </c>
      <c r="B143" s="119" t="s">
        <v>169</v>
      </c>
      <c r="C143" s="120" t="s">
        <v>114</v>
      </c>
      <c r="D143" s="2">
        <v>179055915.78999999</v>
      </c>
      <c r="E143" s="3">
        <f t="shared" si="97"/>
        <v>4.2496934274911368E-3</v>
      </c>
      <c r="F143" s="4">
        <v>178.532656</v>
      </c>
      <c r="G143" s="4">
        <v>184.24806799999999</v>
      </c>
      <c r="H143" s="60">
        <v>139</v>
      </c>
      <c r="I143" s="5">
        <v>1.21E-2</v>
      </c>
      <c r="J143" s="5">
        <v>0.2235</v>
      </c>
      <c r="K143" s="2">
        <v>179765128.91</v>
      </c>
      <c r="L143" s="16">
        <f t="shared" si="98"/>
        <v>4.2242232711219522E-3</v>
      </c>
      <c r="M143" s="4">
        <v>179.23979700000001</v>
      </c>
      <c r="N143" s="4">
        <v>185.05950100000001</v>
      </c>
      <c r="O143" s="60">
        <v>139</v>
      </c>
      <c r="P143" s="5">
        <v>3.8E-3</v>
      </c>
      <c r="Q143" s="5">
        <v>0.22900000000000001</v>
      </c>
      <c r="R143" s="81">
        <f t="shared" si="104"/>
        <v>3.9608471849195016E-3</v>
      </c>
      <c r="S143" s="81">
        <f t="shared" si="105"/>
        <v>4.4040244698795011E-3</v>
      </c>
      <c r="T143" s="81">
        <f t="shared" si="106"/>
        <v>0</v>
      </c>
      <c r="U143" s="81">
        <f t="shared" si="107"/>
        <v>-8.3000000000000001E-3</v>
      </c>
      <c r="V143" s="83">
        <f t="shared" si="108"/>
        <v>5.5000000000000049E-3</v>
      </c>
    </row>
    <row r="144" spans="1:24">
      <c r="A144" s="143">
        <v>121</v>
      </c>
      <c r="B144" s="119" t="s">
        <v>170</v>
      </c>
      <c r="C144" s="120" t="s">
        <v>29</v>
      </c>
      <c r="D144" s="2">
        <v>1549926695.9000001</v>
      </c>
      <c r="E144" s="3">
        <f t="shared" si="97"/>
        <v>3.6785789866805071E-2</v>
      </c>
      <c r="F144" s="4">
        <v>552.22</v>
      </c>
      <c r="G144" s="4">
        <v>552.22</v>
      </c>
      <c r="H144" s="60">
        <v>818</v>
      </c>
      <c r="I144" s="5">
        <v>3.176E-3</v>
      </c>
      <c r="J144" s="5">
        <v>0.34667999999999999</v>
      </c>
      <c r="K144" s="2">
        <v>1562460341.8900001</v>
      </c>
      <c r="L144" s="16">
        <f t="shared" ref="L144:L151" si="109">(K144/$K$152)</f>
        <v>3.6715582028822191E-2</v>
      </c>
      <c r="M144" s="4">
        <v>552.22</v>
      </c>
      <c r="N144" s="4">
        <v>552.22</v>
      </c>
      <c r="O144" s="60">
        <v>818</v>
      </c>
      <c r="P144" s="5">
        <v>8.0870000000000004E-3</v>
      </c>
      <c r="Q144" s="5">
        <v>0.35757499999999998</v>
      </c>
      <c r="R144" s="81">
        <f t="shared" si="104"/>
        <v>8.0866056589354134E-3</v>
      </c>
      <c r="S144" s="81">
        <f t="shared" si="105"/>
        <v>0</v>
      </c>
      <c r="T144" s="81">
        <f t="shared" si="106"/>
        <v>0</v>
      </c>
      <c r="U144" s="81">
        <f t="shared" si="107"/>
        <v>4.9110000000000004E-3</v>
      </c>
      <c r="V144" s="83">
        <f t="shared" si="108"/>
        <v>1.0894999999999988E-2</v>
      </c>
    </row>
    <row r="145" spans="1:22">
      <c r="A145" s="141">
        <v>122</v>
      </c>
      <c r="B145" s="119" t="s">
        <v>171</v>
      </c>
      <c r="C145" s="120" t="s">
        <v>80</v>
      </c>
      <c r="D145" s="2">
        <v>27017497.149999999</v>
      </c>
      <c r="E145" s="3">
        <f t="shared" si="97"/>
        <v>6.41230308191961E-4</v>
      </c>
      <c r="F145" s="4">
        <v>1.62</v>
      </c>
      <c r="G145" s="4">
        <v>1.62</v>
      </c>
      <c r="H145" s="60">
        <v>8</v>
      </c>
      <c r="I145" s="5">
        <v>9.9559999999999996E-3</v>
      </c>
      <c r="J145" s="5">
        <v>0.33492899999999998</v>
      </c>
      <c r="K145" s="2">
        <v>27017497.16</v>
      </c>
      <c r="L145" s="16">
        <f t="shared" si="109"/>
        <v>6.3487251906281441E-4</v>
      </c>
      <c r="M145" s="4">
        <v>1.6</v>
      </c>
      <c r="N145" s="4">
        <v>1.6</v>
      </c>
      <c r="O145" s="60">
        <v>8</v>
      </c>
      <c r="P145" s="5">
        <v>9.9559999999999996E-3</v>
      </c>
      <c r="Q145" s="5">
        <v>0.33492899999999998</v>
      </c>
      <c r="R145" s="81">
        <f t="shared" si="104"/>
        <v>3.70130570704168E-10</v>
      </c>
      <c r="S145" s="81">
        <f t="shared" si="105"/>
        <v>-1.2345679012345689E-2</v>
      </c>
      <c r="T145" s="81">
        <f t="shared" si="106"/>
        <v>0</v>
      </c>
      <c r="U145" s="81">
        <f t="shared" si="107"/>
        <v>0</v>
      </c>
      <c r="V145" s="83">
        <f t="shared" si="108"/>
        <v>0</v>
      </c>
    </row>
    <row r="146" spans="1:22">
      <c r="A146" s="136">
        <v>123</v>
      </c>
      <c r="B146" s="119" t="s">
        <v>172</v>
      </c>
      <c r="C146" s="120" t="s">
        <v>38</v>
      </c>
      <c r="D146" s="4">
        <v>221069600.75</v>
      </c>
      <c r="E146" s="3">
        <f t="shared" si="97"/>
        <v>5.2468416091161233E-3</v>
      </c>
      <c r="F146" s="4">
        <v>2.293682</v>
      </c>
      <c r="G146" s="4">
        <v>2.3357030000000001</v>
      </c>
      <c r="H146" s="60">
        <v>116</v>
      </c>
      <c r="I146" s="5">
        <v>1.1999999999999999E-3</v>
      </c>
      <c r="J146" s="5">
        <v>0.45579999999999998</v>
      </c>
      <c r="K146" s="4">
        <v>227742183.81</v>
      </c>
      <c r="L146" s="16">
        <f t="shared" si="109"/>
        <v>5.3516154022729325E-3</v>
      </c>
      <c r="M146" s="4">
        <v>2.3226100000000001</v>
      </c>
      <c r="N146" s="4">
        <v>2.3654890000000002</v>
      </c>
      <c r="O146" s="60">
        <v>116</v>
      </c>
      <c r="P146" s="5">
        <v>8.0999999999999996E-3</v>
      </c>
      <c r="Q146" s="5">
        <v>0.4546</v>
      </c>
      <c r="R146" s="81">
        <f t="shared" si="104"/>
        <v>3.018317777461315E-2</v>
      </c>
      <c r="S146" s="81">
        <f t="shared" si="105"/>
        <v>1.2752477519616189E-2</v>
      </c>
      <c r="T146" s="81">
        <v>1.1200000000000001</v>
      </c>
      <c r="U146" s="81">
        <f t="shared" si="107"/>
        <v>6.8999999999999999E-3</v>
      </c>
      <c r="V146" s="83">
        <f t="shared" si="108"/>
        <v>-1.1999999999999789E-3</v>
      </c>
    </row>
    <row r="147" spans="1:22">
      <c r="A147" s="139">
        <v>124</v>
      </c>
      <c r="B147" s="119" t="s">
        <v>173</v>
      </c>
      <c r="C147" s="120" t="s">
        <v>42</v>
      </c>
      <c r="D147" s="2">
        <v>2310044041.1700001</v>
      </c>
      <c r="E147" s="3">
        <f t="shared" si="97"/>
        <v>5.4826331404144973E-2</v>
      </c>
      <c r="F147" s="4">
        <v>4948.17</v>
      </c>
      <c r="G147" s="4">
        <v>4991.37</v>
      </c>
      <c r="H147" s="60">
        <v>3641</v>
      </c>
      <c r="I147" s="5">
        <v>0.01</v>
      </c>
      <c r="J147" s="5">
        <v>0.3574</v>
      </c>
      <c r="K147" s="2">
        <v>2349429835.8499999</v>
      </c>
      <c r="L147" s="3">
        <f t="shared" si="109"/>
        <v>5.5208238920655961E-2</v>
      </c>
      <c r="M147" s="4">
        <v>4976.7299999999996</v>
      </c>
      <c r="N147" s="4">
        <v>5019.8500000000004</v>
      </c>
      <c r="O147" s="60">
        <v>3683</v>
      </c>
      <c r="P147" s="5">
        <v>5.7000000000000002E-3</v>
      </c>
      <c r="Q147" s="5">
        <v>0.36520000000000002</v>
      </c>
      <c r="R147" s="81">
        <f t="shared" si="104"/>
        <v>1.704980250508625E-2</v>
      </c>
      <c r="S147" s="81">
        <f t="shared" si="105"/>
        <v>5.7058482941558077E-3</v>
      </c>
      <c r="T147" s="81">
        <f t="shared" si="106"/>
        <v>1.1535292502059874E-2</v>
      </c>
      <c r="U147" s="81">
        <f t="shared" si="107"/>
        <v>-4.3E-3</v>
      </c>
      <c r="V147" s="83">
        <f t="shared" si="108"/>
        <v>7.8000000000000291E-3</v>
      </c>
    </row>
    <row r="148" spans="1:22">
      <c r="A148" s="137">
        <v>125</v>
      </c>
      <c r="B148" s="119" t="s">
        <v>174</v>
      </c>
      <c r="C148" s="120" t="s">
        <v>45</v>
      </c>
      <c r="D148" s="4">
        <v>1655761807.4400001</v>
      </c>
      <c r="E148" s="3">
        <f t="shared" si="97"/>
        <v>3.9297668773039168E-2</v>
      </c>
      <c r="F148" s="4">
        <v>1.8374999999999999</v>
      </c>
      <c r="G148" s="4">
        <v>1.8501000000000001</v>
      </c>
      <c r="H148" s="60">
        <v>1934</v>
      </c>
      <c r="I148" s="5">
        <v>2.2700000000000001E-2</v>
      </c>
      <c r="J148" s="5">
        <v>0.41289999999999999</v>
      </c>
      <c r="K148" s="4">
        <v>1679208340.01</v>
      </c>
      <c r="L148" s="16">
        <f t="shared" si="109"/>
        <v>3.9458992908928493E-2</v>
      </c>
      <c r="M148" s="4">
        <v>1.8492</v>
      </c>
      <c r="N148" s="4">
        <v>1.8620000000000001</v>
      </c>
      <c r="O148" s="60">
        <v>1939</v>
      </c>
      <c r="P148" s="5">
        <v>6.7999999999999996E-3</v>
      </c>
      <c r="Q148" s="5">
        <v>0.42120000000000002</v>
      </c>
      <c r="R148" s="81">
        <f t="shared" si="104"/>
        <v>1.4160570961744187E-2</v>
      </c>
      <c r="S148" s="81">
        <f t="shared" si="105"/>
        <v>6.4320847521755695E-3</v>
      </c>
      <c r="T148" s="81">
        <f t="shared" si="106"/>
        <v>2.5853154084798345E-3</v>
      </c>
      <c r="U148" s="81">
        <f t="shared" si="107"/>
        <v>-1.5900000000000001E-2</v>
      </c>
      <c r="V148" s="83">
        <f t="shared" si="108"/>
        <v>8.3000000000000296E-3</v>
      </c>
    </row>
    <row r="149" spans="1:22">
      <c r="A149" s="137">
        <v>126</v>
      </c>
      <c r="B149" s="119" t="s">
        <v>175</v>
      </c>
      <c r="C149" s="120" t="s">
        <v>45</v>
      </c>
      <c r="D149" s="4">
        <v>881225096.38999999</v>
      </c>
      <c r="E149" s="3">
        <f t="shared" si="97"/>
        <v>2.0914899592934733E-2</v>
      </c>
      <c r="F149" s="4">
        <v>1.4212</v>
      </c>
      <c r="G149" s="4">
        <v>1.4312</v>
      </c>
      <c r="H149" s="60">
        <v>459</v>
      </c>
      <c r="I149" s="5">
        <v>2.1700000000000001E-2</v>
      </c>
      <c r="J149" s="5">
        <v>0.31690000000000002</v>
      </c>
      <c r="K149" s="4">
        <v>884758954.25</v>
      </c>
      <c r="L149" s="16">
        <f t="shared" si="109"/>
        <v>2.0790569264117539E-2</v>
      </c>
      <c r="M149" s="4">
        <v>1.4227000000000001</v>
      </c>
      <c r="N149" s="4">
        <v>1.4327000000000001</v>
      </c>
      <c r="O149" s="60">
        <v>459</v>
      </c>
      <c r="P149" s="5">
        <v>1.6999999999999999E-3</v>
      </c>
      <c r="Q149" s="5">
        <v>0.31900000000000001</v>
      </c>
      <c r="R149" s="81">
        <f t="shared" si="104"/>
        <v>4.0101647972540832E-3</v>
      </c>
      <c r="S149" s="81">
        <f t="shared" si="105"/>
        <v>1.0480715483510738E-3</v>
      </c>
      <c r="T149" s="81">
        <f t="shared" si="106"/>
        <v>0</v>
      </c>
      <c r="U149" s="81">
        <f t="shared" si="107"/>
        <v>-0.02</v>
      </c>
      <c r="V149" s="83">
        <f t="shared" si="108"/>
        <v>2.0999999999999908E-3</v>
      </c>
    </row>
    <row r="150" spans="1:22">
      <c r="A150" s="132">
        <v>127</v>
      </c>
      <c r="B150" s="119" t="s">
        <v>176</v>
      </c>
      <c r="C150" s="120" t="s">
        <v>87</v>
      </c>
      <c r="D150" s="4">
        <v>7026263037.1099997</v>
      </c>
      <c r="E150" s="3">
        <f t="shared" si="97"/>
        <v>0.166760554751232</v>
      </c>
      <c r="F150" s="4">
        <v>344.07</v>
      </c>
      <c r="G150" s="4">
        <v>348.04</v>
      </c>
      <c r="H150" s="60">
        <v>29</v>
      </c>
      <c r="I150" s="5">
        <v>2.4899999999999999E-2</v>
      </c>
      <c r="J150" s="5">
        <v>0.81469999999999998</v>
      </c>
      <c r="K150" s="4">
        <v>7101125717.25</v>
      </c>
      <c r="L150" s="16">
        <f t="shared" si="109"/>
        <v>0.16686629207708009</v>
      </c>
      <c r="M150" s="4">
        <v>347.76</v>
      </c>
      <c r="N150" s="4">
        <v>351.74</v>
      </c>
      <c r="O150" s="60">
        <v>29</v>
      </c>
      <c r="P150" s="5">
        <v>1.0699999999999999E-2</v>
      </c>
      <c r="Q150" s="5">
        <v>0.83340000000000003</v>
      </c>
      <c r="R150" s="81">
        <f t="shared" si="104"/>
        <v>1.065469364648102E-2</v>
      </c>
      <c r="S150" s="81">
        <f t="shared" si="105"/>
        <v>1.0630961958395553E-2</v>
      </c>
      <c r="T150" s="81">
        <f t="shared" si="106"/>
        <v>0</v>
      </c>
      <c r="U150" s="81">
        <f t="shared" si="107"/>
        <v>-1.4199999999999999E-2</v>
      </c>
      <c r="V150" s="83">
        <f t="shared" si="108"/>
        <v>1.870000000000005E-2</v>
      </c>
    </row>
    <row r="151" spans="1:22">
      <c r="A151" s="146">
        <v>128</v>
      </c>
      <c r="B151" s="119" t="s">
        <v>177</v>
      </c>
      <c r="C151" s="120" t="s">
        <v>40</v>
      </c>
      <c r="D151" s="2">
        <v>294240806.19</v>
      </c>
      <c r="E151" s="3">
        <f t="shared" si="97"/>
        <v>6.983478957667431E-3</v>
      </c>
      <c r="F151" s="4">
        <v>212.41</v>
      </c>
      <c r="G151" s="4">
        <v>215.78</v>
      </c>
      <c r="H151" s="60">
        <v>734</v>
      </c>
      <c r="I151" s="5">
        <v>5.4000000000000003E-3</v>
      </c>
      <c r="J151" s="5">
        <v>0.45540000000000003</v>
      </c>
      <c r="K151" s="2">
        <v>294240806.19</v>
      </c>
      <c r="L151" s="16">
        <f t="shared" si="109"/>
        <v>6.9142378633609393E-3</v>
      </c>
      <c r="M151" s="4">
        <v>212.41</v>
      </c>
      <c r="N151" s="4">
        <v>215.78</v>
      </c>
      <c r="O151" s="60">
        <v>734</v>
      </c>
      <c r="P151" s="5">
        <v>5.4000000000000003E-3</v>
      </c>
      <c r="Q151" s="5">
        <v>0.45540000000000003</v>
      </c>
      <c r="R151" s="81">
        <f t="shared" si="104"/>
        <v>0</v>
      </c>
      <c r="S151" s="81">
        <f t="shared" si="105"/>
        <v>0</v>
      </c>
      <c r="T151" s="81">
        <f t="shared" si="106"/>
        <v>0</v>
      </c>
      <c r="U151" s="81">
        <f t="shared" si="107"/>
        <v>0</v>
      </c>
      <c r="V151" s="83">
        <f t="shared" si="108"/>
        <v>0</v>
      </c>
    </row>
    <row r="152" spans="1:22">
      <c r="A152" s="84"/>
      <c r="B152" s="19"/>
      <c r="C152" s="71" t="s">
        <v>46</v>
      </c>
      <c r="D152" s="72">
        <f>SUM(D128:D151)</f>
        <v>42133843027.756485</v>
      </c>
      <c r="E152" s="104">
        <f>(D152/$D$178)</f>
        <v>2.0046725519978353E-2</v>
      </c>
      <c r="F152" s="30"/>
      <c r="G152" s="36"/>
      <c r="H152" s="65">
        <f>SUM(H128:H151)</f>
        <v>70007</v>
      </c>
      <c r="I152" s="37"/>
      <c r="J152" s="37"/>
      <c r="K152" s="72">
        <f>SUM(K128:K151)</f>
        <v>42555783009.607452</v>
      </c>
      <c r="L152" s="104">
        <f>(K152/$K$178)</f>
        <v>1.9941374719052853E-2</v>
      </c>
      <c r="M152" s="30"/>
      <c r="N152" s="36"/>
      <c r="O152" s="65">
        <f>SUM(O128:O151)</f>
        <v>70068</v>
      </c>
      <c r="P152" s="37"/>
      <c r="Q152" s="37"/>
      <c r="R152" s="81">
        <f t="shared" si="104"/>
        <v>1.0014277158933884E-2</v>
      </c>
      <c r="S152" s="81" t="e">
        <f t="shared" si="105"/>
        <v>#DIV/0!</v>
      </c>
      <c r="T152" s="81">
        <f t="shared" si="106"/>
        <v>8.7134143728484297E-4</v>
      </c>
      <c r="U152" s="81">
        <f t="shared" si="107"/>
        <v>0</v>
      </c>
      <c r="V152" s="83">
        <f t="shared" si="108"/>
        <v>0</v>
      </c>
    </row>
    <row r="153" spans="1:22" ht="8.25" customHeight="1">
      <c r="A153" s="151"/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</row>
    <row r="154" spans="1:22" ht="15" customHeight="1">
      <c r="A154" s="149" t="s">
        <v>178</v>
      </c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</row>
    <row r="155" spans="1:22">
      <c r="A155" s="143">
        <v>129</v>
      </c>
      <c r="B155" s="119" t="s">
        <v>179</v>
      </c>
      <c r="C155" s="120" t="s">
        <v>21</v>
      </c>
      <c r="D155" s="17">
        <v>759431691.91999996</v>
      </c>
      <c r="E155" s="3">
        <f>(D155/$D$158)</f>
        <v>0.17408387358459027</v>
      </c>
      <c r="F155" s="17">
        <v>53.743000000000002</v>
      </c>
      <c r="G155" s="17">
        <v>55.363399999999999</v>
      </c>
      <c r="H155" s="62">
        <v>1416</v>
      </c>
      <c r="I155" s="6">
        <v>0.1197</v>
      </c>
      <c r="J155" s="6">
        <v>0.18770000000000001</v>
      </c>
      <c r="K155" s="17">
        <v>762577595.23000002</v>
      </c>
      <c r="L155" s="16">
        <f>(K155/$K$158)</f>
        <v>0.17362712010103867</v>
      </c>
      <c r="M155" s="17">
        <v>54.466200000000001</v>
      </c>
      <c r="N155" s="17">
        <v>56.108400000000003</v>
      </c>
      <c r="O155" s="62">
        <v>1417</v>
      </c>
      <c r="P155" s="6">
        <v>5.9200000000000003E-2</v>
      </c>
      <c r="Q155" s="6">
        <v>0.19639999999999999</v>
      </c>
      <c r="R155" s="81">
        <f t="shared" ref="R155" si="110">((K155-D155)/D155)</f>
        <v>4.1424440716275211E-3</v>
      </c>
      <c r="S155" s="81">
        <f t="shared" ref="S155" si="111">((N155-G155)/G155)</f>
        <v>1.34565434926324E-2</v>
      </c>
      <c r="T155" s="81">
        <f t="shared" ref="T155" si="112">((O155-H155)/H155)</f>
        <v>7.0621468926553672E-4</v>
      </c>
      <c r="U155" s="81">
        <f t="shared" ref="U155" si="113">P155-I155</f>
        <v>-6.0499999999999998E-2</v>
      </c>
      <c r="V155" s="83">
        <f t="shared" ref="V155" si="114">Q155-J155</f>
        <v>8.6999999999999855E-3</v>
      </c>
    </row>
    <row r="156" spans="1:22">
      <c r="A156" s="142">
        <v>130</v>
      </c>
      <c r="B156" s="119" t="s">
        <v>180</v>
      </c>
      <c r="C156" s="120" t="s">
        <v>181</v>
      </c>
      <c r="D156" s="99">
        <v>794470934.96000004</v>
      </c>
      <c r="E156" s="3">
        <f>(D156/$D$158)</f>
        <v>0.18211588913091759</v>
      </c>
      <c r="F156" s="17">
        <v>21.675899999999999</v>
      </c>
      <c r="G156" s="17">
        <v>21.9087</v>
      </c>
      <c r="H156" s="60">
        <v>1506</v>
      </c>
      <c r="I156" s="5">
        <v>1.41E-2</v>
      </c>
      <c r="J156" s="5">
        <v>0.37180000000000002</v>
      </c>
      <c r="K156" s="99">
        <v>796550756.60000002</v>
      </c>
      <c r="L156" s="16">
        <f>(K156/$K$158)</f>
        <v>0.18136228332416207</v>
      </c>
      <c r="M156" s="17">
        <v>21.808199999999999</v>
      </c>
      <c r="N156" s="17">
        <v>21.987300000000001</v>
      </c>
      <c r="O156" s="60">
        <v>1505</v>
      </c>
      <c r="P156" s="5">
        <v>6.6E-3</v>
      </c>
      <c r="Q156" s="5">
        <v>0.37840000000000001</v>
      </c>
      <c r="R156" s="81">
        <f t="shared" ref="R156:R158" si="115">((K156-D156)/D156)</f>
        <v>2.6178700169877207E-3</v>
      </c>
      <c r="S156" s="81">
        <f t="shared" ref="S156:S158" si="116">((N156-G156)/G156)</f>
        <v>3.5876158786236315E-3</v>
      </c>
      <c r="T156" s="81">
        <f t="shared" ref="T156:T158" si="117">((O156-H156)/H156)</f>
        <v>-6.6401062416998667E-4</v>
      </c>
      <c r="U156" s="81">
        <f t="shared" ref="U156:U158" si="118">P156-I156</f>
        <v>-7.4999999999999997E-3</v>
      </c>
      <c r="V156" s="83">
        <f t="shared" ref="V156:V158" si="119">Q156-J156</f>
        <v>6.5999999999999948E-3</v>
      </c>
    </row>
    <row r="157" spans="1:22">
      <c r="A157" s="139">
        <v>131</v>
      </c>
      <c r="B157" s="119" t="s">
        <v>182</v>
      </c>
      <c r="C157" s="120" t="s">
        <v>42</v>
      </c>
      <c r="D157" s="9">
        <v>2808544487.1599998</v>
      </c>
      <c r="E157" s="3">
        <f>(D157/$D$158)</f>
        <v>0.64380023728449209</v>
      </c>
      <c r="F157" s="17">
        <v>2.02</v>
      </c>
      <c r="G157" s="17">
        <v>2.04</v>
      </c>
      <c r="H157" s="60">
        <v>17815</v>
      </c>
      <c r="I157" s="5">
        <v>9.9000000000000008E-3</v>
      </c>
      <c r="J157" s="5">
        <v>0.41670000000000001</v>
      </c>
      <c r="K157" s="9">
        <v>2832913598.6799998</v>
      </c>
      <c r="L157" s="16">
        <f>(K157/$K$158)</f>
        <v>0.6450105965747992</v>
      </c>
      <c r="M157" s="17">
        <v>2.06</v>
      </c>
      <c r="N157" s="17">
        <v>2.08</v>
      </c>
      <c r="O157" s="60">
        <v>17833</v>
      </c>
      <c r="P157" s="5">
        <v>4.7999999999999996E-3</v>
      </c>
      <c r="Q157" s="5">
        <v>0.44440000000000002</v>
      </c>
      <c r="R157" s="81">
        <f t="shared" si="115"/>
        <v>8.6767760423271858E-3</v>
      </c>
      <c r="S157" s="81">
        <f t="shared" si="116"/>
        <v>1.9607843137254919E-2</v>
      </c>
      <c r="T157" s="81">
        <f t="shared" si="117"/>
        <v>1.0103845074375527E-3</v>
      </c>
      <c r="U157" s="81">
        <f t="shared" si="118"/>
        <v>-5.1000000000000012E-3</v>
      </c>
      <c r="V157" s="83">
        <f t="shared" si="119"/>
        <v>2.7700000000000002E-2</v>
      </c>
    </row>
    <row r="158" spans="1:22">
      <c r="A158" s="75"/>
      <c r="B158" s="19"/>
      <c r="C158" s="66" t="s">
        <v>46</v>
      </c>
      <c r="D158" s="72">
        <f>SUM(D155:D157)</f>
        <v>4362447114.04</v>
      </c>
      <c r="E158" s="104">
        <f>(D158/$D$178)</f>
        <v>2.0755946670464021E-3</v>
      </c>
      <c r="F158" s="30"/>
      <c r="G158" s="36"/>
      <c r="H158" s="65">
        <f>SUM(H155:H157)</f>
        <v>20737</v>
      </c>
      <c r="I158" s="37"/>
      <c r="J158" s="37"/>
      <c r="K158" s="72">
        <f>SUM(K155:K157)</f>
        <v>4392041950.5100002</v>
      </c>
      <c r="L158" s="104">
        <f>(K158/$K$178)</f>
        <v>2.0580834876695081E-3</v>
      </c>
      <c r="M158" s="30"/>
      <c r="N158" s="36"/>
      <c r="O158" s="65">
        <f>SUM(O155:O157)</f>
        <v>20755</v>
      </c>
      <c r="P158" s="37"/>
      <c r="Q158" s="37"/>
      <c r="R158" s="81">
        <f t="shared" si="115"/>
        <v>6.783998910784024E-3</v>
      </c>
      <c r="S158" s="81" t="e">
        <f t="shared" si="116"/>
        <v>#DIV/0!</v>
      </c>
      <c r="T158" s="81">
        <f t="shared" si="117"/>
        <v>8.680136953271929E-4</v>
      </c>
      <c r="U158" s="81">
        <f t="shared" si="118"/>
        <v>0</v>
      </c>
      <c r="V158" s="83">
        <f t="shared" si="119"/>
        <v>0</v>
      </c>
    </row>
    <row r="159" spans="1:22" ht="6" customHeight="1">
      <c r="A159" s="151"/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</row>
    <row r="160" spans="1:22" ht="15" customHeight="1">
      <c r="A160" s="149" t="s">
        <v>183</v>
      </c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</row>
    <row r="161" spans="1:24">
      <c r="A161" s="150" t="s">
        <v>232</v>
      </c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</row>
    <row r="162" spans="1:24">
      <c r="A162" s="146">
        <v>132</v>
      </c>
      <c r="B162" s="119" t="s">
        <v>184</v>
      </c>
      <c r="C162" s="120" t="s">
        <v>185</v>
      </c>
      <c r="D162" s="13">
        <v>3739837952.98</v>
      </c>
      <c r="E162" s="3">
        <f>(D162/$D$177)</f>
        <v>8.1311646808296972E-2</v>
      </c>
      <c r="F162" s="18">
        <v>1.82</v>
      </c>
      <c r="G162" s="18">
        <v>1.85</v>
      </c>
      <c r="H162" s="61">
        <v>14968</v>
      </c>
      <c r="I162" s="12">
        <v>6.6E-3</v>
      </c>
      <c r="J162" s="12">
        <v>0.18160000000000001</v>
      </c>
      <c r="K162" s="13">
        <v>3739837952.98</v>
      </c>
      <c r="L162" s="3">
        <f>(K162/$K$177)</f>
        <v>8.1178625401971363E-2</v>
      </c>
      <c r="M162" s="18">
        <v>1.82</v>
      </c>
      <c r="N162" s="18">
        <v>1.85</v>
      </c>
      <c r="O162" s="61">
        <v>14968</v>
      </c>
      <c r="P162" s="12">
        <v>6.6E-3</v>
      </c>
      <c r="Q162" s="12">
        <v>0.18160000000000001</v>
      </c>
      <c r="R162" s="81">
        <f t="shared" ref="R162" si="120">((K162-D162)/D162)</f>
        <v>0</v>
      </c>
      <c r="S162" s="81">
        <f t="shared" ref="S162:S163" si="121">((N162-G162)/G162)</f>
        <v>0</v>
      </c>
      <c r="T162" s="81">
        <f t="shared" ref="T162" si="122">((O162-H162)/H162)</f>
        <v>0</v>
      </c>
      <c r="U162" s="81">
        <f t="shared" ref="U162" si="123">P162-I162</f>
        <v>0</v>
      </c>
      <c r="V162" s="83">
        <f t="shared" ref="V162" si="124">Q162-J162</f>
        <v>0</v>
      </c>
    </row>
    <row r="163" spans="1:24">
      <c r="A163" s="139">
        <v>133</v>
      </c>
      <c r="B163" s="119" t="s">
        <v>186</v>
      </c>
      <c r="C163" s="120" t="s">
        <v>42</v>
      </c>
      <c r="D163" s="13">
        <v>549420740.79999995</v>
      </c>
      <c r="E163" s="3">
        <f>(D163/$D$177)</f>
        <v>1.1945518973485154E-2</v>
      </c>
      <c r="F163" s="18">
        <v>375.59</v>
      </c>
      <c r="G163" s="18">
        <v>380.21</v>
      </c>
      <c r="H163" s="61">
        <v>1319</v>
      </c>
      <c r="I163" s="12">
        <v>2.2499999999999999E-2</v>
      </c>
      <c r="J163" s="12">
        <v>0.43209999999999998</v>
      </c>
      <c r="K163" s="13">
        <v>554719594.87</v>
      </c>
      <c r="L163" s="3">
        <f>(K163/$K$177)</f>
        <v>1.2040996096957324E-2</v>
      </c>
      <c r="M163" s="18">
        <v>377.21</v>
      </c>
      <c r="N163" s="18">
        <v>381.89</v>
      </c>
      <c r="O163" s="61">
        <v>1326</v>
      </c>
      <c r="P163" s="12">
        <v>4.4000000000000003E-3</v>
      </c>
      <c r="Q163" s="12">
        <v>0.43840000000000001</v>
      </c>
      <c r="R163" s="81">
        <f t="shared" ref="R163" si="125">((K163-D163)/D163)</f>
        <v>9.6444376349616914E-3</v>
      </c>
      <c r="S163" s="81">
        <f t="shared" si="121"/>
        <v>4.4186107677336387E-3</v>
      </c>
      <c r="T163" s="81">
        <f t="shared" ref="T163" si="126">((O163-H163)/H163)</f>
        <v>5.3070507960576198E-3</v>
      </c>
      <c r="U163" s="81">
        <f t="shared" ref="U163" si="127">P163-I163</f>
        <v>-1.8099999999999998E-2</v>
      </c>
      <c r="V163" s="83">
        <f t="shared" ref="V163" si="128">Q163-J163</f>
        <v>6.3000000000000278E-3</v>
      </c>
    </row>
    <row r="164" spans="1:24" ht="6" customHeight="1">
      <c r="A164" s="151"/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</row>
    <row r="165" spans="1:24" ht="15" customHeight="1">
      <c r="A165" s="150" t="s">
        <v>231</v>
      </c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</row>
    <row r="166" spans="1:24">
      <c r="A166" s="143">
        <v>134</v>
      </c>
      <c r="B166" s="119" t="s">
        <v>187</v>
      </c>
      <c r="C166" s="120" t="s">
        <v>188</v>
      </c>
      <c r="D166" s="2">
        <v>406997323.37</v>
      </c>
      <c r="E166" s="3">
        <f t="shared" ref="E166:E176" si="129">(D166/$D$177)</f>
        <v>8.8489456029542165E-3</v>
      </c>
      <c r="F166" s="2">
        <v>1030.2</v>
      </c>
      <c r="G166" s="2">
        <v>1030.2</v>
      </c>
      <c r="H166" s="60">
        <v>21</v>
      </c>
      <c r="I166" s="5">
        <v>2.2000000000000001E-3</v>
      </c>
      <c r="J166" s="5">
        <v>0.1026</v>
      </c>
      <c r="K166" s="2">
        <v>407800243.68000001</v>
      </c>
      <c r="L166" s="3">
        <f t="shared" ref="L166:L176" si="130">(K166/$K$177)</f>
        <v>8.8518977658250415E-3</v>
      </c>
      <c r="M166" s="2">
        <v>1032.18</v>
      </c>
      <c r="N166" s="2">
        <v>1032.18</v>
      </c>
      <c r="O166" s="60">
        <v>21</v>
      </c>
      <c r="P166" s="5">
        <v>2.5999999999999999E-3</v>
      </c>
      <c r="Q166" s="5">
        <v>0.1043</v>
      </c>
      <c r="R166" s="81">
        <f t="shared" ref="R166" si="131">((K166-D166)/D166)</f>
        <v>1.9727901484749323E-3</v>
      </c>
      <c r="S166" s="81">
        <f t="shared" ref="S166" si="132">((N166-G166)/G166)</f>
        <v>1.9219569015725278E-3</v>
      </c>
      <c r="T166" s="81">
        <f t="shared" ref="T166" si="133">((O166-H166)/H166)</f>
        <v>0</v>
      </c>
      <c r="U166" s="81">
        <f t="shared" ref="U166" si="134">P166-I166</f>
        <v>3.9999999999999975E-4</v>
      </c>
      <c r="V166" s="83">
        <f t="shared" ref="V166" si="135">Q166-J166</f>
        <v>1.7000000000000071E-3</v>
      </c>
      <c r="X166" s="70"/>
    </row>
    <row r="167" spans="1:24">
      <c r="A167" s="135">
        <v>135</v>
      </c>
      <c r="B167" s="119" t="s">
        <v>189</v>
      </c>
      <c r="C167" s="120" t="s">
        <v>58</v>
      </c>
      <c r="D167" s="2">
        <v>58295135.990000002</v>
      </c>
      <c r="E167" s="3">
        <f t="shared" si="129"/>
        <v>1.2674542501189142E-3</v>
      </c>
      <c r="F167" s="17">
        <v>109.17</v>
      </c>
      <c r="G167" s="17">
        <v>109.17</v>
      </c>
      <c r="H167" s="60">
        <v>62</v>
      </c>
      <c r="I167" s="5">
        <v>1.6000000000000001E-3</v>
      </c>
      <c r="J167" s="5">
        <v>0.1095</v>
      </c>
      <c r="K167" s="2">
        <v>58578270.859999999</v>
      </c>
      <c r="L167" s="3">
        <f t="shared" si="130"/>
        <v>1.2715266187001513E-3</v>
      </c>
      <c r="M167" s="17">
        <v>109.34</v>
      </c>
      <c r="N167" s="17">
        <v>109.34</v>
      </c>
      <c r="O167" s="60">
        <v>62</v>
      </c>
      <c r="P167" s="5">
        <v>1.6000000000000001E-3</v>
      </c>
      <c r="Q167" s="5">
        <v>0.1082</v>
      </c>
      <c r="R167" s="81">
        <f t="shared" ref="R167:R178" si="136">((K167-D167)/D167)</f>
        <v>4.8569209967803577E-3</v>
      </c>
      <c r="S167" s="81">
        <f t="shared" ref="S167:S177" si="137">((N167-G167)/G167)</f>
        <v>1.557204360172224E-3</v>
      </c>
      <c r="T167" s="81">
        <f t="shared" ref="T167:T177" si="138">((O167-H167)/H167)</f>
        <v>0</v>
      </c>
      <c r="U167" s="81">
        <f t="shared" ref="U167:U177" si="139">P167-I167</f>
        <v>0</v>
      </c>
      <c r="V167" s="83">
        <f t="shared" ref="V167:V177" si="140">Q167-J167</f>
        <v>-1.2999999999999956E-3</v>
      </c>
    </row>
    <row r="168" spans="1:24">
      <c r="A168" s="143">
        <v>136</v>
      </c>
      <c r="B168" s="145" t="s">
        <v>190</v>
      </c>
      <c r="C168" s="120" t="s">
        <v>64</v>
      </c>
      <c r="D168" s="9">
        <v>54485537.5</v>
      </c>
      <c r="E168" s="3">
        <f t="shared" si="129"/>
        <v>1.1846258680352807E-3</v>
      </c>
      <c r="F168" s="17">
        <v>104.05</v>
      </c>
      <c r="G168" s="17">
        <v>109.96</v>
      </c>
      <c r="H168" s="60">
        <v>12</v>
      </c>
      <c r="I168" s="5">
        <v>-5.3E-3</v>
      </c>
      <c r="J168" s="5">
        <v>7.9399999999999998E-2</v>
      </c>
      <c r="K168" s="9">
        <v>54570761.789999999</v>
      </c>
      <c r="L168" s="3">
        <f t="shared" si="130"/>
        <v>1.1845378021581657E-3</v>
      </c>
      <c r="M168" s="17">
        <v>104.21</v>
      </c>
      <c r="N168" s="17">
        <v>110.24</v>
      </c>
      <c r="O168" s="60">
        <v>12</v>
      </c>
      <c r="P168" s="5">
        <v>2.2000000000000001E-3</v>
      </c>
      <c r="Q168" s="5">
        <v>8.1600000000000006E-2</v>
      </c>
      <c r="R168" s="81">
        <f t="shared" si="136"/>
        <v>1.5641635177041082E-3</v>
      </c>
      <c r="S168" s="81">
        <f t="shared" si="137"/>
        <v>2.5463805020007379E-3</v>
      </c>
      <c r="T168" s="81">
        <f t="shared" si="138"/>
        <v>0</v>
      </c>
      <c r="U168" s="81">
        <f t="shared" si="139"/>
        <v>7.4999999999999997E-3</v>
      </c>
      <c r="V168" s="83">
        <f t="shared" si="140"/>
        <v>2.2000000000000075E-3</v>
      </c>
    </row>
    <row r="169" spans="1:24">
      <c r="A169" s="142">
        <v>137</v>
      </c>
      <c r="B169" s="119" t="s">
        <v>191</v>
      </c>
      <c r="C169" s="120" t="s">
        <v>27</v>
      </c>
      <c r="D169" s="2">
        <v>8288952855.6300001</v>
      </c>
      <c r="E169" s="3">
        <f t="shared" si="129"/>
        <v>0.18021861253923038</v>
      </c>
      <c r="F169" s="17">
        <v>133.30000000000001</v>
      </c>
      <c r="G169" s="17">
        <v>133.30000000000001</v>
      </c>
      <c r="H169" s="60">
        <v>618</v>
      </c>
      <c r="I169" s="5">
        <v>2.3999999999999998E-3</v>
      </c>
      <c r="J169" s="5">
        <v>0.13220000000000001</v>
      </c>
      <c r="K169" s="2">
        <v>8304540623.1800003</v>
      </c>
      <c r="L169" s="3">
        <f t="shared" si="130"/>
        <v>0.1802621399270527</v>
      </c>
      <c r="M169" s="17">
        <v>133.62</v>
      </c>
      <c r="N169" s="17">
        <v>133.62</v>
      </c>
      <c r="O169" s="60">
        <v>623</v>
      </c>
      <c r="P169" s="5">
        <v>2.3999999999999998E-3</v>
      </c>
      <c r="Q169" s="5">
        <v>0.13220000000000001</v>
      </c>
      <c r="R169" s="81">
        <f t="shared" si="136"/>
        <v>1.8805472562692536E-3</v>
      </c>
      <c r="S169" s="81">
        <f t="shared" si="137"/>
        <v>2.4006001500374578E-3</v>
      </c>
      <c r="T169" s="81">
        <f t="shared" si="138"/>
        <v>8.0906148867313909E-3</v>
      </c>
      <c r="U169" s="81">
        <f t="shared" si="139"/>
        <v>0</v>
      </c>
      <c r="V169" s="83">
        <f t="shared" si="140"/>
        <v>0</v>
      </c>
    </row>
    <row r="170" spans="1:24">
      <c r="A170" s="132">
        <v>138</v>
      </c>
      <c r="B170" s="119" t="s">
        <v>249</v>
      </c>
      <c r="C170" s="120" t="s">
        <v>56</v>
      </c>
      <c r="D170" s="2">
        <v>205354015.658106</v>
      </c>
      <c r="E170" s="3">
        <f t="shared" ref="E170" si="141">(D170/$D$152)</f>
        <v>4.8738496396548746E-3</v>
      </c>
      <c r="F170" s="4">
        <v>1026.3138258608301</v>
      </c>
      <c r="G170" s="4">
        <v>1026.3138258608301</v>
      </c>
      <c r="H170" s="60">
        <v>6</v>
      </c>
      <c r="I170" s="5">
        <v>0.11843827438298586</v>
      </c>
      <c r="J170" s="5">
        <v>0.11843827438298586</v>
      </c>
      <c r="K170" s="2">
        <v>205819162.857501</v>
      </c>
      <c r="L170" s="16">
        <f t="shared" ref="L170" si="142">(K170/$K$152)</f>
        <v>4.8364557834838801E-3</v>
      </c>
      <c r="M170" s="4">
        <v>1028.63852840083</v>
      </c>
      <c r="N170" s="4">
        <v>1028.63852840083</v>
      </c>
      <c r="O170" s="60">
        <v>6</v>
      </c>
      <c r="P170" s="5">
        <v>0.11810873963544083</v>
      </c>
      <c r="Q170" s="5">
        <v>0.11810873963544083</v>
      </c>
      <c r="R170" s="81">
        <f t="shared" si="136"/>
        <v>2.2650991162959516E-3</v>
      </c>
      <c r="S170" s="81">
        <f t="shared" si="137"/>
        <v>2.2650991162961255E-3</v>
      </c>
      <c r="T170" s="81">
        <f t="shared" si="138"/>
        <v>0</v>
      </c>
      <c r="U170" s="81">
        <f t="shared" si="139"/>
        <v>-3.295347475450322E-4</v>
      </c>
      <c r="V170" s="83">
        <f t="shared" si="140"/>
        <v>-3.295347475450322E-4</v>
      </c>
    </row>
    <row r="171" spans="1:24">
      <c r="A171" s="146">
        <v>139</v>
      </c>
      <c r="B171" s="119" t="s">
        <v>192</v>
      </c>
      <c r="C171" s="120" t="s">
        <v>185</v>
      </c>
      <c r="D171" s="2">
        <v>18051726959.330002</v>
      </c>
      <c r="E171" s="3">
        <f t="shared" si="129"/>
        <v>0.3924810821354599</v>
      </c>
      <c r="F171" s="7">
        <v>1213.29</v>
      </c>
      <c r="G171" s="7">
        <v>1213.29</v>
      </c>
      <c r="H171" s="60">
        <v>7418</v>
      </c>
      <c r="I171" s="5">
        <v>2.5999999999999999E-3</v>
      </c>
      <c r="J171" s="5">
        <v>0.1079</v>
      </c>
      <c r="K171" s="2">
        <v>18051726959.330002</v>
      </c>
      <c r="L171" s="3">
        <f t="shared" si="130"/>
        <v>0.39183900455431164</v>
      </c>
      <c r="M171" s="7">
        <v>1213.29</v>
      </c>
      <c r="N171" s="7">
        <v>1213.29</v>
      </c>
      <c r="O171" s="60">
        <v>7418</v>
      </c>
      <c r="P171" s="5">
        <v>2.5999999999999999E-3</v>
      </c>
      <c r="Q171" s="5">
        <v>0.1079</v>
      </c>
      <c r="R171" s="81">
        <f t="shared" si="136"/>
        <v>0</v>
      </c>
      <c r="S171" s="81">
        <f t="shared" si="137"/>
        <v>0</v>
      </c>
      <c r="T171" s="81">
        <f t="shared" si="138"/>
        <v>0</v>
      </c>
      <c r="U171" s="81">
        <f t="shared" si="139"/>
        <v>0</v>
      </c>
      <c r="V171" s="83">
        <f t="shared" si="140"/>
        <v>0</v>
      </c>
    </row>
    <row r="172" spans="1:24">
      <c r="A172" s="127">
        <v>140</v>
      </c>
      <c r="B172" s="119" t="s">
        <v>193</v>
      </c>
      <c r="C172" s="120" t="s">
        <v>78</v>
      </c>
      <c r="D172" s="2">
        <v>923112404.17000008</v>
      </c>
      <c r="E172" s="3">
        <f t="shared" si="129"/>
        <v>2.0070332114903357E-2</v>
      </c>
      <c r="F172" s="14">
        <v>104.33</v>
      </c>
      <c r="G172" s="14">
        <v>104.33</v>
      </c>
      <c r="H172" s="60">
        <v>531</v>
      </c>
      <c r="I172" s="5">
        <v>2.3E-3</v>
      </c>
      <c r="J172" s="5">
        <v>0.10199999999999999</v>
      </c>
      <c r="K172" s="2">
        <v>925458945.0200001</v>
      </c>
      <c r="L172" s="3">
        <f t="shared" si="130"/>
        <v>2.0088433233535874E-2</v>
      </c>
      <c r="M172" s="14">
        <v>104.55</v>
      </c>
      <c r="N172" s="14">
        <v>104.55</v>
      </c>
      <c r="O172" s="60">
        <v>528</v>
      </c>
      <c r="P172" s="5">
        <v>2E-3</v>
      </c>
      <c r="Q172" s="5">
        <v>0.1041</v>
      </c>
      <c r="R172" s="81">
        <f t="shared" si="136"/>
        <v>2.5419882122696357E-3</v>
      </c>
      <c r="S172" s="81">
        <f t="shared" si="137"/>
        <v>2.1086935684846053E-3</v>
      </c>
      <c r="T172" s="81">
        <f t="shared" si="138"/>
        <v>-5.6497175141242938E-3</v>
      </c>
      <c r="U172" s="81">
        <f t="shared" si="139"/>
        <v>-2.9999999999999992E-4</v>
      </c>
      <c r="V172" s="83">
        <f t="shared" si="140"/>
        <v>2.1000000000000046E-3</v>
      </c>
    </row>
    <row r="173" spans="1:24" ht="15.75" customHeight="1">
      <c r="A173" s="139">
        <v>141</v>
      </c>
      <c r="B173" s="119" t="s">
        <v>194</v>
      </c>
      <c r="C173" s="120" t="s">
        <v>42</v>
      </c>
      <c r="D173" s="2">
        <v>8184410182.0699997</v>
      </c>
      <c r="E173" s="3">
        <f t="shared" si="129"/>
        <v>0.17794564321387971</v>
      </c>
      <c r="F173" s="14">
        <v>128.07</v>
      </c>
      <c r="G173" s="14">
        <v>128.07</v>
      </c>
      <c r="H173" s="60">
        <v>1941</v>
      </c>
      <c r="I173" s="5">
        <v>1.4E-3</v>
      </c>
      <c r="J173" s="5">
        <v>5.8299999999999998E-2</v>
      </c>
      <c r="K173" s="2">
        <v>8178000846.8900003</v>
      </c>
      <c r="L173" s="3">
        <f t="shared" si="130"/>
        <v>0.17751540992777293</v>
      </c>
      <c r="M173" s="14">
        <v>128.24</v>
      </c>
      <c r="N173" s="14">
        <v>128.24</v>
      </c>
      <c r="O173" s="60">
        <v>1946</v>
      </c>
      <c r="P173" s="5">
        <v>1.2999999999999999E-3</v>
      </c>
      <c r="Q173" s="5">
        <v>5.9700000000000003E-2</v>
      </c>
      <c r="R173" s="81">
        <f t="shared" si="136"/>
        <v>-7.8311509777950837E-4</v>
      </c>
      <c r="S173" s="81">
        <f t="shared" si="137"/>
        <v>1.3273990786289991E-3</v>
      </c>
      <c r="T173" s="81">
        <f t="shared" si="138"/>
        <v>2.5759917568263782E-3</v>
      </c>
      <c r="U173" s="81">
        <f t="shared" si="139"/>
        <v>-1.0000000000000005E-4</v>
      </c>
      <c r="V173" s="83">
        <f t="shared" si="140"/>
        <v>1.4000000000000054E-3</v>
      </c>
    </row>
    <row r="174" spans="1:24">
      <c r="A174" s="137">
        <v>142</v>
      </c>
      <c r="B174" s="119" t="s">
        <v>195</v>
      </c>
      <c r="C174" s="120" t="s">
        <v>45</v>
      </c>
      <c r="D174" s="2">
        <v>5146419685.6700001</v>
      </c>
      <c r="E174" s="3">
        <f t="shared" si="129"/>
        <v>0.11189358070314862</v>
      </c>
      <c r="F174" s="14">
        <v>1.1749000000000001</v>
      </c>
      <c r="G174" s="14">
        <v>1.1749000000000001</v>
      </c>
      <c r="H174" s="60">
        <v>586</v>
      </c>
      <c r="I174" s="5">
        <v>9.7600000000000006E-2</v>
      </c>
      <c r="J174" s="5">
        <v>0.114</v>
      </c>
      <c r="K174" s="2">
        <v>5132506156.4300003</v>
      </c>
      <c r="L174" s="3">
        <f t="shared" si="130"/>
        <v>0.11140851552515676</v>
      </c>
      <c r="M174" s="14">
        <v>1.1791</v>
      </c>
      <c r="N174" s="14">
        <v>1.1791</v>
      </c>
      <c r="O174" s="60">
        <v>591</v>
      </c>
      <c r="P174" s="5">
        <v>9.74E-2</v>
      </c>
      <c r="Q174" s="5">
        <v>0.11360000000000001</v>
      </c>
      <c r="R174" s="81">
        <f t="shared" si="136"/>
        <v>-2.7035356791327062E-3</v>
      </c>
      <c r="S174" s="81">
        <f t="shared" si="137"/>
        <v>3.5747723210485839E-3</v>
      </c>
      <c r="T174" s="81">
        <f t="shared" si="138"/>
        <v>8.5324232081911266E-3</v>
      </c>
      <c r="U174" s="81">
        <f t="shared" si="139"/>
        <v>-2.0000000000000573E-4</v>
      </c>
      <c r="V174" s="83">
        <f t="shared" si="140"/>
        <v>-3.9999999999999758E-4</v>
      </c>
    </row>
    <row r="175" spans="1:24">
      <c r="A175" s="139">
        <v>143</v>
      </c>
      <c r="B175" s="119" t="s">
        <v>196</v>
      </c>
      <c r="C175" s="120" t="s">
        <v>197</v>
      </c>
      <c r="D175" s="2">
        <v>339935080.16000003</v>
      </c>
      <c r="E175" s="3">
        <f t="shared" ref="E175" si="143">(D175/$D$177)</f>
        <v>7.3908766965946286E-3</v>
      </c>
      <c r="F175" s="18">
        <v>99.369500000000002</v>
      </c>
      <c r="G175" s="18">
        <v>99.421400000000006</v>
      </c>
      <c r="H175" s="61">
        <v>151</v>
      </c>
      <c r="I175" s="5">
        <v>4.3E-3</v>
      </c>
      <c r="J175" s="5">
        <v>-6.3E-3</v>
      </c>
      <c r="K175" s="2">
        <v>340655119.62</v>
      </c>
      <c r="L175" s="3">
        <f t="shared" ref="L175" si="144">(K175/$K$177)</f>
        <v>7.3944151309712144E-3</v>
      </c>
      <c r="M175" s="18">
        <v>99.176199999999994</v>
      </c>
      <c r="N175" s="18">
        <v>99.466399999999993</v>
      </c>
      <c r="O175" s="61">
        <v>159</v>
      </c>
      <c r="P175" s="5">
        <v>4.0000000000000003E-5</v>
      </c>
      <c r="Q175" s="5">
        <v>-8.2400000000000008E-3</v>
      </c>
      <c r="R175" s="81">
        <f t="shared" ref="R175" si="145">((K175-D175)/D175)</f>
        <v>2.1181675620564719E-3</v>
      </c>
      <c r="S175" s="81">
        <f t="shared" ref="S175" si="146">((N175-G175)/G175)</f>
        <v>4.5261885268149004E-4</v>
      </c>
      <c r="T175" s="81">
        <f t="shared" ref="T175" si="147">((O175-H175)/H175)</f>
        <v>5.2980132450331126E-2</v>
      </c>
      <c r="U175" s="81">
        <f t="shared" ref="U175" si="148">P175-I175</f>
        <v>-4.2599999999999999E-3</v>
      </c>
      <c r="V175" s="83">
        <f t="shared" ref="V175" si="149">Q175-J175</f>
        <v>-1.9400000000000008E-3</v>
      </c>
    </row>
    <row r="176" spans="1:24">
      <c r="A176" s="139">
        <v>144</v>
      </c>
      <c r="B176" s="119" t="s">
        <v>244</v>
      </c>
      <c r="C176" s="120" t="s">
        <v>197</v>
      </c>
      <c r="D176" s="2">
        <v>44930000</v>
      </c>
      <c r="E176" s="3">
        <f t="shared" si="129"/>
        <v>9.7686914166580734E-4</v>
      </c>
      <c r="F176" s="18">
        <v>100.1481</v>
      </c>
      <c r="G176" s="18">
        <v>100.1481</v>
      </c>
      <c r="H176" s="61">
        <v>53</v>
      </c>
      <c r="I176" s="5">
        <v>4.3100000000000001E-4</v>
      </c>
      <c r="J176" s="5">
        <v>1.4809999999999999E-3</v>
      </c>
      <c r="K176" s="2">
        <v>115030000</v>
      </c>
      <c r="L176" s="3">
        <f t="shared" si="130"/>
        <v>2.4968935545851721E-3</v>
      </c>
      <c r="M176" s="18">
        <v>100.14830000000001</v>
      </c>
      <c r="N176" s="18">
        <v>100.14830000000001</v>
      </c>
      <c r="O176" s="61">
        <v>56</v>
      </c>
      <c r="P176" s="5">
        <v>-6.6000000000000005E-5</v>
      </c>
      <c r="Q176" s="5">
        <v>1.4829999999999999E-3</v>
      </c>
      <c r="R176" s="81">
        <f t="shared" si="136"/>
        <v>1.5602047629646116</v>
      </c>
      <c r="S176" s="81">
        <f t="shared" si="137"/>
        <v>1.9970423803011669E-6</v>
      </c>
      <c r="T176" s="81">
        <f t="shared" si="138"/>
        <v>5.6603773584905662E-2</v>
      </c>
      <c r="U176" s="81">
        <f t="shared" si="139"/>
        <v>-4.9700000000000005E-4</v>
      </c>
      <c r="V176" s="83">
        <f t="shared" si="140"/>
        <v>2.0000000000000486E-6</v>
      </c>
    </row>
    <row r="177" spans="1:22">
      <c r="A177" s="85"/>
      <c r="B177" s="19"/>
      <c r="C177" s="66" t="s">
        <v>46</v>
      </c>
      <c r="D177" s="59">
        <f>SUM(D162:D176)</f>
        <v>45993877873.32811</v>
      </c>
      <c r="E177" s="104">
        <f>(D177/$D$178)</f>
        <v>2.1883279071377645E-2</v>
      </c>
      <c r="F177" s="30"/>
      <c r="G177" s="34"/>
      <c r="H177" s="68">
        <f>SUM(H162:H176)</f>
        <v>27686</v>
      </c>
      <c r="I177" s="35"/>
      <c r="J177" s="35"/>
      <c r="K177" s="59">
        <f>SUM(K162:K176)</f>
        <v>46069244637.507507</v>
      </c>
      <c r="L177" s="104">
        <f>(K177/$K$178)</f>
        <v>2.1587760942686687E-2</v>
      </c>
      <c r="M177" s="30"/>
      <c r="N177" s="34"/>
      <c r="O177" s="68">
        <f>SUM(O162:O176)</f>
        <v>27716</v>
      </c>
      <c r="P177" s="35"/>
      <c r="Q177" s="35"/>
      <c r="R177" s="81">
        <f t="shared" si="136"/>
        <v>1.6386260012031478E-3</v>
      </c>
      <c r="S177" s="81" t="e">
        <f t="shared" si="137"/>
        <v>#DIV/0!</v>
      </c>
      <c r="T177" s="81">
        <f t="shared" si="138"/>
        <v>1.0835801488116737E-3</v>
      </c>
      <c r="U177" s="81">
        <f t="shared" si="139"/>
        <v>0</v>
      </c>
      <c r="V177" s="83">
        <f t="shared" si="140"/>
        <v>0</v>
      </c>
    </row>
    <row r="178" spans="1:22">
      <c r="A178" s="86"/>
      <c r="B178" s="38"/>
      <c r="C178" s="67" t="s">
        <v>198</v>
      </c>
      <c r="D178" s="69">
        <f>SUM(D22,D55,D90,D117,D125,D152,D158,D177)</f>
        <v>2101781808992.5132</v>
      </c>
      <c r="E178" s="39"/>
      <c r="F178" s="39"/>
      <c r="G178" s="40"/>
      <c r="H178" s="69">
        <f>SUM(H22,H55,H90,H117,H125,H152,H158,H177)</f>
        <v>768371</v>
      </c>
      <c r="I178" s="41"/>
      <c r="J178" s="41"/>
      <c r="K178" s="69">
        <f>SUM(K22,K55,K90,K117,K125,K152,K158,K177)</f>
        <v>2134044598687.9639</v>
      </c>
      <c r="L178" s="39"/>
      <c r="M178" s="39"/>
      <c r="N178" s="40"/>
      <c r="O178" s="69">
        <f>SUM(O22,O55,O90,O117,O125,O152,O158,O177)</f>
        <v>770261</v>
      </c>
      <c r="P178" s="42"/>
      <c r="Q178" s="69"/>
      <c r="R178" s="25">
        <f t="shared" si="136"/>
        <v>1.5350208835861899E-2</v>
      </c>
      <c r="S178" s="25"/>
      <c r="T178" s="25"/>
      <c r="U178" s="25"/>
      <c r="V178" s="25"/>
    </row>
    <row r="179" spans="1:22" ht="6.75" customHeight="1">
      <c r="A179" s="151"/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9"/>
    </row>
    <row r="180" spans="1:22" ht="15.75">
      <c r="A180" s="149" t="s">
        <v>199</v>
      </c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</row>
    <row r="181" spans="1:22">
      <c r="A181" s="146">
        <v>1</v>
      </c>
      <c r="B181" s="119" t="s">
        <v>200</v>
      </c>
      <c r="C181" s="120" t="s">
        <v>201</v>
      </c>
      <c r="D181" s="2">
        <v>92548651821</v>
      </c>
      <c r="E181" s="3">
        <f>(D181/$D$183)</f>
        <v>0.97812178425354546</v>
      </c>
      <c r="F181" s="14">
        <v>108.4</v>
      </c>
      <c r="G181" s="14">
        <v>108.4</v>
      </c>
      <c r="H181" s="64">
        <v>0</v>
      </c>
      <c r="I181" s="20">
        <v>0</v>
      </c>
      <c r="J181" s="20">
        <v>0.13800000000000001</v>
      </c>
      <c r="K181" s="2">
        <v>92548651821</v>
      </c>
      <c r="L181" s="3">
        <f>(K181/$K$183)</f>
        <v>0.97764471782494933</v>
      </c>
      <c r="M181" s="14">
        <v>108.4</v>
      </c>
      <c r="N181" s="14">
        <v>108.4</v>
      </c>
      <c r="O181" s="64">
        <v>0</v>
      </c>
      <c r="P181" s="20">
        <v>0</v>
      </c>
      <c r="Q181" s="20">
        <v>0.13800000000000001</v>
      </c>
      <c r="R181" s="81">
        <f t="shared" ref="R181:R182" si="150">((K181-D181)/D181)</f>
        <v>0</v>
      </c>
      <c r="S181" s="81">
        <f t="shared" ref="S181:S182" si="151">((N181-G181)/G181)</f>
        <v>0</v>
      </c>
      <c r="T181" s="81" t="e">
        <f t="shared" ref="T181:T182" si="152">((O181-H181)/H181)</f>
        <v>#DIV/0!</v>
      </c>
      <c r="U181" s="81">
        <f t="shared" ref="U181:U182" si="153">P181-I181</f>
        <v>0</v>
      </c>
      <c r="V181" s="83">
        <f t="shared" ref="V181:V182" si="154">Q181-J181</f>
        <v>0</v>
      </c>
    </row>
    <row r="182" spans="1:22">
      <c r="A182" s="137">
        <v>2</v>
      </c>
      <c r="B182" s="119" t="s">
        <v>202</v>
      </c>
      <c r="C182" s="120" t="s">
        <v>45</v>
      </c>
      <c r="D182" s="2">
        <v>2070089230.3800001</v>
      </c>
      <c r="E182" s="3">
        <f>(D182/$D$183)</f>
        <v>2.1878215746454471E-2</v>
      </c>
      <c r="F182" s="21">
        <v>1000000</v>
      </c>
      <c r="G182" s="21">
        <v>1000000</v>
      </c>
      <c r="H182" s="64">
        <v>0</v>
      </c>
      <c r="I182" s="20">
        <v>0.1661</v>
      </c>
      <c r="J182" s="20">
        <v>0.1661</v>
      </c>
      <c r="K182" s="2">
        <v>2116260834.49</v>
      </c>
      <c r="L182" s="3">
        <f>(K182/$K$183)</f>
        <v>2.2355282175050624E-2</v>
      </c>
      <c r="M182" s="21">
        <v>1000000</v>
      </c>
      <c r="N182" s="21">
        <v>1000000</v>
      </c>
      <c r="O182" s="64">
        <v>0</v>
      </c>
      <c r="P182" s="20">
        <v>0.1661</v>
      </c>
      <c r="Q182" s="20">
        <v>0.1661</v>
      </c>
      <c r="R182" s="81">
        <f t="shared" si="150"/>
        <v>2.2304161304932884E-2</v>
      </c>
      <c r="S182" s="81">
        <f t="shared" si="151"/>
        <v>0</v>
      </c>
      <c r="T182" s="81" t="e">
        <f t="shared" si="152"/>
        <v>#DIV/0!</v>
      </c>
      <c r="U182" s="81">
        <f t="shared" si="153"/>
        <v>0</v>
      </c>
      <c r="V182" s="83">
        <f t="shared" si="154"/>
        <v>0</v>
      </c>
    </row>
    <row r="183" spans="1:22">
      <c r="A183" s="38"/>
      <c r="B183" s="38"/>
      <c r="C183" s="67" t="s">
        <v>203</v>
      </c>
      <c r="D183" s="73">
        <f>SUM(D181:D182)</f>
        <v>94618741051.380005</v>
      </c>
      <c r="E183" s="24"/>
      <c r="F183" s="22"/>
      <c r="G183" s="22"/>
      <c r="H183" s="73">
        <f>SUM(H181:H182)</f>
        <v>0</v>
      </c>
      <c r="I183" s="23"/>
      <c r="J183" s="23"/>
      <c r="K183" s="73">
        <f>SUM(K181:K182)</f>
        <v>94664912655.490005</v>
      </c>
      <c r="L183" s="24"/>
      <c r="M183" s="22"/>
      <c r="N183" s="22"/>
      <c r="O183" s="23"/>
      <c r="P183" s="23"/>
      <c r="Q183" s="73"/>
      <c r="R183" s="25">
        <f>((K183-D183)/D183)</f>
        <v>4.8797525307305072E-4</v>
      </c>
      <c r="S183" s="26"/>
      <c r="T183" s="26"/>
      <c r="U183" s="25">
        <f t="shared" ref="U183:V183" si="155">O183-H183</f>
        <v>0</v>
      </c>
      <c r="V183" s="87">
        <f t="shared" si="155"/>
        <v>0</v>
      </c>
    </row>
    <row r="184" spans="1:22" ht="8.25" customHeight="1">
      <c r="A184" s="148"/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</row>
    <row r="185" spans="1:22" ht="15.75">
      <c r="A185" s="149" t="s">
        <v>204</v>
      </c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</row>
    <row r="186" spans="1:22">
      <c r="A186" s="140">
        <v>1</v>
      </c>
      <c r="B186" s="119" t="s">
        <v>205</v>
      </c>
      <c r="C186" s="120" t="s">
        <v>74</v>
      </c>
      <c r="D186" s="27">
        <v>750674389.11000001</v>
      </c>
      <c r="E186" s="10">
        <f t="shared" ref="E186:E197" si="156">(D186/$D$198)</f>
        <v>7.2178802272271816E-2</v>
      </c>
      <c r="F186" s="21">
        <v>169.84960833722661</v>
      </c>
      <c r="G186" s="21">
        <v>172.82707243237022</v>
      </c>
      <c r="H186" s="63">
        <v>103</v>
      </c>
      <c r="I186" s="28">
        <v>2.1768120498744992E-2</v>
      </c>
      <c r="J186" s="28">
        <v>0.38664061014961737</v>
      </c>
      <c r="K186" s="27">
        <v>756744089.37</v>
      </c>
      <c r="L186" s="10">
        <f t="shared" ref="L186:L197" si="157">(K186/$K$198)</f>
        <v>7.2132528665013532E-2</v>
      </c>
      <c r="M186" s="21">
        <v>171.25</v>
      </c>
      <c r="N186" s="21">
        <v>174.22</v>
      </c>
      <c r="O186" s="63">
        <v>103</v>
      </c>
      <c r="P186" s="28">
        <v>8.2448919163415901E-3</v>
      </c>
      <c r="Q186" s="28">
        <v>0.39807331210711094</v>
      </c>
      <c r="R186" s="81">
        <f t="shared" ref="R186" si="158">((K186-D186)/D186)</f>
        <v>8.085663169082177E-3</v>
      </c>
      <c r="S186" s="81">
        <f t="shared" ref="S186" si="159">((N186-G186)/G186)</f>
        <v>8.0596607234370444E-3</v>
      </c>
      <c r="T186" s="81">
        <f t="shared" ref="T186" si="160">((O186-H186)/H186)</f>
        <v>0</v>
      </c>
      <c r="U186" s="81">
        <f t="shared" ref="U186" si="161">P186-I186</f>
        <v>-1.3523228582403402E-2</v>
      </c>
      <c r="V186" s="83">
        <f t="shared" ref="V186" si="162">Q186-J186</f>
        <v>1.1432701957493574E-2</v>
      </c>
    </row>
    <row r="187" spans="1:22">
      <c r="A187" s="146">
        <v>2</v>
      </c>
      <c r="B187" s="119" t="s">
        <v>206</v>
      </c>
      <c r="C187" s="120" t="s">
        <v>185</v>
      </c>
      <c r="D187" s="27">
        <v>755809747.53999996</v>
      </c>
      <c r="E187" s="10">
        <f t="shared" si="156"/>
        <v>7.2672576971520145E-2</v>
      </c>
      <c r="F187" s="21">
        <v>21.5</v>
      </c>
      <c r="G187" s="21">
        <v>23.76</v>
      </c>
      <c r="H187" s="63">
        <v>176</v>
      </c>
      <c r="I187" s="28">
        <v>2.4199999999999999E-2</v>
      </c>
      <c r="J187" s="28">
        <v>0.4577</v>
      </c>
      <c r="K187" s="27">
        <v>755809747.53999996</v>
      </c>
      <c r="L187" s="10">
        <f t="shared" si="157"/>
        <v>7.2043467594326463E-2</v>
      </c>
      <c r="M187" s="21">
        <v>21.5</v>
      </c>
      <c r="N187" s="21">
        <v>23.76</v>
      </c>
      <c r="O187" s="63">
        <v>176</v>
      </c>
      <c r="P187" s="28">
        <v>2.4199999999999999E-2</v>
      </c>
      <c r="Q187" s="28">
        <v>0.4577</v>
      </c>
      <c r="R187" s="81">
        <f t="shared" ref="R187:R198" si="163">((K187-D187)/D187)</f>
        <v>0</v>
      </c>
      <c r="S187" s="81">
        <f t="shared" ref="S187:S198" si="164">((N187-G187)/G187)</f>
        <v>0</v>
      </c>
      <c r="T187" s="81">
        <f t="shared" ref="T187:T198" si="165">((O187-H187)/H187)</f>
        <v>0</v>
      </c>
      <c r="U187" s="81">
        <f t="shared" ref="U187:U198" si="166">P187-I187</f>
        <v>0</v>
      </c>
      <c r="V187" s="83">
        <f t="shared" ref="V187:V198" si="167">Q187-J187</f>
        <v>0</v>
      </c>
    </row>
    <row r="188" spans="1:22">
      <c r="A188" s="137">
        <v>3</v>
      </c>
      <c r="B188" s="119" t="s">
        <v>207</v>
      </c>
      <c r="C188" s="120" t="s">
        <v>36</v>
      </c>
      <c r="D188" s="27">
        <v>307347585.32999998</v>
      </c>
      <c r="E188" s="10">
        <f t="shared" si="156"/>
        <v>2.9552067996745701E-2</v>
      </c>
      <c r="F188" s="21">
        <v>22.932109000000001</v>
      </c>
      <c r="G188" s="21">
        <v>23.299612</v>
      </c>
      <c r="H188" s="63">
        <v>73</v>
      </c>
      <c r="I188" s="28">
        <v>5.272463686062534E-2</v>
      </c>
      <c r="J188" s="28">
        <v>0.61970463397384767</v>
      </c>
      <c r="K188" s="27">
        <v>314906659.42000002</v>
      </c>
      <c r="L188" s="10">
        <f t="shared" si="157"/>
        <v>3.0016770472997511E-2</v>
      </c>
      <c r="M188" s="21">
        <v>23.496113000000001</v>
      </c>
      <c r="N188" s="21">
        <v>23.872975</v>
      </c>
      <c r="O188" s="63">
        <v>73</v>
      </c>
      <c r="P188" s="28">
        <v>2.4594545234132292E-2</v>
      </c>
      <c r="Q188" s="28">
        <v>0.65954053286005121</v>
      </c>
      <c r="R188" s="81">
        <f t="shared" si="163"/>
        <v>2.4594545234132337E-2</v>
      </c>
      <c r="S188" s="81">
        <f t="shared" si="164"/>
        <v>2.4608263862934736E-2</v>
      </c>
      <c r="T188" s="81">
        <f t="shared" si="165"/>
        <v>0</v>
      </c>
      <c r="U188" s="81">
        <f t="shared" si="166"/>
        <v>-2.8130091626493048E-2</v>
      </c>
      <c r="V188" s="83">
        <f t="shared" si="167"/>
        <v>3.9835898886203536E-2</v>
      </c>
    </row>
    <row r="189" spans="1:22">
      <c r="A189" s="137">
        <v>4</v>
      </c>
      <c r="B189" s="119" t="s">
        <v>208</v>
      </c>
      <c r="C189" s="120" t="s">
        <v>36</v>
      </c>
      <c r="D189" s="27">
        <v>496698987.66000003</v>
      </c>
      <c r="E189" s="10">
        <f t="shared" si="156"/>
        <v>4.7758573542989596E-2</v>
      </c>
      <c r="F189" s="21">
        <v>37.272644</v>
      </c>
      <c r="G189" s="21">
        <v>37.703941</v>
      </c>
      <c r="H189" s="63">
        <v>60</v>
      </c>
      <c r="I189" s="28">
        <v>3.3586014712214229E-2</v>
      </c>
      <c r="J189" s="28">
        <v>1.1373800281933271</v>
      </c>
      <c r="K189" s="27">
        <v>501844828.30000001</v>
      </c>
      <c r="L189" s="10">
        <f t="shared" si="157"/>
        <v>4.7835638191604503E-2</v>
      </c>
      <c r="M189" s="21">
        <v>37.658791999999998</v>
      </c>
      <c r="N189" s="21">
        <v>38.102442000000003</v>
      </c>
      <c r="O189" s="63">
        <v>60</v>
      </c>
      <c r="P189" s="28">
        <v>1.0360078775764281E-2</v>
      </c>
      <c r="Q189" s="28">
        <v>1.1595234536591557</v>
      </c>
      <c r="R189" s="81">
        <f t="shared" si="163"/>
        <v>1.036007877576431E-2</v>
      </c>
      <c r="S189" s="81">
        <f t="shared" si="164"/>
        <v>1.0569213441109594E-2</v>
      </c>
      <c r="T189" s="81">
        <f t="shared" si="165"/>
        <v>0</v>
      </c>
      <c r="U189" s="81">
        <f t="shared" si="166"/>
        <v>-2.3225935936449948E-2</v>
      </c>
      <c r="V189" s="83">
        <f t="shared" si="167"/>
        <v>2.2143425465828592E-2</v>
      </c>
    </row>
    <row r="190" spans="1:22">
      <c r="A190" s="142">
        <v>5</v>
      </c>
      <c r="B190" s="119" t="s">
        <v>209</v>
      </c>
      <c r="C190" s="120" t="s">
        <v>210</v>
      </c>
      <c r="D190" s="27">
        <v>760849576.61000001</v>
      </c>
      <c r="E190" s="10">
        <f t="shared" si="156"/>
        <v>7.3157166337038351E-2</v>
      </c>
      <c r="F190" s="21">
        <v>16840</v>
      </c>
      <c r="G190" s="21">
        <v>18360</v>
      </c>
      <c r="H190" s="63">
        <v>215</v>
      </c>
      <c r="I190" s="28">
        <v>0.12</v>
      </c>
      <c r="J190" s="28">
        <v>1.2</v>
      </c>
      <c r="K190" s="27">
        <v>769064526.47000003</v>
      </c>
      <c r="L190" s="10">
        <f t="shared" si="157"/>
        <v>7.3306907553154055E-2</v>
      </c>
      <c r="M190" s="21">
        <v>20400</v>
      </c>
      <c r="N190" s="21">
        <v>23800</v>
      </c>
      <c r="O190" s="63">
        <v>215</v>
      </c>
      <c r="P190" s="28">
        <v>0.01</v>
      </c>
      <c r="Q190" s="28">
        <v>1.22</v>
      </c>
      <c r="R190" s="81">
        <f t="shared" si="163"/>
        <v>1.0797074891731028E-2</v>
      </c>
      <c r="S190" s="81">
        <f t="shared" si="164"/>
        <v>0.29629629629629628</v>
      </c>
      <c r="T190" s="81">
        <f t="shared" si="165"/>
        <v>0</v>
      </c>
      <c r="U190" s="81">
        <f t="shared" si="166"/>
        <v>-0.11</v>
      </c>
      <c r="V190" s="83">
        <f t="shared" si="167"/>
        <v>2.0000000000000018E-2</v>
      </c>
    </row>
    <row r="191" spans="1:22">
      <c r="A191" s="139">
        <v>6</v>
      </c>
      <c r="B191" s="119" t="s">
        <v>211</v>
      </c>
      <c r="C191" s="120" t="s">
        <v>212</v>
      </c>
      <c r="D191" s="27">
        <v>964942559.47000003</v>
      </c>
      <c r="E191" s="10">
        <f t="shared" si="156"/>
        <v>9.2781103517678556E-2</v>
      </c>
      <c r="F191" s="21">
        <v>460</v>
      </c>
      <c r="G191" s="21">
        <v>460</v>
      </c>
      <c r="H191" s="63">
        <v>46</v>
      </c>
      <c r="I191" s="28">
        <v>4.1500000000000002E-2</v>
      </c>
      <c r="J191" s="28">
        <v>0.68489999999999995</v>
      </c>
      <c r="K191" s="27">
        <v>980982140.45000005</v>
      </c>
      <c r="L191" s="10">
        <f t="shared" si="157"/>
        <v>9.3506805483985017E-2</v>
      </c>
      <c r="M191" s="21">
        <v>500</v>
      </c>
      <c r="N191" s="21">
        <v>500</v>
      </c>
      <c r="O191" s="63">
        <v>46</v>
      </c>
      <c r="P191" s="28">
        <v>1.66E-2</v>
      </c>
      <c r="Q191" s="28">
        <v>0.71220000000000006</v>
      </c>
      <c r="R191" s="81">
        <f t="shared" si="163"/>
        <v>1.662231686496432E-2</v>
      </c>
      <c r="S191" s="81">
        <f t="shared" si="164"/>
        <v>8.6956521739130432E-2</v>
      </c>
      <c r="T191" s="81">
        <f t="shared" si="165"/>
        <v>0</v>
      </c>
      <c r="U191" s="81">
        <f t="shared" si="166"/>
        <v>-2.4900000000000002E-2</v>
      </c>
      <c r="V191" s="83">
        <f t="shared" si="167"/>
        <v>2.7300000000000102E-2</v>
      </c>
    </row>
    <row r="192" spans="1:22">
      <c r="A192" s="139">
        <v>7</v>
      </c>
      <c r="B192" s="119" t="s">
        <v>213</v>
      </c>
      <c r="C192" s="120" t="s">
        <v>212</v>
      </c>
      <c r="D192" s="27">
        <v>652652143.30999994</v>
      </c>
      <c r="E192" s="10">
        <f t="shared" si="156"/>
        <v>6.2753772724813153E-2</v>
      </c>
      <c r="F192" s="21">
        <v>700</v>
      </c>
      <c r="G192" s="21">
        <v>700</v>
      </c>
      <c r="H192" s="63">
        <v>377</v>
      </c>
      <c r="I192" s="28">
        <v>5.0099999999999999E-2</v>
      </c>
      <c r="J192" s="28">
        <v>0.52370000000000005</v>
      </c>
      <c r="K192" s="27">
        <v>658612208.19000006</v>
      </c>
      <c r="L192" s="10">
        <f t="shared" si="157"/>
        <v>6.2778638979451531E-2</v>
      </c>
      <c r="M192" s="21">
        <v>717</v>
      </c>
      <c r="N192" s="21">
        <v>717</v>
      </c>
      <c r="O192" s="63">
        <v>377</v>
      </c>
      <c r="P192" s="28">
        <v>8.8999999999999999E-3</v>
      </c>
      <c r="Q192" s="28">
        <v>0.53710000000000002</v>
      </c>
      <c r="R192" s="81">
        <f t="shared" si="163"/>
        <v>9.1320697267199095E-3</v>
      </c>
      <c r="S192" s="81">
        <f t="shared" si="164"/>
        <v>2.4285714285714285E-2</v>
      </c>
      <c r="T192" s="81">
        <f t="shared" si="165"/>
        <v>0</v>
      </c>
      <c r="U192" s="81">
        <f t="shared" si="166"/>
        <v>-4.1200000000000001E-2</v>
      </c>
      <c r="V192" s="83">
        <f t="shared" si="167"/>
        <v>1.3399999999999967E-2</v>
      </c>
    </row>
    <row r="193" spans="1:22">
      <c r="A193" s="141">
        <v>8</v>
      </c>
      <c r="B193" s="119" t="s">
        <v>214</v>
      </c>
      <c r="C193" s="120" t="s">
        <v>215</v>
      </c>
      <c r="D193" s="27">
        <v>256709280.31</v>
      </c>
      <c r="E193" s="10">
        <f t="shared" si="156"/>
        <v>2.4683096497964515E-2</v>
      </c>
      <c r="F193" s="21">
        <v>11.33</v>
      </c>
      <c r="G193" s="21">
        <v>11.43</v>
      </c>
      <c r="H193" s="63">
        <v>50</v>
      </c>
      <c r="I193" s="28">
        <v>7.7999999999999996E-3</v>
      </c>
      <c r="J193" s="28">
        <v>0.93540000000000001</v>
      </c>
      <c r="K193" s="27">
        <v>252811511.55000001</v>
      </c>
      <c r="L193" s="10">
        <f t="shared" si="157"/>
        <v>2.4097887066296671E-2</v>
      </c>
      <c r="M193" s="21">
        <v>11.16</v>
      </c>
      <c r="N193" s="21">
        <v>11.26</v>
      </c>
      <c r="O193" s="63">
        <v>50</v>
      </c>
      <c r="P193" s="28">
        <v>0</v>
      </c>
      <c r="Q193" s="28">
        <v>0.93540000000000001</v>
      </c>
      <c r="R193" s="81">
        <f t="shared" si="163"/>
        <v>-1.5183591163097325E-2</v>
      </c>
      <c r="S193" s="81">
        <f t="shared" si="164"/>
        <v>-1.487314085739282E-2</v>
      </c>
      <c r="T193" s="81">
        <f t="shared" si="165"/>
        <v>0</v>
      </c>
      <c r="U193" s="81">
        <f t="shared" si="166"/>
        <v>-7.7999999999999996E-3</v>
      </c>
      <c r="V193" s="83">
        <f t="shared" si="167"/>
        <v>0</v>
      </c>
    </row>
    <row r="194" spans="1:22">
      <c r="A194" s="141">
        <v>9</v>
      </c>
      <c r="B194" s="119" t="s">
        <v>216</v>
      </c>
      <c r="C194" s="120" t="s">
        <v>215</v>
      </c>
      <c r="D194" s="29">
        <v>715505312.13</v>
      </c>
      <c r="E194" s="10">
        <f t="shared" si="156"/>
        <v>6.8797227130954791E-2</v>
      </c>
      <c r="F194" s="21">
        <v>8.83</v>
      </c>
      <c r="G194" s="21">
        <v>8.93</v>
      </c>
      <c r="H194" s="63">
        <v>84</v>
      </c>
      <c r="I194" s="28">
        <v>3.3500000000000002E-2</v>
      </c>
      <c r="J194" s="28">
        <v>1.0874999999999999</v>
      </c>
      <c r="K194" s="29">
        <v>722864988.44000006</v>
      </c>
      <c r="L194" s="10">
        <f t="shared" si="157"/>
        <v>6.8903186998119786E-2</v>
      </c>
      <c r="M194" s="21">
        <v>8.92</v>
      </c>
      <c r="N194" s="21">
        <v>9.02</v>
      </c>
      <c r="O194" s="63">
        <v>85</v>
      </c>
      <c r="P194" s="28">
        <v>0</v>
      </c>
      <c r="Q194" s="28">
        <v>1.0874999999999999</v>
      </c>
      <c r="R194" s="81">
        <f t="shared" si="163"/>
        <v>1.0285984164241794E-2</v>
      </c>
      <c r="S194" s="81">
        <f t="shared" si="164"/>
        <v>1.0078387458006703E-2</v>
      </c>
      <c r="T194" s="81">
        <f t="shared" si="165"/>
        <v>1.1904761904761904E-2</v>
      </c>
      <c r="U194" s="81">
        <f t="shared" si="166"/>
        <v>-3.3500000000000002E-2</v>
      </c>
      <c r="V194" s="83">
        <f t="shared" si="167"/>
        <v>0</v>
      </c>
    </row>
    <row r="195" spans="1:22" ht="15" customHeight="1">
      <c r="A195" s="141">
        <v>10</v>
      </c>
      <c r="B195" s="119" t="s">
        <v>217</v>
      </c>
      <c r="C195" s="120" t="s">
        <v>215</v>
      </c>
      <c r="D195" s="27">
        <v>480012916.25</v>
      </c>
      <c r="E195" s="10">
        <f t="shared" si="156"/>
        <v>4.6154175329229677E-2</v>
      </c>
      <c r="F195" s="21">
        <v>135.35</v>
      </c>
      <c r="G195" s="21">
        <v>137.35</v>
      </c>
      <c r="H195" s="63">
        <v>94</v>
      </c>
      <c r="I195" s="28">
        <v>1.23E-2</v>
      </c>
      <c r="J195" s="28">
        <v>-5.5999999999999999E-3</v>
      </c>
      <c r="K195" s="27">
        <v>482283524.80000001</v>
      </c>
      <c r="L195" s="10">
        <f t="shared" si="157"/>
        <v>4.597106296034837E-2</v>
      </c>
      <c r="M195" s="21">
        <v>136</v>
      </c>
      <c r="N195" s="21">
        <v>138</v>
      </c>
      <c r="O195" s="63">
        <v>95</v>
      </c>
      <c r="P195" s="28">
        <v>-0.10299999999999999</v>
      </c>
      <c r="Q195" s="28">
        <v>-0.1081</v>
      </c>
      <c r="R195" s="81">
        <f t="shared" si="163"/>
        <v>4.7303071920202977E-3</v>
      </c>
      <c r="S195" s="81">
        <f t="shared" si="164"/>
        <v>4.7324353840553744E-3</v>
      </c>
      <c r="T195" s="81">
        <f t="shared" si="165"/>
        <v>1.0638297872340425E-2</v>
      </c>
      <c r="U195" s="81">
        <f t="shared" si="166"/>
        <v>-0.1153</v>
      </c>
      <c r="V195" s="83">
        <f t="shared" si="167"/>
        <v>-0.10250000000000001</v>
      </c>
    </row>
    <row r="196" spans="1:22">
      <c r="A196" s="141">
        <v>11</v>
      </c>
      <c r="B196" s="119" t="s">
        <v>218</v>
      </c>
      <c r="C196" s="120" t="s">
        <v>215</v>
      </c>
      <c r="D196" s="27">
        <v>3974338862.71</v>
      </c>
      <c r="E196" s="10">
        <f t="shared" si="156"/>
        <v>0.38214041013795036</v>
      </c>
      <c r="F196" s="21">
        <v>27.86</v>
      </c>
      <c r="G196" s="21">
        <v>28.06</v>
      </c>
      <c r="H196" s="63">
        <v>212</v>
      </c>
      <c r="I196" s="28">
        <v>2.5100000000000001E-2</v>
      </c>
      <c r="J196" s="28">
        <v>0.44019999999999998</v>
      </c>
      <c r="K196" s="27">
        <v>4010568302.6300001</v>
      </c>
      <c r="L196" s="10">
        <f t="shared" si="157"/>
        <v>0.38228568563157611</v>
      </c>
      <c r="M196" s="21">
        <v>28.14</v>
      </c>
      <c r="N196" s="21">
        <v>28.34</v>
      </c>
      <c r="O196" s="63">
        <v>212</v>
      </c>
      <c r="P196" s="28">
        <v>1.89E-2</v>
      </c>
      <c r="Q196" s="28">
        <v>0.46739999999999998</v>
      </c>
      <c r="R196" s="81">
        <f t="shared" si="163"/>
        <v>9.1158406898641121E-3</v>
      </c>
      <c r="S196" s="81">
        <f t="shared" si="164"/>
        <v>9.9786172487527133E-3</v>
      </c>
      <c r="T196" s="81">
        <f t="shared" si="165"/>
        <v>0</v>
      </c>
      <c r="U196" s="81">
        <f t="shared" si="166"/>
        <v>-6.2000000000000006E-3</v>
      </c>
      <c r="V196" s="83">
        <f t="shared" si="167"/>
        <v>2.7200000000000002E-2</v>
      </c>
    </row>
    <row r="197" spans="1:22">
      <c r="A197" s="141">
        <v>12</v>
      </c>
      <c r="B197" s="119" t="s">
        <v>219</v>
      </c>
      <c r="C197" s="120" t="s">
        <v>215</v>
      </c>
      <c r="D197" s="29">
        <v>284664316</v>
      </c>
      <c r="E197" s="10">
        <f t="shared" si="156"/>
        <v>2.7371027540843265E-2</v>
      </c>
      <c r="F197" s="21">
        <v>27.02</v>
      </c>
      <c r="G197" s="21">
        <v>27.22</v>
      </c>
      <c r="H197" s="63">
        <v>46</v>
      </c>
      <c r="I197" s="28">
        <v>-1.8499999999999999E-2</v>
      </c>
      <c r="J197" s="28">
        <v>0.1255</v>
      </c>
      <c r="K197" s="29">
        <v>284531472.35000002</v>
      </c>
      <c r="L197" s="10">
        <f t="shared" si="157"/>
        <v>2.7121420403126473E-2</v>
      </c>
      <c r="M197" s="21">
        <v>27.02</v>
      </c>
      <c r="N197" s="21">
        <v>27.22</v>
      </c>
      <c r="O197" s="63">
        <v>46</v>
      </c>
      <c r="P197" s="28">
        <v>0</v>
      </c>
      <c r="Q197" s="28">
        <v>0.1046</v>
      </c>
      <c r="R197" s="81">
        <f t="shared" si="163"/>
        <v>-4.6666772943882492E-4</v>
      </c>
      <c r="S197" s="81">
        <f t="shared" si="164"/>
        <v>0</v>
      </c>
      <c r="T197" s="81">
        <f t="shared" si="165"/>
        <v>0</v>
      </c>
      <c r="U197" s="81">
        <f t="shared" si="166"/>
        <v>1.8499999999999999E-2</v>
      </c>
      <c r="V197" s="83">
        <f t="shared" si="167"/>
        <v>-2.0900000000000002E-2</v>
      </c>
    </row>
    <row r="198" spans="1:22">
      <c r="A198" s="43"/>
      <c r="B198" s="43"/>
      <c r="C198" s="74" t="s">
        <v>220</v>
      </c>
      <c r="D198" s="73">
        <f>SUM(D186:D197)</f>
        <v>10400205676.43</v>
      </c>
      <c r="E198" s="24"/>
      <c r="F198" s="24"/>
      <c r="G198" s="22"/>
      <c r="H198" s="73">
        <f>SUM(H186:H197)</f>
        <v>1536</v>
      </c>
      <c r="I198" s="23"/>
      <c r="J198" s="23"/>
      <c r="K198" s="73">
        <f>SUM(K186:K197)</f>
        <v>10491023999.51</v>
      </c>
      <c r="L198" s="24"/>
      <c r="M198" s="24"/>
      <c r="N198" s="22"/>
      <c r="O198" s="73">
        <f>SUM(O186:O197)</f>
        <v>1538</v>
      </c>
      <c r="P198" s="23"/>
      <c r="Q198" s="23"/>
      <c r="R198" s="81">
        <f t="shared" si="163"/>
        <v>8.7323583692024091E-3</v>
      </c>
      <c r="S198" s="81" t="e">
        <f t="shared" si="164"/>
        <v>#DIV/0!</v>
      </c>
      <c r="T198" s="81">
        <f t="shared" si="165"/>
        <v>1.3020833333333333E-3</v>
      </c>
      <c r="U198" s="81">
        <f t="shared" si="166"/>
        <v>0</v>
      </c>
      <c r="V198" s="83">
        <f t="shared" si="167"/>
        <v>0</v>
      </c>
    </row>
    <row r="199" spans="1:22">
      <c r="A199" s="88"/>
      <c r="B199" s="88"/>
      <c r="C199" s="89" t="s">
        <v>221</v>
      </c>
      <c r="D199" s="90">
        <f>SUM(D178,D183,D198)</f>
        <v>2206800755720.3232</v>
      </c>
      <c r="E199" s="91"/>
      <c r="F199" s="91"/>
      <c r="G199" s="92"/>
      <c r="H199" s="90">
        <f>SUM(H178,H183,H198)</f>
        <v>769907</v>
      </c>
      <c r="I199" s="93"/>
      <c r="J199" s="93"/>
      <c r="K199" s="90">
        <f>SUM(K178,K183,K198)</f>
        <v>2239200535342.9639</v>
      </c>
      <c r="L199" s="91"/>
      <c r="M199" s="91"/>
      <c r="N199" s="92"/>
      <c r="O199" s="90">
        <f>SUM(O178,O183,O198)</f>
        <v>771799</v>
      </c>
      <c r="P199" s="94"/>
      <c r="Q199" s="90"/>
      <c r="R199" s="95"/>
      <c r="S199" s="96"/>
      <c r="T199" s="96"/>
      <c r="U199" s="97"/>
      <c r="V199" s="97"/>
    </row>
    <row r="200" spans="1:22">
      <c r="A200" s="129" t="s">
        <v>251</v>
      </c>
      <c r="B200" s="130" t="s">
        <v>257</v>
      </c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</row>
  </sheetData>
  <sheetProtection algorithmName="SHA-512" hashValue="EZJum37Q3hccVx3QvpPQuNXVwaCTH/u5PXyzHkfFuxVujg7RyKFpLc/BdKuKnDBIGbAtr+l350RV+fifeF9+Kw==" saltValue="CBV8PdHzR/KyuWuQBln79w==" spinCount="100000" sheet="1" objects="1" scenarios="1"/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:K48 D47:D48" name="Yield_2_1_2_3_1_2"/>
    <protectedRange password="CADF" sqref="K53 D53" name="Yield_2_1_2_4_1_2"/>
    <protectedRange password="CADF" sqref="O53:Q53 H53:J53" name="Yield_1_1_1_1_1_2"/>
    <protectedRange password="CADF" sqref="O47:Q48 H47:J48" name="Yield_1_1_2_1_1_1_1_1_2"/>
    <protectedRange password="CADF" sqref="K81 D81" name="Yield_2_1_2_1_1_2"/>
    <protectedRange password="CADF" sqref="O81:Q81 H81:J81" name="Yield_1_1_2_1_2_1_2"/>
    <protectedRange password="CADF" sqref="M81:N81 F81:G81" name="Fund Name_2_2_1_1_2"/>
    <protectedRange password="CADF" sqref="N79 G79" name="BidOffer Prices_2_1_1_1_1_1_1_1_1_1_2"/>
    <protectedRange password="CADF" sqref="K99:K100 D99:D100" name="Yield_2_1_2_6_3_2"/>
    <protectedRange password="CADF" sqref="K142 K150:K151 D142 D150:D151" name="Fund Name_1_1_1_2_2"/>
    <protectedRange password="CADF" sqref="O142:Q142 O150:Q151 H142:J142 H150:J151" name="Yield_1_1_2_2_2"/>
    <protectedRange password="CADF" sqref="M142:N142 M150:N151 F142:G142 F150:G151" name="Fund Name_1_1_1_1_2_2"/>
  </protectedRanges>
  <mergeCells count="31">
    <mergeCell ref="A91:V91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  <mergeCell ref="A160:V160"/>
    <mergeCell ref="A92:V92"/>
    <mergeCell ref="A93:V93"/>
    <mergeCell ref="A106:V106"/>
    <mergeCell ref="A107:V107"/>
    <mergeCell ref="A118:V118"/>
    <mergeCell ref="A119:V119"/>
    <mergeCell ref="A126:V126"/>
    <mergeCell ref="A127:V127"/>
    <mergeCell ref="A153:V153"/>
    <mergeCell ref="A154:V154"/>
    <mergeCell ref="A159:V159"/>
    <mergeCell ref="A184:V184"/>
    <mergeCell ref="A185:V185"/>
    <mergeCell ref="A161:V161"/>
    <mergeCell ref="A164:V164"/>
    <mergeCell ref="A165:V165"/>
    <mergeCell ref="A179:U179"/>
    <mergeCell ref="A180:V18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M1" sqref="M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3"/>
      <c r="B1" s="103"/>
      <c r="C1" s="103"/>
    </row>
    <row r="2" spans="1:3">
      <c r="A2" s="103"/>
      <c r="B2" s="103"/>
      <c r="C2" s="103"/>
    </row>
    <row r="3" spans="1:3">
      <c r="A3" s="103"/>
      <c r="B3" s="103"/>
      <c r="C3" s="103"/>
    </row>
    <row r="4" spans="1:3" ht="33" customHeight="1">
      <c r="A4" s="111" t="s">
        <v>222</v>
      </c>
      <c r="B4" s="112" t="s">
        <v>254</v>
      </c>
      <c r="C4" s="112" t="s">
        <v>258</v>
      </c>
    </row>
    <row r="5" spans="1:3" ht="19.5" customHeight="1">
      <c r="A5" s="113" t="s">
        <v>15</v>
      </c>
      <c r="B5" s="47">
        <f>24230078910.4828/1000000000</f>
        <v>24.230078910482799</v>
      </c>
      <c r="C5" s="47">
        <f>24405214546.1117/1000000000</f>
        <v>24.405214546111697</v>
      </c>
    </row>
    <row r="6" spans="1:3" ht="16.5">
      <c r="A6" s="114" t="s">
        <v>47</v>
      </c>
      <c r="B6" s="48">
        <f>864670150184.584/1000000000</f>
        <v>864.67015018458403</v>
      </c>
      <c r="C6" s="48">
        <f>881602898033.376/1000000000</f>
        <v>881.60289803337594</v>
      </c>
    </row>
    <row r="7" spans="1:3" ht="16.5">
      <c r="A7" s="114" t="s">
        <v>223</v>
      </c>
      <c r="B7" s="47">
        <f>287057877236.41/1000000000</f>
        <v>287.05787723640998</v>
      </c>
      <c r="C7" s="47">
        <f>287675389277.731/1000000000</f>
        <v>287.67538927773103</v>
      </c>
    </row>
    <row r="8" spans="1:3" ht="16.5">
      <c r="A8" s="114" t="s">
        <v>128</v>
      </c>
      <c r="B8" s="48">
        <f>736654691955.293/1000000000</f>
        <v>736.65469195529295</v>
      </c>
      <c r="C8" s="48">
        <f>750658281364.382/1000000000</f>
        <v>750.65828136438199</v>
      </c>
    </row>
    <row r="9" spans="1:3" ht="16.5">
      <c r="A9" s="114" t="s">
        <v>224</v>
      </c>
      <c r="B9" s="47">
        <f>96678842690.6184/1000000000</f>
        <v>96.678842690618396</v>
      </c>
      <c r="C9" s="47">
        <f>96685745868.7384/1000000000</f>
        <v>96.685745868738408</v>
      </c>
    </row>
    <row r="10" spans="1:3" ht="16.5">
      <c r="A10" s="114" t="s">
        <v>154</v>
      </c>
      <c r="B10" s="49">
        <f>42133843027.7565/1000000000</f>
        <v>42.133843027756498</v>
      </c>
      <c r="C10" s="49">
        <f>42555783009.6075/1000000000</f>
        <v>42.555783009607495</v>
      </c>
    </row>
    <row r="11" spans="1:3" ht="16.5">
      <c r="A11" s="114" t="s">
        <v>178</v>
      </c>
      <c r="B11" s="47">
        <f>4362447114.04/1000000000</f>
        <v>4.3624471140400001</v>
      </c>
      <c r="C11" s="47">
        <f>4392041950.51/1000000000</f>
        <v>4.3920419505100003</v>
      </c>
    </row>
    <row r="12" spans="1:3" ht="16.5">
      <c r="A12" s="114" t="s">
        <v>225</v>
      </c>
      <c r="B12" s="47">
        <f>45993877873.3281/1000000000</f>
        <v>45.993877873328103</v>
      </c>
      <c r="C12" s="47">
        <f>46069244637.5075/1000000000</f>
        <v>46.069244637507502</v>
      </c>
    </row>
    <row r="13" spans="1:3">
      <c r="A13" s="103"/>
      <c r="B13" s="103"/>
      <c r="C13" s="103"/>
    </row>
    <row r="16" spans="1:3" ht="16.5">
      <c r="B16" s="123"/>
      <c r="C16" s="45"/>
    </row>
    <row r="17" spans="1:3" ht="16.5">
      <c r="B17" s="121"/>
      <c r="C17" s="47"/>
    </row>
    <row r="18" spans="1:3" ht="16.5">
      <c r="A18" s="100"/>
      <c r="B18" s="124"/>
      <c r="C18" s="48"/>
    </row>
    <row r="19" spans="1:3" ht="16.5">
      <c r="A19" s="101"/>
      <c r="B19" s="121"/>
      <c r="C19" s="47"/>
    </row>
    <row r="20" spans="1:3" ht="16.5">
      <c r="A20" s="101"/>
      <c r="B20" s="124"/>
      <c r="C20" s="48"/>
    </row>
    <row r="21" spans="1:3" ht="16.5">
      <c r="A21" s="101"/>
      <c r="B21" s="121"/>
      <c r="C21" s="47"/>
    </row>
    <row r="22" spans="1:3" ht="16.5">
      <c r="A22" s="101"/>
      <c r="B22" s="125"/>
      <c r="C22" s="162"/>
    </row>
    <row r="23" spans="1:3" ht="16.5">
      <c r="A23" s="101"/>
      <c r="B23" s="121"/>
      <c r="C23" s="121"/>
    </row>
    <row r="24" spans="1:3" ht="16.5">
      <c r="A24" s="101"/>
      <c r="B24" s="121"/>
      <c r="C24" s="121"/>
    </row>
    <row r="25" spans="1:3" ht="16.5">
      <c r="A25" s="101"/>
      <c r="B25" s="110"/>
      <c r="C25" s="110"/>
    </row>
    <row r="26" spans="1:3" ht="16.5">
      <c r="A26" s="101"/>
      <c r="B26" s="110"/>
      <c r="C26" s="110"/>
    </row>
    <row r="27" spans="1:3">
      <c r="B27" s="105"/>
      <c r="C27" s="105"/>
    </row>
    <row r="28" spans="1:3">
      <c r="B28" s="105"/>
      <c r="C28" s="105"/>
    </row>
  </sheetData>
  <sheetProtection algorithmName="SHA-512" hashValue="6MMedUP08ec8WB8lnuxhjFZlEIW76JGzgOi0v1YiDByy72PWbHxBYS/zRKysv8/LhKMT2VmU4Cfoow7py74nrw==" saltValue="rBL1+85osy7fr/x2FcNLc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P1" sqref="P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1" t="s">
        <v>222</v>
      </c>
      <c r="B1" s="115">
        <v>45289</v>
      </c>
    </row>
    <row r="2" spans="1:2" ht="16.5">
      <c r="A2" s="114" t="s">
        <v>178</v>
      </c>
      <c r="B2" s="47">
        <v>4392041950.5100002</v>
      </c>
    </row>
    <row r="3" spans="1:2" ht="16.5">
      <c r="A3" s="114" t="s">
        <v>15</v>
      </c>
      <c r="B3" s="47">
        <v>24405214546.111698</v>
      </c>
    </row>
    <row r="4" spans="1:2" ht="16.5">
      <c r="A4" s="114" t="s">
        <v>154</v>
      </c>
      <c r="B4" s="49">
        <v>42555783009.607452</v>
      </c>
    </row>
    <row r="5" spans="1:2" ht="16.5">
      <c r="A5" s="114" t="s">
        <v>225</v>
      </c>
      <c r="B5" s="47">
        <v>46069244637.507507</v>
      </c>
    </row>
    <row r="6" spans="1:2" ht="16.5">
      <c r="A6" s="114" t="s">
        <v>224</v>
      </c>
      <c r="B6" s="47">
        <v>96685745868.738373</v>
      </c>
    </row>
    <row r="7" spans="1:2" ht="16.5">
      <c r="A7" s="114" t="s">
        <v>223</v>
      </c>
      <c r="B7" s="47">
        <v>287675389277.73108</v>
      </c>
    </row>
    <row r="8" spans="1:2" ht="16.5">
      <c r="A8" s="114" t="s">
        <v>128</v>
      </c>
      <c r="B8" s="48">
        <v>750658281364.3822</v>
      </c>
    </row>
    <row r="9" spans="1:2" ht="16.5">
      <c r="A9" s="114" t="s">
        <v>47</v>
      </c>
      <c r="B9" s="48">
        <v>881602898033.37561</v>
      </c>
    </row>
    <row r="12" spans="1:2" ht="16.5">
      <c r="A12" s="114"/>
    </row>
    <row r="14" spans="1:2" ht="16.5">
      <c r="A14" s="102"/>
      <c r="B14" s="47"/>
    </row>
    <row r="15" spans="1:2" ht="16.5">
      <c r="A15" s="102"/>
      <c r="B15" s="47"/>
    </row>
    <row r="16" spans="1:2" ht="16.5">
      <c r="A16" s="102"/>
      <c r="B16" s="49"/>
    </row>
    <row r="17" spans="1:17" ht="16.5">
      <c r="A17" s="102"/>
      <c r="B17" s="47"/>
    </row>
    <row r="18" spans="1:17" ht="16.5">
      <c r="A18" s="102"/>
      <c r="B18" s="47"/>
    </row>
    <row r="19" spans="1:17" ht="16.5">
      <c r="A19" s="102"/>
      <c r="B19" s="47"/>
    </row>
    <row r="20" spans="1:17" ht="16.5">
      <c r="A20" s="102"/>
      <c r="B20" s="48"/>
    </row>
    <row r="21" spans="1:17" ht="16.5">
      <c r="A21" s="102"/>
      <c r="B21" s="48"/>
    </row>
    <row r="22" spans="1:17" ht="16.5">
      <c r="A22" s="98"/>
      <c r="B22" s="124"/>
    </row>
    <row r="32" spans="1:17" ht="16.5" customHeight="1">
      <c r="A32" s="161" t="s">
        <v>259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22"/>
    </row>
    <row r="33" spans="1:17" ht="15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22"/>
    </row>
  </sheetData>
  <sheetProtection algorithmName="SHA-512" hashValue="+lMVkB3PZbTFwFnGBDXzZApACKYbOmTk09m19pKgV3iSuEcyzuW5BUyFxPj4pSgBNTmeNTOYL9d3ac5FESMSaA==" saltValue="nFS2VSUcnuKi5WXMp6Wk/A==" spinCount="100000" sheet="1" objects="1" scenarios="1"/>
  <sortState ref="B14:B21">
    <sortCondition ref="B14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110" zoomScaleNormal="110" workbookViewId="0">
      <selection activeCell="J1" sqref="J1"/>
    </sheetView>
  </sheetViews>
  <sheetFormatPr defaultRowHeight="15"/>
  <cols>
    <col min="1" max="1" width="10.5703125" customWidth="1"/>
    <col min="2" max="2" width="12.7109375" customWidth="1"/>
    <col min="3" max="3" width="13.28515625" bestFit="1" customWidth="1"/>
    <col min="4" max="4" width="12.7109375" customWidth="1"/>
    <col min="5" max="5" width="12.5703125" customWidth="1"/>
    <col min="6" max="6" width="12.85546875" customWidth="1"/>
    <col min="7" max="9" width="13.140625" customWidth="1"/>
  </cols>
  <sheetData>
    <row r="1" spans="1:10">
      <c r="A1" s="105"/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233</v>
      </c>
      <c r="B2" s="117">
        <v>45240</v>
      </c>
      <c r="C2" s="117">
        <v>45247</v>
      </c>
      <c r="D2" s="117">
        <v>45254</v>
      </c>
      <c r="E2" s="117">
        <v>45261</v>
      </c>
      <c r="F2" s="117">
        <v>45268</v>
      </c>
      <c r="G2" s="117">
        <v>45275</v>
      </c>
      <c r="H2" s="117">
        <v>45282</v>
      </c>
      <c r="I2" s="117">
        <v>45289</v>
      </c>
      <c r="J2" s="105"/>
    </row>
    <row r="3" spans="1:10">
      <c r="A3" s="116" t="s">
        <v>234</v>
      </c>
      <c r="B3" s="118">
        <v>2004454649356.7783</v>
      </c>
      <c r="C3" s="118">
        <v>2019879952817.2942</v>
      </c>
      <c r="D3" s="118">
        <v>2023797867882.8513</v>
      </c>
      <c r="E3" s="118">
        <v>2120381651104.615</v>
      </c>
      <c r="F3" s="118">
        <v>2247779681993.5161</v>
      </c>
      <c r="G3" s="118">
        <v>2080204371491.0432</v>
      </c>
      <c r="H3" s="118">
        <v>2101781808992.5132</v>
      </c>
      <c r="I3" s="118">
        <v>2134044598687.9639</v>
      </c>
      <c r="J3" s="105"/>
    </row>
    <row r="4" spans="1:10">
      <c r="A4" s="98"/>
      <c r="B4" s="98"/>
      <c r="C4" s="98"/>
      <c r="D4" s="98"/>
      <c r="E4" s="98"/>
      <c r="F4" s="98"/>
      <c r="G4" s="98"/>
      <c r="H4" s="98"/>
      <c r="I4" s="98"/>
    </row>
    <row r="5" spans="1:10">
      <c r="A5" s="98"/>
      <c r="B5" s="98"/>
      <c r="C5" s="98"/>
      <c r="D5" s="98"/>
      <c r="E5" s="98"/>
      <c r="F5" s="98"/>
      <c r="G5" s="98"/>
      <c r="H5" s="98"/>
      <c r="I5" s="98"/>
    </row>
    <row r="6" spans="1:10">
      <c r="A6" s="98"/>
      <c r="B6" s="98"/>
      <c r="C6" s="98"/>
      <c r="D6" s="98"/>
      <c r="E6" s="98"/>
      <c r="F6" s="98"/>
      <c r="G6" s="98"/>
      <c r="H6" s="98"/>
      <c r="I6" s="98"/>
    </row>
    <row r="7" spans="1:10">
      <c r="A7" s="98"/>
      <c r="B7" s="98"/>
      <c r="C7" s="98"/>
      <c r="D7" s="98"/>
      <c r="E7" s="98"/>
      <c r="F7" s="98"/>
      <c r="G7" s="98"/>
      <c r="H7" s="98"/>
      <c r="I7" s="98"/>
    </row>
    <row r="8" spans="1:10">
      <c r="A8" s="98"/>
      <c r="B8" s="98"/>
      <c r="C8" s="98"/>
      <c r="D8" s="98"/>
      <c r="E8" s="98"/>
      <c r="F8" s="98"/>
      <c r="G8" s="98"/>
      <c r="H8" s="98"/>
      <c r="I8" s="98"/>
    </row>
    <row r="9" spans="1:10">
      <c r="A9" s="98"/>
      <c r="B9" s="98"/>
      <c r="C9" s="98"/>
      <c r="D9" s="98"/>
      <c r="E9" s="98"/>
      <c r="F9" s="98"/>
      <c r="G9" s="98"/>
      <c r="H9" s="98"/>
      <c r="I9" s="98"/>
    </row>
    <row r="10" spans="1:10">
      <c r="A10" s="98"/>
      <c r="B10" s="98"/>
      <c r="C10" s="98"/>
      <c r="D10" s="98"/>
      <c r="E10" s="98"/>
      <c r="F10" s="98"/>
      <c r="G10" s="98"/>
      <c r="H10" s="98"/>
      <c r="I10" s="98"/>
    </row>
    <row r="11" spans="1:10">
      <c r="A11" s="98"/>
      <c r="B11" s="98"/>
      <c r="C11" s="98"/>
      <c r="D11" s="98"/>
      <c r="E11" s="98"/>
      <c r="F11" s="98"/>
      <c r="G11" s="98"/>
      <c r="H11" s="98"/>
      <c r="I11" s="98"/>
    </row>
    <row r="12" spans="1:10">
      <c r="A12" s="98"/>
      <c r="B12" s="98"/>
      <c r="C12" s="98"/>
      <c r="D12" s="98"/>
      <c r="E12" s="98"/>
      <c r="F12" s="98"/>
      <c r="G12" s="98"/>
      <c r="H12" s="98"/>
      <c r="I12" s="98"/>
    </row>
    <row r="13" spans="1:10">
      <c r="A13" s="98"/>
      <c r="B13" s="98"/>
      <c r="C13" s="98"/>
      <c r="D13" s="98"/>
      <c r="E13" s="98"/>
      <c r="F13" s="98"/>
      <c r="G13" s="98"/>
      <c r="H13" s="98"/>
      <c r="I13" s="98"/>
    </row>
    <row r="14" spans="1:10">
      <c r="A14" s="98"/>
      <c r="B14" s="98"/>
      <c r="C14" s="98"/>
      <c r="D14" s="98"/>
      <c r="E14" s="98"/>
      <c r="F14" s="98"/>
      <c r="G14" s="98"/>
      <c r="H14" s="98"/>
      <c r="I14" s="98"/>
    </row>
    <row r="15" spans="1:10">
      <c r="A15" s="98"/>
      <c r="B15" s="98"/>
      <c r="C15" s="98"/>
      <c r="D15" s="98"/>
      <c r="E15" s="98"/>
      <c r="F15" s="98"/>
      <c r="G15" s="98"/>
      <c r="H15" s="98"/>
      <c r="I15" s="98"/>
    </row>
    <row r="16" spans="1:10">
      <c r="A16" s="98"/>
      <c r="B16" s="98"/>
      <c r="C16" s="98"/>
      <c r="D16" s="98"/>
      <c r="E16" s="98"/>
      <c r="F16" s="98"/>
      <c r="G16" s="98"/>
      <c r="H16" s="98"/>
      <c r="I16" s="98"/>
    </row>
    <row r="17" spans="1:9">
      <c r="A17" s="98"/>
      <c r="B17" s="98"/>
      <c r="C17" s="98"/>
      <c r="D17" s="98"/>
      <c r="E17" s="98"/>
      <c r="F17" s="98"/>
      <c r="G17" s="98"/>
      <c r="H17" s="98"/>
      <c r="I17" s="98"/>
    </row>
    <row r="18" spans="1:9">
      <c r="A18" s="98"/>
      <c r="B18" s="98"/>
      <c r="C18" s="98"/>
      <c r="D18" s="98"/>
      <c r="E18" s="98"/>
      <c r="F18" s="98"/>
      <c r="G18" s="98"/>
      <c r="H18" s="98"/>
      <c r="I18" s="98"/>
    </row>
    <row r="19" spans="1:9">
      <c r="A19" s="98"/>
      <c r="B19" s="98"/>
      <c r="C19" s="98"/>
      <c r="D19" s="98"/>
      <c r="E19" s="98"/>
      <c r="F19" s="98"/>
      <c r="G19" s="98"/>
      <c r="H19" s="98"/>
      <c r="I19" s="98"/>
    </row>
    <row r="20" spans="1:9">
      <c r="A20" s="98"/>
      <c r="B20" s="98"/>
      <c r="C20" s="98"/>
      <c r="D20" s="98"/>
      <c r="E20" s="98"/>
      <c r="F20" s="98"/>
      <c r="G20" s="98"/>
      <c r="H20" s="98"/>
      <c r="I20" s="98"/>
    </row>
    <row r="21" spans="1:9">
      <c r="A21" s="98"/>
      <c r="B21" s="98"/>
      <c r="C21" s="98"/>
      <c r="D21" s="98"/>
      <c r="E21" s="98"/>
      <c r="F21" s="98"/>
      <c r="G21" s="98"/>
      <c r="H21" s="98"/>
      <c r="I21" s="98"/>
    </row>
    <row r="22" spans="1:9">
      <c r="A22" s="98"/>
      <c r="B22" s="98"/>
      <c r="C22" s="98"/>
      <c r="D22" s="98"/>
      <c r="E22" s="98"/>
      <c r="F22" s="98"/>
      <c r="G22" s="98"/>
      <c r="H22" s="98"/>
      <c r="I22" s="98"/>
    </row>
    <row r="23" spans="1:9">
      <c r="A23" s="98"/>
      <c r="B23" s="98"/>
      <c r="C23" s="98"/>
      <c r="D23" s="98"/>
      <c r="E23" s="98"/>
      <c r="F23" s="98"/>
      <c r="G23" s="98"/>
      <c r="H23" s="98"/>
      <c r="I23" s="98"/>
    </row>
    <row r="24" spans="1:9">
      <c r="A24" s="98"/>
      <c r="B24" s="98"/>
      <c r="C24" s="98"/>
      <c r="D24" s="98"/>
      <c r="E24" s="98"/>
      <c r="F24" s="98"/>
      <c r="G24" s="98"/>
      <c r="H24" s="98"/>
      <c r="I24" s="98"/>
    </row>
    <row r="25" spans="1:9">
      <c r="A25" s="98"/>
      <c r="B25" s="98"/>
      <c r="C25" s="98"/>
      <c r="D25" s="98"/>
      <c r="E25" s="98"/>
      <c r="F25" s="98"/>
      <c r="G25" s="98"/>
      <c r="H25" s="98"/>
      <c r="I25" s="98"/>
    </row>
    <row r="26" spans="1:9">
      <c r="A26" s="98"/>
      <c r="B26" s="98"/>
      <c r="C26" s="98"/>
      <c r="D26" s="98"/>
      <c r="E26" s="98"/>
      <c r="F26" s="98"/>
      <c r="G26" s="98"/>
      <c r="H26" s="98"/>
      <c r="I26" s="98"/>
    </row>
    <row r="27" spans="1:9">
      <c r="A27" s="98"/>
      <c r="B27" s="98"/>
      <c r="C27" s="98"/>
      <c r="D27" s="98"/>
      <c r="E27" s="98"/>
      <c r="F27" s="98"/>
      <c r="G27" s="98"/>
      <c r="H27" s="98"/>
      <c r="I27" s="98"/>
    </row>
    <row r="28" spans="1:9">
      <c r="A28" s="98"/>
      <c r="B28" s="98"/>
      <c r="C28" s="98"/>
      <c r="D28" s="98"/>
      <c r="E28" s="98"/>
      <c r="F28" s="98"/>
      <c r="G28" s="98"/>
      <c r="H28" s="98"/>
      <c r="I28" s="98"/>
    </row>
    <row r="29" spans="1:9">
      <c r="A29" s="98"/>
      <c r="B29" s="98"/>
      <c r="C29" s="98"/>
      <c r="D29" s="98"/>
      <c r="E29" s="98"/>
      <c r="F29" s="98"/>
      <c r="G29" s="98"/>
      <c r="H29" s="98"/>
      <c r="I29" s="98"/>
    </row>
  </sheetData>
  <sheetProtection algorithmName="SHA-512" hashValue="h/9Ab+1VOfp+mfEe/Og5nOgQkHYHnQlt5+jCsoAqysxaLoTMCpUyaOdSi8Wyeh9NKszsmGxCGfFdVKqicrbN3g==" saltValue="FiBY57v2Xws66rgrMSzuF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0" ht="16.5">
      <c r="A1" s="44" t="s">
        <v>222</v>
      </c>
      <c r="B1" s="45">
        <v>45233</v>
      </c>
      <c r="C1" s="45">
        <v>45240</v>
      </c>
      <c r="D1" s="45">
        <v>45247</v>
      </c>
      <c r="E1" s="45">
        <v>45254</v>
      </c>
      <c r="F1" s="45">
        <v>45261</v>
      </c>
      <c r="G1" s="45">
        <v>45268</v>
      </c>
      <c r="H1" s="45">
        <v>45275</v>
      </c>
      <c r="I1" s="45">
        <v>45648</v>
      </c>
      <c r="J1" s="45">
        <v>45655</v>
      </c>
    </row>
    <row r="2" spans="1:10" ht="16.5">
      <c r="A2" s="46" t="s">
        <v>15</v>
      </c>
      <c r="B2" s="47">
        <v>22627915820.731602</v>
      </c>
      <c r="C2" s="47">
        <v>22794496005.583801</v>
      </c>
      <c r="D2" s="47">
        <v>22858868495.366501</v>
      </c>
      <c r="E2" s="47">
        <v>22917888550.564899</v>
      </c>
      <c r="F2" s="47">
        <v>23002842288.0406</v>
      </c>
      <c r="G2" s="47">
        <v>23062133182.5075</v>
      </c>
      <c r="H2" s="47">
        <v>23529063102.022598</v>
      </c>
      <c r="I2" s="47">
        <v>24230078910.4828</v>
      </c>
      <c r="J2" s="47">
        <v>24405214546.111698</v>
      </c>
    </row>
    <row r="3" spans="1:10" ht="16.5">
      <c r="A3" s="46" t="s">
        <v>47</v>
      </c>
      <c r="B3" s="48">
        <v>868763948236.72998</v>
      </c>
      <c r="C3" s="48">
        <v>861362592384.79565</v>
      </c>
      <c r="D3" s="48">
        <v>865822924113.04614</v>
      </c>
      <c r="E3" s="48">
        <v>869350685967.34192</v>
      </c>
      <c r="F3" s="48">
        <v>869196903201.49829</v>
      </c>
      <c r="G3" s="48">
        <v>866516570168.81689</v>
      </c>
      <c r="H3" s="48">
        <v>854204297161.97668</v>
      </c>
      <c r="I3" s="48">
        <v>864670150184.58435</v>
      </c>
      <c r="J3" s="48">
        <v>881602898033.37561</v>
      </c>
    </row>
    <row r="4" spans="1:10" ht="16.5">
      <c r="A4" s="46" t="s">
        <v>223</v>
      </c>
      <c r="B4" s="47">
        <v>296477977964.1463</v>
      </c>
      <c r="C4" s="47">
        <v>299518508797.995</v>
      </c>
      <c r="D4" s="47">
        <v>298317775753.20929</v>
      </c>
      <c r="E4" s="47">
        <v>292383213255.36121</v>
      </c>
      <c r="F4" s="47">
        <v>291948133511.51477</v>
      </c>
      <c r="G4" s="47">
        <v>288458901847.26001</v>
      </c>
      <c r="H4" s="47">
        <v>285507286565.07678</v>
      </c>
      <c r="I4" s="47">
        <v>287057877236.40979</v>
      </c>
      <c r="J4" s="47">
        <v>287675389277.73108</v>
      </c>
    </row>
    <row r="5" spans="1:10" ht="16.5">
      <c r="A5" s="46" t="s">
        <v>128</v>
      </c>
      <c r="B5" s="48">
        <v>624424131579.08496</v>
      </c>
      <c r="C5" s="48">
        <v>638339381199.3125</v>
      </c>
      <c r="D5" s="48">
        <v>647350483168.5968</v>
      </c>
      <c r="E5" s="48">
        <v>652996623374.59875</v>
      </c>
      <c r="F5" s="48">
        <v>749487239675.21936</v>
      </c>
      <c r="G5" s="48">
        <v>882093775634.84949</v>
      </c>
      <c r="H5" s="48">
        <v>728772585155.99414</v>
      </c>
      <c r="I5" s="48">
        <v>736654691955.29309</v>
      </c>
      <c r="J5" s="48">
        <v>750658281364.3822</v>
      </c>
    </row>
    <row r="6" spans="1:10" ht="16.5">
      <c r="A6" s="46" t="s">
        <v>224</v>
      </c>
      <c r="B6" s="47">
        <v>93195143675.199997</v>
      </c>
      <c r="C6" s="47">
        <v>93197010128.300003</v>
      </c>
      <c r="D6" s="47">
        <v>95531336334.98999</v>
      </c>
      <c r="E6" s="47">
        <v>95820553466.403229</v>
      </c>
      <c r="F6" s="47">
        <v>96469811252.586914</v>
      </c>
      <c r="G6" s="47">
        <v>96484505230.946899</v>
      </c>
      <c r="H6" s="47">
        <v>96640447824.753601</v>
      </c>
      <c r="I6" s="47">
        <v>96678842690.618378</v>
      </c>
      <c r="J6" s="47">
        <v>96685745868.738373</v>
      </c>
    </row>
    <row r="7" spans="1:10" ht="16.5">
      <c r="A7" s="46" t="s">
        <v>154</v>
      </c>
      <c r="B7" s="49">
        <v>39279784642.423355</v>
      </c>
      <c r="C7" s="49">
        <v>39710985001.751167</v>
      </c>
      <c r="D7" s="49">
        <v>39960778727.195503</v>
      </c>
      <c r="E7" s="49">
        <v>40186047185.191147</v>
      </c>
      <c r="F7" s="49">
        <v>40757011293.125015</v>
      </c>
      <c r="G7" s="49">
        <v>41347090375.940308</v>
      </c>
      <c r="H7" s="49">
        <v>41464152077.994957</v>
      </c>
      <c r="I7" s="49">
        <v>42133843027.756485</v>
      </c>
      <c r="J7" s="49">
        <v>42555783009.607452</v>
      </c>
    </row>
    <row r="8" spans="1:10" ht="16.5">
      <c r="A8" s="46" t="s">
        <v>178</v>
      </c>
      <c r="B8" s="47">
        <v>3928183119.75</v>
      </c>
      <c r="C8" s="47">
        <v>3954911247.46</v>
      </c>
      <c r="D8" s="47">
        <v>3972600047.8899999</v>
      </c>
      <c r="E8" s="47">
        <v>4234494815.8499999</v>
      </c>
      <c r="F8" s="47">
        <v>4265839491.7800002</v>
      </c>
      <c r="G8" s="47">
        <v>4291989601.98</v>
      </c>
      <c r="H8" s="47">
        <v>4336895308.5699997</v>
      </c>
      <c r="I8" s="47">
        <v>4362447114.04</v>
      </c>
      <c r="J8" s="47">
        <v>4392041950.5100002</v>
      </c>
    </row>
    <row r="9" spans="1:10" ht="16.5">
      <c r="A9" s="46" t="s">
        <v>225</v>
      </c>
      <c r="B9" s="47">
        <v>46332265573.729996</v>
      </c>
      <c r="C9" s="47">
        <v>45576764591.580002</v>
      </c>
      <c r="D9" s="47">
        <v>46065186177</v>
      </c>
      <c r="E9" s="47">
        <v>45908361267.540009</v>
      </c>
      <c r="F9" s="47">
        <v>45253870390.850006</v>
      </c>
      <c r="G9" s="47">
        <v>45524715951.214706</v>
      </c>
      <c r="H9" s="47">
        <v>45749644294.654205</v>
      </c>
      <c r="I9" s="47">
        <v>45993877873.32811</v>
      </c>
      <c r="J9" s="47">
        <v>46069244637.507507</v>
      </c>
    </row>
    <row r="10" spans="1:10" ht="15.75">
      <c r="A10" s="50" t="s">
        <v>226</v>
      </c>
      <c r="B10" s="51">
        <f t="shared" ref="B10:F10" si="0">SUM(B2:B9)</f>
        <v>1995029350611.7961</v>
      </c>
      <c r="C10" s="51">
        <f t="shared" si="0"/>
        <v>2004454649356.7783</v>
      </c>
      <c r="D10" s="51">
        <f t="shared" si="0"/>
        <v>2019879952817.2942</v>
      </c>
      <c r="E10" s="51">
        <f t="shared" si="0"/>
        <v>2023797867882.8513</v>
      </c>
      <c r="F10" s="51">
        <f t="shared" si="0"/>
        <v>2120381651104.615</v>
      </c>
      <c r="G10" s="51">
        <f>SUM(G2:G9)</f>
        <v>2247779681993.5161</v>
      </c>
      <c r="H10" s="51">
        <f>SUM(H2:H9)</f>
        <v>2080204371491.0432</v>
      </c>
      <c r="I10" s="51">
        <f>SUM(I2:I9)</f>
        <v>2101781808992.5132</v>
      </c>
      <c r="J10" s="51">
        <f>SUM(J2:J9)</f>
        <v>2134044598687.9639</v>
      </c>
    </row>
    <row r="11" spans="1:10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>
      <c r="A12" s="54" t="s">
        <v>227</v>
      </c>
      <c r="B12" s="55" t="s">
        <v>228</v>
      </c>
      <c r="C12" s="56">
        <f>(B10+C10)/2</f>
        <v>1999741999984.2871</v>
      </c>
      <c r="D12" s="57">
        <f t="shared" ref="D12:J12" si="1">(C10+D10)/2</f>
        <v>2012167301087.0361</v>
      </c>
      <c r="E12" s="57">
        <f t="shared" si="1"/>
        <v>2021838910350.0728</v>
      </c>
      <c r="F12" s="57">
        <f t="shared" si="1"/>
        <v>2072089759493.7332</v>
      </c>
      <c r="G12" s="57">
        <f>(F10+G10)/2</f>
        <v>2184080666549.0654</v>
      </c>
      <c r="H12" s="57">
        <f t="shared" si="1"/>
        <v>2163992026742.2798</v>
      </c>
      <c r="I12" s="57">
        <f t="shared" si="1"/>
        <v>2090993090241.7783</v>
      </c>
      <c r="J12" s="57">
        <f t="shared" si="1"/>
        <v>2117913203840.2385</v>
      </c>
    </row>
    <row r="16" spans="1:10">
      <c r="C16" s="118"/>
      <c r="D16" s="118"/>
      <c r="E16" s="118"/>
      <c r="F16" s="118"/>
      <c r="G16" s="118"/>
      <c r="H16" s="118"/>
      <c r="I16" s="118"/>
      <c r="J16" s="118"/>
    </row>
    <row r="18" spans="3:10">
      <c r="C18" s="70"/>
      <c r="D18" s="70"/>
      <c r="E18" s="70"/>
      <c r="F18" s="70"/>
      <c r="G18" s="70"/>
      <c r="H18" s="70"/>
      <c r="I18" s="70"/>
      <c r="J18" s="70"/>
    </row>
  </sheetData>
  <sheetProtection algorithmName="SHA-512" hashValue="oNVjTIZZvz+ITu3js0mN8Hq18TOB6Zkm+cRNB0g9bPZ+jESuQOBYW9DKE21ip7erLmeQtN8VTVetMT/Keovjvw==" saltValue="cXfBjqVNa6Zj6t6QXuObSg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2024-01-15T07:47:25Z</dcterms:modified>
</cp:coreProperties>
</file>